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8.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CriterioFluid" sheetId="1" state="hidden" r:id="rId2"/>
    <sheet name="Hallazgos" sheetId="2" state="visible" r:id="rId3"/>
    <sheet name="CriterioBancolombia" sheetId="3" state="hidden" r:id="rId4"/>
    <sheet name="P_Ocurrencias" sheetId="4" state="hidden" r:id="rId5"/>
    <sheet name="P_General" sheetId="5" state="hidden" r:id="rId6"/>
    <sheet name="C_Activos" sheetId="6" state="hidden" r:id="rId7"/>
    <sheet name="CVSSv2" sheetId="7" state="hidden" r:id="rId8"/>
    <sheet name="CamposSeleccionQC" sheetId="8" state="hidden" r:id="rId9"/>
  </sheets>
  <definedNames>
    <definedName function="false" hidden="true" localSheetId="2" name="_xlnm._FilterDatabase" vbProcedure="false">CriterioBancolombia!$A$2:$L$219</definedName>
    <definedName function="false" hidden="false" localSheetId="2" name="_xlnm._FilterDatabase" vbProcedure="false">CriterioBancolombia!$A$2:$L$219</definedName>
    <definedName function="false" hidden="false" localSheetId="2" name="_xlnm._FilterDatabase_0" vbProcedure="false">CriterioBancolombia!$A$2:$L$219</definedName>
    <definedName function="false" hidden="false" localSheetId="2" name="_xlnm._FilterDatabase_0_0" vbProcedure="false">CriterioBancolombia!$A$2:$L$219</definedName>
    <definedName function="false" hidden="false" localSheetId="2" name="_xlnm._FilterDatabase_0_0_0" vbProcedure="false">CriterioBancolombia!$A$2:$L$219</definedName>
    <definedName function="false" hidden="false" localSheetId="2" name="_xlnm._FilterDatabase_0_0_0_0" vbProcedure="false">CriterioBancolombia!$A$2:$L$219</definedName>
    <definedName function="false" hidden="false" localSheetId="2" name="_xlnm._FilterDatabase_0_0_0_0_0" vbProcedure="false">CriterioBancolombia!$A$2:$L$219</definedName>
    <definedName function="false" hidden="false" localSheetId="2" name="_xlnm._FilterDatabase_0_0_0_0_0_0" vbProcedure="false">CriterioBancolombia!$A$2:$L$219</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J2" authorId="0">
      <text>
        <r>
          <rPr>
            <sz val="10"/>
            <color rgb="FF000000"/>
            <rFont val="Arial"/>
            <family val="0"/>
            <charset val="1"/>
          </rPr>
          <t xml:space="preserve">DP: Diseño y Perfil
SP: Solo perfil
SD: Solo diseño</t>
        </r>
      </text>
    </comment>
  </commentList>
</comments>
</file>

<file path=xl/sharedStrings.xml><?xml version="1.0" encoding="utf-8"?>
<sst xmlns="http://schemas.openxmlformats.org/spreadsheetml/2006/main" count="6096" uniqueCount="1255">
  <si>
    <t xml:space="preserve">Criterio de Seguridad</t>
  </si>
  <si>
    <t xml:space="preserve">Requisito</t>
  </si>
  <si>
    <t xml:space="preserve">Descripción</t>
  </si>
  <si>
    <t xml:space="preserve">Capa</t>
  </si>
  <si>
    <t xml:space="preserve">Activo de Información</t>
  </si>
  <si>
    <t xml:space="preserve">Alcance</t>
  </si>
  <si>
    <t xml:space="preserve">Fase</t>
  </si>
  <si>
    <t xml:space="preserve">Perfilamiento</t>
  </si>
  <si>
    <t xml:space="preserve">Prueba</t>
  </si>
  <si>
    <t xml:space="preserve">Verificado</t>
  </si>
  <si>
    <t xml:space="preserve">Detalles</t>
  </si>
  <si>
    <t xml:space="preserve">REQ.0001</t>
  </si>
  <si>
    <t xml:space="preserve">Los activos de información del sistema deben estar identificados y se conoce su uso.</t>
  </si>
  <si>
    <t xml:space="preserve">Capa de Recursos</t>
  </si>
  <si>
    <t xml:space="preserve">Activos de información</t>
  </si>
  <si>
    <t xml:space="preserve">Adherencia</t>
  </si>
  <si>
    <t xml:space="preserve">Análisis</t>
  </si>
  <si>
    <t xml:space="preserve">-</t>
  </si>
  <si>
    <t xml:space="preserve">REQ.0002</t>
  </si>
  <si>
    <t xml:space="preserve">Las dependencias o componentes con los que interopera un sistema de información deben estar identificados</t>
  </si>
  <si>
    <t xml:space="preserve">REQ.0003</t>
  </si>
  <si>
    <t xml:space="preserve">La arquitectura de un sistema debe estar definida</t>
  </si>
  <si>
    <t xml:space="preserve">REQ.0004</t>
  </si>
  <si>
    <t xml:space="preserve">Cada activo de información debe estar asociado con un responsable del activo.</t>
  </si>
  <si>
    <t xml:space="preserve">REQ.0005</t>
  </si>
  <si>
    <t xml:space="preserve">Cada activo de información debe estar valorado en términos monetarios.</t>
  </si>
  <si>
    <t xml:space="preserve">REQ.0006</t>
  </si>
  <si>
    <t xml:space="preserve">Las amenazas asociadas a un activo de información deben estar identificadas y documentadas.</t>
  </si>
  <si>
    <t xml:space="preserve">REQ.0007</t>
  </si>
  <si>
    <t xml:space="preserve">Los sistemas que interactúen con un activo de información deben tener identificadas las posibles vulnerabilidades que sobre ellos apliquen y que sean conocidas.</t>
  </si>
  <si>
    <t xml:space="preserve">REQ.0008</t>
  </si>
  <si>
    <t xml:space="preserve">La organización debe generar un modelo de amenazas para el sistema, donde se identifiquen las posibles amenazas y debe cubrir STRIDE (Spoofing, Tampering, Repudiation, Information Disclosure, Denial of Service, Elevation of Privilege) </t>
  </si>
  <si>
    <t xml:space="preserve">REQ.0009</t>
  </si>
  <si>
    <t xml:space="preserve">Cada amenaza sobre un activo de información debe ser medida en términos de su probabilidad de ocurrencia.</t>
  </si>
  <si>
    <t xml:space="preserve">REQ.0010</t>
  </si>
  <si>
    <t xml:space="preserve">Cada amenaza sobre un activo de información debe ser medida en términos de su impacto.</t>
  </si>
  <si>
    <t xml:space="preserve">REQ.0011</t>
  </si>
  <si>
    <t xml:space="preserve">Cada riesgo de seguridad de información, debe estar medido en función de su probabilidad e impacto.</t>
  </si>
  <si>
    <t xml:space="preserve">Capa de Negocio</t>
  </si>
  <si>
    <t xml:space="preserve">REQ.0012</t>
  </si>
  <si>
    <t xml:space="preserve">Los posibles atacantes del sistema deben estar identificados.</t>
  </si>
  <si>
    <t xml:space="preserve">Capa de Aplicación</t>
  </si>
  <si>
    <t xml:space="preserve">REQ.0013</t>
  </si>
  <si>
    <t xml:space="preserve">Debe estar definido el proceso para poder reclasificar los activos de información.</t>
  </si>
  <si>
    <t xml:space="preserve">Diseño</t>
  </si>
  <si>
    <t xml:space="preserve">REQ.0014</t>
  </si>
  <si>
    <t xml:space="preserve">Los activos de información deben estar clasificados de acuerdo a su nivel de confidencialidad y de criticidad.</t>
  </si>
  <si>
    <t xml:space="preserve">REQ.0015</t>
  </si>
  <si>
    <t xml:space="preserve">Las vulnerabilidades halladas en los activos de información deben estar priorizadas según la criticidad de cada vulnerabilidad.</t>
  </si>
  <si>
    <t xml:space="preserve">Pruebas</t>
  </si>
  <si>
    <t xml:space="preserve">REQ.0016</t>
  </si>
  <si>
    <t xml:space="preserve">La organización debe asegurar que cada una de las vulnerabilidades identificadas en los activos de información, sea corregida y comprobada su corrección.</t>
  </si>
  <si>
    <t xml:space="preserve">REQ.0017</t>
  </si>
  <si>
    <t xml:space="preserve">La organización debe garantizar un medio seguro de transporte para la información física.</t>
  </si>
  <si>
    <t xml:space="preserve">Responsabilidad</t>
  </si>
  <si>
    <t xml:space="preserve">Operación</t>
  </si>
  <si>
    <t xml:space="preserve">REQ.0018</t>
  </si>
  <si>
    <t xml:space="preserve">La organización debe tener un acuerdo de nivel de servicio de disponibilidad con todos los terceros con los cuales comparte información.</t>
  </si>
  <si>
    <t xml:space="preserve">Acuerdo de nivel de servicio</t>
  </si>
  <si>
    <t xml:space="preserve">REQ.0019</t>
  </si>
  <si>
    <t xml:space="preserve">La organización debe tener un acuerdo de nivel de servicio de confiabilidad con todos los terceros con los cuales comparte información.</t>
  </si>
  <si>
    <t xml:space="preserve">REQ.0020</t>
  </si>
  <si>
    <t xml:space="preserve">La organización debe definir penalizaciones para ser aplicadas por el incumplimiento en los acuerdos de niveles de servicio.</t>
  </si>
  <si>
    <t xml:space="preserve">REQ.0021</t>
  </si>
  <si>
    <t xml:space="preserve">Proveedores de la organización deben asegurar que sus terceras partes cumplen los requisitos definidos.</t>
  </si>
  <si>
    <t xml:space="preserve">REQ.0022</t>
  </si>
  <si>
    <t xml:space="preserve">Proveedores de la organización deben permitir auditorías de cliente en el alcance relacionado.</t>
  </si>
  <si>
    <t xml:space="preserve">REQ.0023</t>
  </si>
  <si>
    <t xml:space="preserve">El sistema debe cerrar una sesión si se presenta un tiempo de inactividad por parte del usuario, superior o igual a 5 minutos.</t>
  </si>
  <si>
    <t xml:space="preserve">Administración de sesiones</t>
  </si>
  <si>
    <t xml:space="preserve">REQ.0024</t>
  </si>
  <si>
    <t xml:space="preserve">Si el sistema debe transferir información entre páginas, debe realizarse a través de objetos de sesión.</t>
  </si>
  <si>
    <t xml:space="preserve">Interoperatividad</t>
  </si>
  <si>
    <t xml:space="preserve">Construcción</t>
  </si>
  <si>
    <t xml:space="preserve">REQ.0025</t>
  </si>
  <si>
    <t xml:space="preserve">Las sesiones concurrentes de un sistema se deben controlar o informar</t>
  </si>
  <si>
    <t xml:space="preserve">Integridad</t>
  </si>
  <si>
    <t xml:space="preserve">REQ.0026</t>
  </si>
  <si>
    <t xml:space="preserve">El sistema debe verificar la integridad y cifrar los estados de sesión que están al lado del cliente.</t>
  </si>
  <si>
    <t xml:space="preserve">REQ.0027</t>
  </si>
  <si>
    <t xml:space="preserve">El sistema debe proporcionar al usuario la capacidad de bloquear la sesión de forma manual, desde cualquier recurso protegido por autenticación.</t>
  </si>
  <si>
    <t xml:space="preserve">Confidencialidad</t>
  </si>
  <si>
    <t xml:space="preserve">REQ.0028</t>
  </si>
  <si>
    <t xml:space="preserve">El sistema debe permitir al usuario terminar la sesión de forma manual, desde cualquier recurso protegido por autenticación.</t>
  </si>
  <si>
    <t xml:space="preserve">REQ.0029</t>
  </si>
  <si>
    <t xml:space="preserve">Las cookies de sesión de aplicaciones Web deben tener atributos de seguridad (HttpOnly, Secure)</t>
  </si>
  <si>
    <t xml:space="preserve">REQ.0030</t>
  </si>
  <si>
    <t xml:space="preserve">Se debe controlar que un objeto (id de sesión, cookie, etc) que participe en el proceso de autenticación no pueda ser reutilizado.</t>
  </si>
  <si>
    <t xml:space="preserve">Autenticidad</t>
  </si>
  <si>
    <t xml:space="preserve">REQ.0031</t>
  </si>
  <si>
    <t xml:space="preserve">Al cerrarse la sesión de un usuario (automática o manual) se debe descartar los datos relacionados con la sesión del usuario.</t>
  </si>
  <si>
    <t xml:space="preserve">REQ.0032</t>
  </si>
  <si>
    <t xml:space="preserve">El sistema no debe exponer identificadores de sesión en URLs y mensajes presentados al usuario.</t>
  </si>
  <si>
    <t xml:space="preserve">REQ.0033</t>
  </si>
  <si>
    <t xml:space="preserve">Si el sistema posee un mecanismo de administración, este debe ser accesible sólo desde segmentos de red de gestión o administrativos.</t>
  </si>
  <si>
    <t xml:space="preserve">Administración del sistema</t>
  </si>
  <si>
    <t xml:space="preserve">REQ.0034</t>
  </si>
  <si>
    <t xml:space="preserve">El sistema debe permitir a un superusuario o usuario administrador del sistema, deshabilitar cuentas de usuarios.</t>
  </si>
  <si>
    <t xml:space="preserve">Autorización</t>
  </si>
  <si>
    <t xml:space="preserve">REQ.0035</t>
  </si>
  <si>
    <t xml:space="preserve">El sistema no debe permitir a un actor del sistema, aumentar los privilegios para él mismo.</t>
  </si>
  <si>
    <t xml:space="preserve">REQ.0036</t>
  </si>
  <si>
    <t xml:space="preserve">El sistema no debe desplegar archivos temporales en ambiente de producción.</t>
  </si>
  <si>
    <t xml:space="preserve">Archivos</t>
  </si>
  <si>
    <t xml:space="preserve">Despliegue</t>
  </si>
  <si>
    <t xml:space="preserve">REQ.0037</t>
  </si>
  <si>
    <t xml:space="preserve">El sistema no debe incluir en parámetros nombres de directorios o rutas de archivos.</t>
  </si>
  <si>
    <t xml:space="preserve">REQ.0038</t>
  </si>
  <si>
    <t xml:space="preserve">Los archivos del sistema deben ser referenciados mediante rutas absolutas.</t>
  </si>
  <si>
    <t xml:space="preserve">REQ.0039</t>
  </si>
  <si>
    <t xml:space="preserve">Los archivos operados en un sistema y los manipulados por los usuarios deben tener un tamaño máximo definido (5MB recomendado)</t>
  </si>
  <si>
    <t xml:space="preserve">Disponibilidad</t>
  </si>
  <si>
    <t xml:space="preserve">REQ.0040</t>
  </si>
  <si>
    <t xml:space="preserve">El sistema debe validar que el formato (estructura) de los archivos corresponda con su extensión.</t>
  </si>
  <si>
    <t xml:space="preserve">REQ.0041</t>
  </si>
  <si>
    <t xml:space="preserve">El sistema debe validar que el contenido de los archivos transferidos hacia el mismo sistema esté libre de código malicioso.</t>
  </si>
  <si>
    <t xml:space="preserve">Madurez</t>
  </si>
  <si>
    <t xml:space="preserve">REQ.0042</t>
  </si>
  <si>
    <t xml:space="preserve">El sistema sólo debe aceptar únicamente archivos cuyo formato (estructura) sea requerido por la operativa del negocio.</t>
  </si>
  <si>
    <t xml:space="preserve">REQ.0043</t>
  </si>
  <si>
    <t xml:space="preserve">Los archivos generados de forma dinámica por el sistema deben tener definido un Content-Type explícito.</t>
  </si>
  <si>
    <t xml:space="preserve">REQ.0044</t>
  </si>
  <si>
    <t xml:space="preserve">Los archivos generados de forma dinámica por el sistema deben tener definido un Character-Set explícito.</t>
  </si>
  <si>
    <t xml:space="preserve">REQ.0045</t>
  </si>
  <si>
    <t xml:space="preserve">Los metadatos de archivos deben ser eliminados antes de ser compartidos con un tercero o hacerlos públicos.</t>
  </si>
  <si>
    <t xml:space="preserve">REQ.0046</t>
  </si>
  <si>
    <t xml:space="preserve">El sistema debe verificar y reportar en bitácora cambios en integridad de los archivos críticos del sistema.</t>
  </si>
  <si>
    <t xml:space="preserve">REQ.0047</t>
  </si>
  <si>
    <t xml:space="preserve">Se debe establecer los archivos críticos para cada sistema sobre los que se debe ejercer monitoreo a su integridad.</t>
  </si>
  <si>
    <t xml:space="preserve">REQ.0048</t>
  </si>
  <si>
    <t xml:space="preserve">En el código fuente, un componente debe poseer el menor número de dependencias posible.</t>
  </si>
  <si>
    <t xml:space="preserve">Arquitectura de seguridad</t>
  </si>
  <si>
    <t xml:space="preserve">Mantenibilidad</t>
  </si>
  <si>
    <t xml:space="preserve">REQ.0049</t>
  </si>
  <si>
    <t xml:space="preserve">En el código fuente, los componentes deben utilizar interfaces en vez de implementaciones.</t>
  </si>
  <si>
    <t xml:space="preserve">REQ.0050</t>
  </si>
  <si>
    <t xml:space="preserve">La llamada a código interpretado (JavaScript, CSS) debe hacerse a dominios controlados por la organización.</t>
  </si>
  <si>
    <t xml:space="preserve">REQ.0051</t>
  </si>
  <si>
    <t xml:space="preserve">El código fuente debe estar almacenado en un repositorio central.</t>
  </si>
  <si>
    <t xml:space="preserve">REQ.0052</t>
  </si>
  <si>
    <t xml:space="preserve">Los componentes críticos para la seguridad deben identificarse (TCB).</t>
  </si>
  <si>
    <t xml:space="preserve">REQ.0053</t>
  </si>
  <si>
    <t xml:space="preserve">La organización debe identificar y documentar los casos de abuso que se relacionan con el sistema.</t>
  </si>
  <si>
    <t xml:space="preserve">REQ.0054</t>
  </si>
  <si>
    <t xml:space="preserve">Debe documentarse la relación de dependencia entre casos de abuso cuando ésta sea identificada.</t>
  </si>
  <si>
    <t xml:space="preserve">REQ.0055</t>
  </si>
  <si>
    <t xml:space="preserve">Los casos de seguridad del sistema deben estar documentados.</t>
  </si>
  <si>
    <t xml:space="preserve">REQ.0056</t>
  </si>
  <si>
    <t xml:space="preserve">Los casos de seguridad deben tener un caso de abuso de control.</t>
  </si>
  <si>
    <t xml:space="preserve">REQ.0057</t>
  </si>
  <si>
    <t xml:space="preserve">Cada caso de abuso debe estar relacionado al menos con un caso de uso.</t>
  </si>
  <si>
    <t xml:space="preserve">REQ.0058</t>
  </si>
  <si>
    <t xml:space="preserve">Los casos de uso deben tener documentados los eventos de seguridad del sistema.</t>
  </si>
  <si>
    <t xml:space="preserve">REQ.0059</t>
  </si>
  <si>
    <t xml:space="preserve">Los eventos de seguridad del sistema que deben ser monitoreados deben estar identificados.</t>
  </si>
  <si>
    <t xml:space="preserve">REQ.0060</t>
  </si>
  <si>
    <t xml:space="preserve">Los componentes de la superficie de ataque (puntos de entrada a los que se accede sin autenticación) deben identificarse.</t>
  </si>
  <si>
    <t xml:space="preserve">REQ.0061</t>
  </si>
  <si>
    <t xml:space="preserve">La documentación que soporta un sistema de información debe contener un capítulo de seguridad.</t>
  </si>
  <si>
    <t xml:space="preserve">REQ.0062</t>
  </si>
  <si>
    <t xml:space="preserve">Debe definirse configuraciones estándares que corrijan todas las vulnerabilidades conocidas y que sean consistentes con estándares de la industria (ej: líneas base).</t>
  </si>
  <si>
    <t xml:space="preserve">REQ.0063</t>
  </si>
  <si>
    <t xml:space="preserve">Los requisitos de seguridad definidos para un sistema deben ser comprobables (pruebas de caja blanca).</t>
  </si>
  <si>
    <t xml:space="preserve">REQ.0064</t>
  </si>
  <si>
    <t xml:space="preserve">Los requisitos de seguridad que serán probados (en pruebas de caja blanca) deben estar definidos.</t>
  </si>
  <si>
    <t xml:space="preserve">REQ.0065</t>
  </si>
  <si>
    <t xml:space="preserve">Los requisitos de seguridad efectivamente probados (en pruebas de caja blanca) deben estar identificados.</t>
  </si>
  <si>
    <t xml:space="preserve">REQ.0066</t>
  </si>
  <si>
    <t xml:space="preserve">Los componentes que pueden ser probados (en pruebas de caja blanca) deben estar definidos.</t>
  </si>
  <si>
    <t xml:space="preserve">REQ.0067</t>
  </si>
  <si>
    <t xml:space="preserve">Los componentes del sistema que serán probados (pruebas de caja blanca) deben estar definidos.</t>
  </si>
  <si>
    <t xml:space="preserve">REQ.0068</t>
  </si>
  <si>
    <t xml:space="preserve">Los componentes efectivamente probados (pruebas de caja blanca) deben haber sido identificados.</t>
  </si>
  <si>
    <t xml:space="preserve">REQ.0069</t>
  </si>
  <si>
    <t xml:space="preserve">La organización debe identificar y tratar los riesgos derivados de vulnerabilidades no corregidas.</t>
  </si>
  <si>
    <t xml:space="preserve">REQ.0070</t>
  </si>
  <si>
    <t xml:space="preserve">Debe haber una batería de pruebas de seguridad automatizadas que se ejecute como parte del proceso de despliegue (ej: unitarias, integración, funcionales).</t>
  </si>
  <si>
    <t xml:space="preserve">REQ.0071</t>
  </si>
  <si>
    <t xml:space="preserve">Cada vulnerabilidad detectada debe entrar en la batería de pruebas automatizadas con el fin de evitar regresiones.</t>
  </si>
  <si>
    <t xml:space="preserve">REQ.0072</t>
  </si>
  <si>
    <t xml:space="preserve">El tiempo de respuesta con la concurrencia máxima esperada debe ser de no más de 5 segundos.</t>
  </si>
  <si>
    <t xml:space="preserve">Rendimiento</t>
  </si>
  <si>
    <t xml:space="preserve">REQ.0073</t>
  </si>
  <si>
    <t xml:space="preserve">El porcentaje de errores con la concurrencia máxima esperada debe ser de 0%.</t>
  </si>
  <si>
    <t xml:space="preserve">Estabilidad</t>
  </si>
  <si>
    <t xml:space="preserve">REQ.0074</t>
  </si>
  <si>
    <t xml:space="preserve">Los sistemas críticos de la organización deben ser redundantes.</t>
  </si>
  <si>
    <t xml:space="preserve">REQ.0075</t>
  </si>
  <si>
    <t xml:space="preserve">El sistema debe registrar todos los eventos excepcionales y de seguridad en bitácoras.</t>
  </si>
  <si>
    <t xml:space="preserve">Bitácoras</t>
  </si>
  <si>
    <t xml:space="preserve">REQ.0076</t>
  </si>
  <si>
    <t xml:space="preserve">El sistema debe registrar el nivel de severidad para cada evento excepcional y de seguridad.</t>
  </si>
  <si>
    <t xml:space="preserve">Facilidad de análisis</t>
  </si>
  <si>
    <t xml:space="preserve">REQ.0077</t>
  </si>
  <si>
    <t xml:space="preserve">La aplicación no debe revelar detalles del sistema interno como stack traces, fragmentos de sentencias SQL y nombres de base de datos o tablas.</t>
  </si>
  <si>
    <t xml:space="preserve">REQ.0078</t>
  </si>
  <si>
    <t xml:space="preserve">Los eventos con severidad de depuración no deben estar habilitados en producción.</t>
  </si>
  <si>
    <t xml:space="preserve">REQ.0079</t>
  </si>
  <si>
    <t xml:space="preserve">El sistema debe registrar el momento exacto de ocurrencia (Fecha, hora, segundos, milisegundos y zona horaria) para cada evento excepcional y de seguridad.</t>
  </si>
  <si>
    <t xml:space="preserve">REQ.0080</t>
  </si>
  <si>
    <t xml:space="preserve">Las bitácoras de un sistema no deben ser modificables o alterables.</t>
  </si>
  <si>
    <t xml:space="preserve">REQ.0081</t>
  </si>
  <si>
    <t xml:space="preserve">La organización debe almacenar las bitácoras al menos durante 5 años desde la ocurrencia del evento en el sistema o lo que disponga la legislación vigente para dicho sistema.</t>
  </si>
  <si>
    <t xml:space="preserve">REQ.0082</t>
  </si>
  <si>
    <t xml:space="preserve">La gestión de bitácoras debe realizarse por el sistema operativo o un sistema externo a la aplicación.</t>
  </si>
  <si>
    <t xml:space="preserve">REQ.0083</t>
  </si>
  <si>
    <t xml:space="preserve">El sistema no debe registrar información sensible en un evento excepcional de una bitácora.</t>
  </si>
  <si>
    <t xml:space="preserve">REQ.0084</t>
  </si>
  <si>
    <t xml:space="preserve">El sistema debe permitir a los usuarios autorizados consultar el historial de transacciones realizadas por él mismo.</t>
  </si>
  <si>
    <t xml:space="preserve">REQ.0085</t>
  </si>
  <si>
    <t xml:space="preserve">El sistema debe permitir a los usuarios autorizados consultar el historial de sesiones establecidas por él mismo.</t>
  </si>
  <si>
    <t xml:space="preserve">REQ.0086</t>
  </si>
  <si>
    <t xml:space="preserve">El registro de un evento de seguridad sensible en bitácora debe generar una alarma.</t>
  </si>
  <si>
    <t xml:space="preserve">REQ.0087</t>
  </si>
  <si>
    <t xml:space="preserve">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</si>
  <si>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 xml:space="preserve">REQ.0088</t>
  </si>
  <si>
    <t xml:space="preserve">Un sistema con información crítica para el negocio debe requerir certificados digitales de cliente en el proceso de autenticación.</t>
  </si>
  <si>
    <t xml:space="preserve">Certificados digitales</t>
  </si>
  <si>
    <t xml:space="preserve">REQ.0089</t>
  </si>
  <si>
    <t xml:space="preserve">La organización no debe utilizar certificados digitales con una vigencia superior a un año.</t>
  </si>
  <si>
    <t xml:space="preserve">REQ.0090</t>
  </si>
  <si>
    <t xml:space="preserve">El sistema debe utilizar certificados digitales que no se encuentren vencidos.</t>
  </si>
  <si>
    <t xml:space="preserve">REQ.0091</t>
  </si>
  <si>
    <t xml:space="preserve">Debe utilizarse certificados firmados por entidades certificadoras internas válidas cuando estos sean para aplicaciones internas.</t>
  </si>
  <si>
    <t xml:space="preserve">REQ.0092</t>
  </si>
  <si>
    <t xml:space="preserve">Debe utilizarse certificados firmados por entidades certificadoras externas válidas cuando estos sean para aplicaciones externas.</t>
  </si>
  <si>
    <t xml:space="preserve">REQ.0093</t>
  </si>
  <si>
    <t xml:space="preserve">Debe utilizarse certificados con una identificación coherente con la organización (servicio, servidor, entre otros) a la cual se encuentra asociado.</t>
  </si>
  <si>
    <t xml:space="preserve">REQ.0094</t>
  </si>
  <si>
    <t xml:space="preserve">Debe preferirse especificar las reglas para control de acceso de modo declarativo en vez de modo programático.</t>
  </si>
  <si>
    <t xml:space="preserve">Control de acceso</t>
  </si>
  <si>
    <t xml:space="preserve">REQ.0095</t>
  </si>
  <si>
    <t xml:space="preserve">Los usuarios que accederán al sistema con cuentas de administrador o super administrador deben estar definidos.</t>
  </si>
  <si>
    <t xml:space="preserve">REQ.0096</t>
  </si>
  <si>
    <t xml:space="preserve">Los privilegios requeridos por los usuarios que accederán al sistema deben estar definidos.</t>
  </si>
  <si>
    <t xml:space="preserve">REQ.0097</t>
  </si>
  <si>
    <t xml:space="preserve">La organización debe definir un modelo de control de acceso a los sistemas.</t>
  </si>
  <si>
    <t xml:space="preserve">REQ.0098</t>
  </si>
  <si>
    <t xml:space="preserve">La organización debe contar con barreras físicas (puertas, rejas, muros, etc) requeridos para la custodia de los activos de información físicos y lógicos.</t>
  </si>
  <si>
    <t xml:space="preserve">Capa Física</t>
  </si>
  <si>
    <t xml:space="preserve">REQ.0099</t>
  </si>
  <si>
    <t xml:space="preserve">La organización debe llevar control de acceso de vehículos y personas en las zonas de parqueaderos.</t>
  </si>
  <si>
    <t xml:space="preserve">REQ.0100</t>
  </si>
  <si>
    <t xml:space="preserve">Las ventanas de lugares que contengan activos de información físicos o lógicos deben permanecer selladas.</t>
  </si>
  <si>
    <t xml:space="preserve">REQ.0101</t>
  </si>
  <si>
    <t xml:space="preserve">La organización debe garantizar que todo el personal que realiza actividades al interior de las instalaciones debe estar carnetizado y contar con las tarjetas del sistema de control de accesos correspondientes.</t>
  </si>
  <si>
    <t xml:space="preserve">REQ.0102</t>
  </si>
  <si>
    <t xml:space="preserve">La organización debe exigir que los carné de identificación deben estar visibles todo el tiempo.</t>
  </si>
  <si>
    <t xml:space="preserve">REQ.0103</t>
  </si>
  <si>
    <t xml:space="preserve">La organización debe contar con un proceso definido para la asignación, inventario, cambio, reasignación y retiro de tarjetas de acceso.</t>
  </si>
  <si>
    <t xml:space="preserve">REQ.0104</t>
  </si>
  <si>
    <t xml:space="preserve">La organización debe exigir que todos los operarios, para la manipulación de activos de información físicos, deben hacer uso de uniforme sin bolsillos.</t>
  </si>
  <si>
    <t xml:space="preserve">REQ.0105</t>
  </si>
  <si>
    <t xml:space="preserve">La organización no debe permitir el ingreso a las instalaciones de elementos que permitan la extracción de activos de información digitales o físicos.</t>
  </si>
  <si>
    <t xml:space="preserve">REQ.0106</t>
  </si>
  <si>
    <t xml:space="preserve">La organización debe garantizar que las líneas telefónicas habilitadas en los lugares donde se manipulan activos de información, debe estar asignada a una sola persona que se responsabilice de su uso.</t>
  </si>
  <si>
    <t xml:space="preserve">REQ.0107</t>
  </si>
  <si>
    <t xml:space="preserve">La organización debe exigir una requisa manual a cada uno de los empleados cada vez que salgan del área donde se manipulan activos de información.</t>
  </si>
  <si>
    <t xml:space="preserve">REQ.0108</t>
  </si>
  <si>
    <t xml:space="preserve">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</si>
  <si>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 xml:space="preserve">REQ.0109</t>
  </si>
  <si>
    <t xml:space="preserve">Las áreas restringidas deben contar con mecanismos de control de acceso físico detectivos (cámaras, vigilantes, sensores de calor, etc).</t>
  </si>
  <si>
    <t xml:space="preserve">REQ.0110</t>
  </si>
  <si>
    <t xml:space="preserve">Las áreas restringidas deben contar con mecanismos de control de acceso físico preventivos (cerraduras, puertas, vigilantes, etc).</t>
  </si>
  <si>
    <t xml:space="preserve">REQ.0111</t>
  </si>
  <si>
    <t xml:space="preserve">La organización debe contar con controles físicos detectivos y disuasivos en la periferia de las instalaciones (Iluminación, cámaras, vigilantes, etc).</t>
  </si>
  <si>
    <t xml:space="preserve">REQ.0112</t>
  </si>
  <si>
    <t xml:space="preserve">La organización debe ubicar bolardos alrededor de las edificaciones de la compañía en zonas que estén bajo el riesgo de ser impactadas por un automóvil.</t>
  </si>
  <si>
    <t xml:space="preserve">REQ.0113</t>
  </si>
  <si>
    <t xml:space="preserve">Las áreas restringidas deben tener un número pequeño y controlable de puntos de acceso.</t>
  </si>
  <si>
    <t xml:space="preserve">REQ.0114</t>
  </si>
  <si>
    <t xml:space="preserve">El sistema no debe permitir la autenticación exitosa de un usuario con credenciales expiradas, revocadas o bloqueadas.</t>
  </si>
  <si>
    <t xml:space="preserve">REQ.0115</t>
  </si>
  <si>
    <t xml:space="preserve">Los correos electrónicos de entradas y salida deben pasar por un filtro anti-spam.</t>
  </si>
  <si>
    <t xml:space="preserve">Correo electrónico</t>
  </si>
  <si>
    <t xml:space="preserve">REQ.0116</t>
  </si>
  <si>
    <t xml:space="preserve">El cliente de correo electrónico corporativo no debe mostrar de forma predeterminada imágenes cuyo origen sea desconocido.</t>
  </si>
  <si>
    <t xml:space="preserve">REQ.0117</t>
  </si>
  <si>
    <t xml:space="preserve">El cliente de correo electrónico corporativo no debe interpretar código HTML por defecto.</t>
  </si>
  <si>
    <t xml:space="preserve">REQ.0118</t>
  </si>
  <si>
    <t xml:space="preserve">Los archivos que se encuentran adjuntos en un correo electrónico deben ser analizados por una herramienta anti-malware.</t>
  </si>
  <si>
    <t xml:space="preserve">REQ.0119</t>
  </si>
  <si>
    <t xml:space="preserve">Se debe hacer uso del campo BCC en lugar de destinatario al momento de enviar correos masivos.</t>
  </si>
  <si>
    <t xml:space="preserve">REQ.0120</t>
  </si>
  <si>
    <t xml:space="preserve">Todos los correos electrónicos deben archivarse en un lugar central.</t>
  </si>
  <si>
    <t xml:space="preserve">Adaptabilidad</t>
  </si>
  <si>
    <t xml:space="preserve">REQ.0121</t>
  </si>
  <si>
    <t xml:space="preserve">Sistemas que empleen cuentas de correo para el registro de usuarios deben garantizar la unicidad de los correos, siguiendo el estándar de la estructura de dirección de correo RFC822.</t>
  </si>
  <si>
    <t xml:space="preserve">REQ.0122</t>
  </si>
  <si>
    <t xml:space="preserve">El sistema debe garantizar que el correo electrónico declarado realmente pertenece a la persona en cuestión.</t>
  </si>
  <si>
    <t xml:space="preserve">REQ.0123</t>
  </si>
  <si>
    <t xml:space="preserve">El sistema debe garantizar que la visualización de correos electrónicos expuestos sean vistos sólo por humanos.</t>
  </si>
  <si>
    <t xml:space="preserve">REQ.0124</t>
  </si>
  <si>
    <t xml:space="preserve">El sistema debe notificar a un usuario el vencimiento de su contraseña con una antelación de 7 días.</t>
  </si>
  <si>
    <t xml:space="preserve">Credenciales de acceso</t>
  </si>
  <si>
    <t xml:space="preserve">REQ.0125</t>
  </si>
  <si>
    <t xml:space="preserve">El sistema debe permitir a un usuario realizar un cambio de contraseña de forma autónoma hasta 5 días después del vencimiento de la misma.</t>
  </si>
  <si>
    <t xml:space="preserve">REQ.0126</t>
  </si>
  <si>
    <t xml:space="preserve">El sistema debe poseer un mecanismo para que un usuario pueda recordar o restaurar su contraseña.</t>
  </si>
  <si>
    <t xml:space="preserve">REQ.0127</t>
  </si>
  <si>
    <t xml:space="preserve">Las contraseñas deben almacenarse a través de resúmenes criptográficos.</t>
  </si>
  <si>
    <t xml:space="preserve">REQ.0128</t>
  </si>
  <si>
    <t xml:space="preserve">Las contraseñas deben estar almacenadas en una fuente de datos única.</t>
  </si>
  <si>
    <t xml:space="preserve">REQ.0129</t>
  </si>
  <si>
    <t xml:space="preserve">El sistema no debe permitir cambio de contraseña para un usuario, si la nueva contraseña es igual a alguna de las últimas 5 contraseñas de ese usuario.</t>
  </si>
  <si>
    <t xml:space="preserve">REQ.0130</t>
  </si>
  <si>
    <t xml:space="preserve">Las contraseñas deben tener una validez máxima de 30 días.</t>
  </si>
  <si>
    <t xml:space="preserve">REQ.0131</t>
  </si>
  <si>
    <t xml:space="preserve">La contraseña no debe poder cambiarse mas de una vez en un mismo día.</t>
  </si>
  <si>
    <t xml:space="preserve">REQ.0132</t>
  </si>
  <si>
    <t xml:space="preserve">Las contraseñas (tipo frase) deben tener al menos 3 palabras de longitud.</t>
  </si>
  <si>
    <t xml:space="preserve">REQ.0133</t>
  </si>
  <si>
    <t xml:space="preserve">La contraseñas de acceso de un sistema a otro sistema deben tener una longitud superior a 20 caracteres.</t>
  </si>
  <si>
    <t xml:space="preserve">REQ.0134</t>
  </si>
  <si>
    <t xml:space="preserve">El sistema debe almacenar las contraseñas con diferentes derivaciones de clave (Salt).</t>
  </si>
  <si>
    <t xml:space="preserve">REQ.0135</t>
  </si>
  <si>
    <t xml:space="preserve">Las derivaciones de clave (Salt), deben ser aleatorias y de mínimo 48 bits.</t>
  </si>
  <si>
    <t xml:space="preserve">REQ.0136</t>
  </si>
  <si>
    <t xml:space="preserve">El sistema debe forzar el cambio de contraseñas temporales generadas automáticamente después de su primer uso.</t>
  </si>
  <si>
    <t xml:space="preserve">REQ.0137</t>
  </si>
  <si>
    <t xml:space="preserve">El sistema debe forzar el cambio de contraseñas temporales generadas por un tercero después de su primer uso.</t>
  </si>
  <si>
    <t xml:space="preserve">REQ.0138</t>
  </si>
  <si>
    <t xml:space="preserve">Las contraseñas temporales que son generadas para ingreso inicial en un sistema deben tener una validez máxima de 120 minutos.</t>
  </si>
  <si>
    <t xml:space="preserve">REQ.0139</t>
  </si>
  <si>
    <t xml:space="preserve">Las claves de un sólo uso deben tener una longitud mínima de 6 caracteres.</t>
  </si>
  <si>
    <t xml:space="preserve">REQ.0140</t>
  </si>
  <si>
    <t xml:space="preserve">Las claves de un sólo uso deben tener un validez máxima de 60 segundos.</t>
  </si>
  <si>
    <t xml:space="preserve">REQ.0141</t>
  </si>
  <si>
    <t xml:space="preserve">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</si>
  <si>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 xml:space="preserve">REQ.0142</t>
  </si>
  <si>
    <t xml:space="preserve">La organización debe modificar todas las credenciales de acceso por defecto de sistemas empaquetados.</t>
  </si>
  <si>
    <t xml:space="preserve">REQ.0143</t>
  </si>
  <si>
    <t xml:space="preserve">Las credenciales de acceso al sistema deben ser únicas para cada actor.</t>
  </si>
  <si>
    <t xml:space="preserve">REQ.0144</t>
  </si>
  <si>
    <t xml:space="preserve">La organización debe depurar las cuentas de usuario de forma periódica</t>
  </si>
  <si>
    <t xml:space="preserve">REQ.0145</t>
  </si>
  <si>
    <t xml:space="preserve">Las llaves asimétricas privadas o simétricas del sistema deben estar protegidas y no deben ser expuestas.</t>
  </si>
  <si>
    <t xml:space="preserve">Criptografía</t>
  </si>
  <si>
    <t xml:space="preserve">REQ.0146</t>
  </si>
  <si>
    <t xml:space="preserve">Las llaves criptográficas deben permanecer en RAM máximo 5 segundos</t>
  </si>
  <si>
    <t xml:space="preserve">REQ.0147</t>
  </si>
  <si>
    <t xml:space="preserve">Las funciones de criptografía del sistema deben ser implementadas con mecanismos criptográficos pre-existentes y vigentes.</t>
  </si>
  <si>
    <t xml:space="preserve">REQ.0148</t>
  </si>
  <si>
    <t xml:space="preserve">Debe utilizarse como mecanismo de cifrado asimétrico un tamaño de clave mínimo de 2048 bits.</t>
  </si>
  <si>
    <t xml:space="preserve">REQ.0149</t>
  </si>
  <si>
    <t xml:space="preserve">Debe utilizarse como mecanismo de cifrado simétrico un tamaño de clave mínimo de 128 bits.</t>
  </si>
  <si>
    <t xml:space="preserve">REQ.0150</t>
  </si>
  <si>
    <t xml:space="preserve">Debe utilizarse funciones resumen con un tamaño mínimo de 256 bits.</t>
  </si>
  <si>
    <t xml:space="preserve">REQ.0151</t>
  </si>
  <si>
    <t xml:space="preserve">Debe utilizarse con la criptografía asimétrica pares de claves separados para cifrado y firmado.</t>
  </si>
  <si>
    <t xml:space="preserve">REQ.0152</t>
  </si>
  <si>
    <t xml:space="preserve">El sistema debe reutilizar las conexiones a la base de datos.</t>
  </si>
  <si>
    <t xml:space="preserve">Código fuente</t>
  </si>
  <si>
    <t xml:space="preserve">REQ.0153</t>
  </si>
  <si>
    <t xml:space="preserve">La transacción debe confirmarse fuera de banda (SMS, correo, entre otros).</t>
  </si>
  <si>
    <t xml:space="preserve">REQ.0154</t>
  </si>
  <si>
    <t xml:space="preserve">El código fuente de un sistema no debe realizar funciones diferentes a las que han sido especificadas en los requisitos funcionales (puertas traseras).</t>
  </si>
  <si>
    <t xml:space="preserve">REQ.0155</t>
  </si>
  <si>
    <t xml:space="preserve">El código de la aplicación debe estar libre de código malicioso.</t>
  </si>
  <si>
    <t xml:space="preserve">REQ.0156</t>
  </si>
  <si>
    <t xml:space="preserve">El código fuente no debe contener información sensible.</t>
  </si>
  <si>
    <t xml:space="preserve">REQ.0157</t>
  </si>
  <si>
    <t xml:space="preserve">El código debe compilarse o interpretarse de forma estricta.</t>
  </si>
  <si>
    <t xml:space="preserve">REQ.0158</t>
  </si>
  <si>
    <t xml:space="preserve">La codificación del sistema debe estar implementada en una versión de un lenguaje de programación estable, actualizada, probada y libre de vulnerabilidades conocidas.</t>
  </si>
  <si>
    <t xml:space="preserve">REQ.0159</t>
  </si>
  <si>
    <t xml:space="preserve">El código fuente debe estar ofuscado en ambiente de producción.</t>
  </si>
  <si>
    <t xml:space="preserve">REQ.0160</t>
  </si>
  <si>
    <t xml:space="preserve">La salida de información del sistema debe estar codificada en el lenguaje correspondiente (escaping).</t>
  </si>
  <si>
    <t xml:space="preserve">REQ.0161</t>
  </si>
  <si>
    <t xml:space="preserve">El código debe definir opciones por defecto seguras que garanticen fallos seguros en la aplicación. (try, catch/except; default en switches)</t>
  </si>
  <si>
    <t xml:space="preserve">REQ.0162</t>
  </si>
  <si>
    <t xml:space="preserve">El código fuente no debe tener funciones, métodos o clases repetidas.</t>
  </si>
  <si>
    <t xml:space="preserve">REQ.0163</t>
  </si>
  <si>
    <t xml:space="preserve">Las funciones, métodos o clases deben ser invocadas en algún escenario funcional del sistema.</t>
  </si>
  <si>
    <t xml:space="preserve">REQ.0164</t>
  </si>
  <si>
    <t xml:space="preserve">El código debe utilizar contenedores o estructuras de datos optimizadas.</t>
  </si>
  <si>
    <t xml:space="preserve">REQ.0166</t>
  </si>
  <si>
    <t xml:space="preserve">El código fuente debe contener funciones, métodos o fragmentos de código con una complejidad ciclomática (McCabe) inferior a 20.</t>
  </si>
  <si>
    <t xml:space="preserve">REQ.0167</t>
  </si>
  <si>
    <t xml:space="preserve">El código fuente debe estar implementado de tal forma que cierre cualquier recurso que se encuentre abierto y no esté siendo utilizando.</t>
  </si>
  <si>
    <t xml:space="preserve">REQ.0168</t>
  </si>
  <si>
    <t xml:space="preserve">Las variables del código fuente deben estar inicializadas de forma explícita.</t>
  </si>
  <si>
    <t xml:space="preserve">REQ.0169</t>
  </si>
  <si>
    <t xml:space="preserve">Debe usarse construcciones parametrizadas o procedimientos almacenados parametrizados para la creación dinámica de sentencias (ej: java.sql.PreparedStatement)</t>
  </si>
  <si>
    <t xml:space="preserve">REQ.0170</t>
  </si>
  <si>
    <t xml:space="preserve">El código fuente debe estar implementado de tal forma que todas las variables tengan un tipo de dato asociado.</t>
  </si>
  <si>
    <t xml:space="preserve">REQ.0171</t>
  </si>
  <si>
    <t xml:space="preserve">Los comentarios del código fuente en ambiente de producción deben ser removidos.</t>
  </si>
  <si>
    <t xml:space="preserve">REQ.0172</t>
  </si>
  <si>
    <t xml:space="preserve">Las cadenas de conexión a la base de datos deben de estar cifradas en un archivo de configuración separado del código fuente.</t>
  </si>
  <si>
    <t xml:space="preserve">REQ.0173</t>
  </si>
  <si>
    <t xml:space="preserve">El sistema debe descartar toda la información potencialmente insegura que sea recibida por entradas de datos.</t>
  </si>
  <si>
    <t xml:space="preserve">REQ.0174</t>
  </si>
  <si>
    <t xml:space="preserve">La aplicación debe garantizar que las peticiones que ejecuten transacciones no sigan un patrón discernible.</t>
  </si>
  <si>
    <t xml:space="preserve">REQ.0175</t>
  </si>
  <si>
    <t xml:space="preserve">Una página Web debe protegerse de ser embebida en sitios maliciosos (clickjacking).</t>
  </si>
  <si>
    <t xml:space="preserve">REQ.0176</t>
  </si>
  <si>
    <t xml:space="preserve">El sistema debe restringir el acceso a objetos del sistema que tengan contenido sensible. Sólo permitirá su acceso a usuarios autorizados.</t>
  </si>
  <si>
    <t xml:space="preserve">Datos</t>
  </si>
  <si>
    <t xml:space="preserve">REQ.0177</t>
  </si>
  <si>
    <t xml:space="preserve">El sistema no debe almacenar información sensible en archivos temporales o en memoria caché.</t>
  </si>
  <si>
    <t xml:space="preserve">REQ.0178</t>
  </si>
  <si>
    <t xml:space="preserve">Debe utilizarse firmas digitales para garantizar la autenticidad de información sensible.</t>
  </si>
  <si>
    <t xml:space="preserve">REQ.0179</t>
  </si>
  <si>
    <t xml:space="preserve">La organización debe definir el periodo de frecuencia para ejecutar el respaldo a cada sistema de información.</t>
  </si>
  <si>
    <t xml:space="preserve">Recuperabilidad</t>
  </si>
  <si>
    <t xml:space="preserve">REQ.0180</t>
  </si>
  <si>
    <t xml:space="preserve">Los datos de ambientes diferentes a producción deben estar enmascarados.</t>
  </si>
  <si>
    <t xml:space="preserve">REQ.0181</t>
  </si>
  <si>
    <t xml:space="preserve">La transmisión de información sensible o la ejecución de funciones sensibles debe hacerse a través de protocolos seguros.</t>
  </si>
  <si>
    <t xml:space="preserve">REQ.0182</t>
  </si>
  <si>
    <t xml:space="preserve">Los datos del sistema operativo y los datos de negocio deben estar almacenados en ubicaciones diferentes.</t>
  </si>
  <si>
    <t xml:space="preserve">REQ.0183</t>
  </si>
  <si>
    <t xml:space="preserve">El sistema debe soportar la eliminación segura de datos sensibles cuando estos ya no son requeridos, de tal forma que no puedan ser recuperados.</t>
  </si>
  <si>
    <t xml:space="preserve">REQ.0184</t>
  </si>
  <si>
    <t xml:space="preserve">Los datos deben estar distorsionados si la aplicación no está en foco.</t>
  </si>
  <si>
    <t xml:space="preserve">REQ.0185</t>
  </si>
  <si>
    <t xml:space="preserve">La información sensible almacenada debe estar cifrada.</t>
  </si>
  <si>
    <t xml:space="preserve">REQ.0186</t>
  </si>
  <si>
    <t xml:space="preserve">El sistema debe utilizar el mínimo nivel de privilegios cuando accede a otro sistema o a bases de datos.</t>
  </si>
  <si>
    <t xml:space="preserve">REQ.0187</t>
  </si>
  <si>
    <t xml:space="preserve">La recolección activa de datos personales debe ser autorizada por el usuario dueño de la información (OECD.7, ISACA.G31.1.)</t>
  </si>
  <si>
    <t xml:space="preserve">REQ.0188</t>
  </si>
  <si>
    <t xml:space="preserve">Los datos personales deben poder ser actualizados por el usuario. (OECD.8, ISACA.G31.2.)</t>
  </si>
  <si>
    <t xml:space="preserve">REQ.0189</t>
  </si>
  <si>
    <t xml:space="preserve">El sistema debe especificar el propósito de la recolección de datos personales. (OECD.9, ISACA.G31.3.)</t>
  </si>
  <si>
    <t xml:space="preserve">REQ.0190</t>
  </si>
  <si>
    <t xml:space="preserve">El sistema debe usar los datos personales sólo para el propósito indicado. (OECD.10, ISACA.G31.4.)</t>
  </si>
  <si>
    <t xml:space="preserve">REQ.0191</t>
  </si>
  <si>
    <t xml:space="preserve">Los datos personales deben protegerse con el máximo nivel de protección definido. (ISACA.G31.5)</t>
  </si>
  <si>
    <t xml:space="preserve">REQ.0192</t>
  </si>
  <si>
    <t xml:space="preserve">Los datos de respaldos deben almacenarse cifrados.</t>
  </si>
  <si>
    <t xml:space="preserve">REQ.0193</t>
  </si>
  <si>
    <t xml:space="preserve">Los datos de respaldos deben almacenarse fuera del sitio origen (sedes geográficamente distantes).</t>
  </si>
  <si>
    <t xml:space="preserve">REQ.0194</t>
  </si>
  <si>
    <t xml:space="preserve">La organización debe determinar qué tipo de dispositivos foráneos tienen permiso de consumir recursos internos.</t>
  </si>
  <si>
    <t xml:space="preserve">Dispositivos foráneos (BYOD)</t>
  </si>
  <si>
    <t xml:space="preserve">REQ.0195</t>
  </si>
  <si>
    <t xml:space="preserve">La organización debe determinar qué sistemas operativos de dispositivos foráneos tienen permiso de consumir recursos internos.</t>
  </si>
  <si>
    <t xml:space="preserve">REQ.0196</t>
  </si>
  <si>
    <t xml:space="preserve">La organización debe determinar qué aplicaciones deben estar instaladas en los dispositivos foráneos para consumir recursos internos.</t>
  </si>
  <si>
    <t xml:space="preserve">REQ.0197</t>
  </si>
  <si>
    <t xml:space="preserve">La organización debe determinar qué aplicaciones están prohibidas en los dispositivos foráneos para consumir recursos internos.</t>
  </si>
  <si>
    <t xml:space="preserve">REQ.0198</t>
  </si>
  <si>
    <t xml:space="preserve">La organización debe determinar qué personas (empleados de ciertos roles, visitantes, etc) pueden usar dispositivos foráneos.</t>
  </si>
  <si>
    <t xml:space="preserve">REQ.0199</t>
  </si>
  <si>
    <t xml:space="preserve">La organización debe determinar qué servicios, en qué momento y quién puede acceder con dispositivos foráneos.</t>
  </si>
  <si>
    <t xml:space="preserve">REQ.0200</t>
  </si>
  <si>
    <t xml:space="preserve">La organización debe llevar registro de las máquinas foráneas ingresadas y retiradas.</t>
  </si>
  <si>
    <t xml:space="preserve">REQ.0201</t>
  </si>
  <si>
    <t xml:space="preserve">El dispositivo debe tener la capacidad de demostrar si fue manipulado o abierto de forma no autorizada.</t>
  </si>
  <si>
    <t xml:space="preserve">Dispositivos físicos</t>
  </si>
  <si>
    <t xml:space="preserve">REQ.0202</t>
  </si>
  <si>
    <t xml:space="preserve">El dispositivo debe eliminar la información confidencial que contenga, ante el evento de apertura del mismo.</t>
  </si>
  <si>
    <t xml:space="preserve">REQ.0203</t>
  </si>
  <si>
    <t xml:space="preserve">El dispositivo debe impedir que el ingreso de información pueda ser observado por un tercero (cubierta).</t>
  </si>
  <si>
    <t xml:space="preserve">REQ.0204</t>
  </si>
  <si>
    <t xml:space="preserve">Las pantallas expuestas al usuario sólo deben permitir visualización perpendicular.</t>
  </si>
  <si>
    <t xml:space="preserve">REQ.0205</t>
  </si>
  <si>
    <t xml:space="preserve">Los dispositivos que se conectan a la red celular deben tener configurado un número de identificación personal (PIN) en la SIM Card.</t>
  </si>
  <si>
    <t xml:space="preserve">Dispositivos móviles</t>
  </si>
  <si>
    <t xml:space="preserve">REQ.0206</t>
  </si>
  <si>
    <t xml:space="preserve">Protocolos de comunicación de los dispositivos móviles que permiten intercambio de datos (Bluetooth, NFC, Tethering) deben permanecer ocultas, configurado con credenciales o permanecer apagadas.</t>
  </si>
  <si>
    <t xml:space="preserve">REQ.0207</t>
  </si>
  <si>
    <t xml:space="preserve">En dispositivos portátiles y móviles, el sistema debe permitir el cifrado de discos y particiones de discos.</t>
  </si>
  <si>
    <t xml:space="preserve">REQ.0208</t>
  </si>
  <si>
    <t xml:space="preserve">Los dispositivos que se conectan a la red celular deben tener el IMEI registrado ante el operador de telefonía móvil celular autorizado.</t>
  </si>
  <si>
    <t xml:space="preserve">REQ.0209</t>
  </si>
  <si>
    <t xml:space="preserve">Aplicaciones que se autentiquen fuera de línea, sólo deben almacenar una contraseña en el caché de autenticación.</t>
  </si>
  <si>
    <t xml:space="preserve">REQ.0210</t>
  </si>
  <si>
    <t xml:space="preserve">La información de los dispositivos móviles deberá ser eliminada después de 10 intentos fallidos de la autenticación.</t>
  </si>
  <si>
    <t xml:space="preserve">REQ.0211</t>
  </si>
  <si>
    <t xml:space="preserve">Los dispositivos móviles deben estar restringidos y limitados de forma centralizada por políticas de seguridad definidas por la organización.</t>
  </si>
  <si>
    <t xml:space="preserve">REQ.0212</t>
  </si>
  <si>
    <t xml:space="preserve">Las interfaces de comunicación de los dispositivos móviles que permiten acceso a Internet mediante un plan de datos, deben permanecer apagadas cuando el equipo esté conectado a la red de la organización.</t>
  </si>
  <si>
    <t xml:space="preserve">REQ.0213</t>
  </si>
  <si>
    <t xml:space="preserve">El dispositivo móvil debe permitir su ubicación geográfica de forma remota en caso de pérdida.</t>
  </si>
  <si>
    <t xml:space="preserve">REQ.0214</t>
  </si>
  <si>
    <t xml:space="preserve">El dispositivo móvil debe permitir la destrucción de sus datos de forma remota en caso de pérdida.</t>
  </si>
  <si>
    <t xml:space="preserve">REQ.0215</t>
  </si>
  <si>
    <t xml:space="preserve">No deben existir reglas de firewall redundantes u opuestas.</t>
  </si>
  <si>
    <t xml:space="preserve">Firewall</t>
  </si>
  <si>
    <t xml:space="preserve">REQ.0216</t>
  </si>
  <si>
    <t xml:space="preserve">Los objetos de red que no sean usados deben ser eliminados de la configuración de los equipos de firewall.</t>
  </si>
  <si>
    <t xml:space="preserve">REQ.0217</t>
  </si>
  <si>
    <t xml:space="preserve">Las reglas desactivadas no deben permanecer en la configuración del equipo de firewall.</t>
  </si>
  <si>
    <t xml:space="preserve">REQ.0218</t>
  </si>
  <si>
    <t xml:space="preserve">Si el hipervisor permite la revisión de memoria y registros de CPU entre máquinas virtuales, se debe controlar el acceso sólo a una máquina virtual de soporte de seguridad.</t>
  </si>
  <si>
    <t xml:space="preserve">Hipervisor</t>
  </si>
  <si>
    <t xml:space="preserve">REQ.0219</t>
  </si>
  <si>
    <t xml:space="preserve">El manejo de hipervisores en una granja de virtualización, se debe hacer a través de un software central de gestión.</t>
  </si>
  <si>
    <t xml:space="preserve">REQ.0220</t>
  </si>
  <si>
    <t xml:space="preserve">En una granja de virtualización, la aplicación de gestión de los hipervisores debe tener perfiles de máquina para monitorear posibles cambios no autorizados.</t>
  </si>
  <si>
    <t xml:space="preserve">REQ.0221</t>
  </si>
  <si>
    <t xml:space="preserve">Una máquina virtual no debe tener conectados dispositivos que no sean necesarios para su funcionamiento (Floppy, IDE, CD/DVD, USB, Serial).</t>
  </si>
  <si>
    <t xml:space="preserve">Máquina virtual</t>
  </si>
  <si>
    <t xml:space="preserve">REQ.0222</t>
  </si>
  <si>
    <t xml:space="preserve">Una máquina virtual no debe acceder a información de la máquina host.</t>
  </si>
  <si>
    <t xml:space="preserve">REQ.0223</t>
  </si>
  <si>
    <t xml:space="preserve">Los números aleatorios generados deben seguir una distribución uniforme.</t>
  </si>
  <si>
    <t xml:space="preserve">Números aleatorios</t>
  </si>
  <si>
    <t xml:space="preserve">REQ.0224</t>
  </si>
  <si>
    <t xml:space="preserve">Debe usarse el mecanismo criptográfico más seguro ofrecido por la plataforma (ej: java.security.SecureRandom) para la generación de números aleatorios usados en procesos críticos (ej: generación de ID, mapeo de códigos, llaves).</t>
  </si>
  <si>
    <t xml:space="preserve">REQ.0225</t>
  </si>
  <si>
    <t xml:space="preserve">Las respuestas del sistema a los fallos de autenticación no deben indicar cual parte de la autenticación fue incorrecta.</t>
  </si>
  <si>
    <t xml:space="preserve">Proceso de autenticación</t>
  </si>
  <si>
    <t xml:space="preserve">REQ.0226</t>
  </si>
  <si>
    <t xml:space="preserve">El sistema nunca debe bloquear una cuenta de un usuario ante uno o varios intentos fallidos de autenticación.</t>
  </si>
  <si>
    <t xml:space="preserve">REQ.0227</t>
  </si>
  <si>
    <t xml:space="preserve">El sistema debe notificar a cualquier actor que intenta autenticarse, que el acceso en el mismo sistema sólo está disponible para usuarios autorizados.</t>
  </si>
  <si>
    <t xml:space="preserve">REQ.0228</t>
  </si>
  <si>
    <t xml:space="preserve">El Proceso de Autenticación unificado (SSO: Single Sign On) debe implementarse mediante protocolos estándar (ej: SAML).</t>
  </si>
  <si>
    <t xml:space="preserve">REQ.0229</t>
  </si>
  <si>
    <t xml:space="preserve">El sistema debe solicitar a cualquier actor que intenta autenticarse, como mínimo un nombre de usuario y una contraseña.</t>
  </si>
  <si>
    <t xml:space="preserve">REQ.0230</t>
  </si>
  <si>
    <t xml:space="preserve">Un sistema con información crítica para el negocio debe requerir claves de un sólo uso en el proceso de autenticación.</t>
  </si>
  <si>
    <t xml:space="preserve">REQ.0231</t>
  </si>
  <si>
    <t xml:space="preserve">Un sistema con información crítica para el negocio debe tener un componente para verificación biométrica durante el proceso de autenticación.</t>
  </si>
  <si>
    <t xml:space="preserve">REQ.0232</t>
  </si>
  <si>
    <t xml:space="preserve">Un sistema con información crítica para el negocio debe requerir la identificación del equipo desde el cual se autentica un usuario o sistema.</t>
  </si>
  <si>
    <t xml:space="preserve">REQ.0233</t>
  </si>
  <si>
    <t xml:space="preserve">El sistema no debe imprimir contraseñas en pantalla o recursos visibles.</t>
  </si>
  <si>
    <t xml:space="preserve">REQ.0234</t>
  </si>
  <si>
    <t xml:space="preserve">Las credenciales para la autenticación a un sistema con información crítica para el negocio deben estar bajo la custodia de dos usuarios.</t>
  </si>
  <si>
    <t xml:space="preserve">REQ.0235</t>
  </si>
  <si>
    <t xml:space="preserve">El proceso de autenticación debe disponer de una interfaz separada para el ingreso de credenciales en pantalla (ingreso accidental en pantalla)</t>
  </si>
  <si>
    <t xml:space="preserve">REQ.0236</t>
  </si>
  <si>
    <t xml:space="preserve">El proceso de autenticación debe tener un tiempo límite establecido de 30 segundos.</t>
  </si>
  <si>
    <t xml:space="preserve">REQ.0237</t>
  </si>
  <si>
    <t xml:space="preserve">El sistema debe garantizar que quien realiza las acciones de registro, autenticación y restablecimiento de contraseña es un humano (usando CAPTCHA o retrasos incrementales)</t>
  </si>
  <si>
    <t xml:space="preserve">REQ.0238</t>
  </si>
  <si>
    <t xml:space="preserve">El sistema debe garantizar que la persona que realiza el proceso de restablecimiento de contraseña sea realmente el propietario.</t>
  </si>
  <si>
    <t xml:space="preserve">REQ.0239</t>
  </si>
  <si>
    <t xml:space="preserve">El criterio de seguridad de la organización debe incluir los requisitos legales específicos que aplican sobre la seguridad de información.</t>
  </si>
  <si>
    <t xml:space="preserve">Proceso de desarrollo</t>
  </si>
  <si>
    <t xml:space="preserve">REQ.0240</t>
  </si>
  <si>
    <t xml:space="preserve">La organización debe realizar revisiones de seguridad del código fuente a través de herramientas automatizadas.</t>
  </si>
  <si>
    <t xml:space="preserve">REQ.0241</t>
  </si>
  <si>
    <t xml:space="preserve">La organización debe definir los requisitos del criterio de seguridad de la información que aplican para el sistema.</t>
  </si>
  <si>
    <t xml:space="preserve">REQ.0242</t>
  </si>
  <si>
    <t xml:space="preserve">El soporte a las aplicaciones o sistemas debe realizarse sólo en ambientes diferentes a producción (desarrollo, pruebas o calidad, UAT)</t>
  </si>
  <si>
    <t xml:space="preserve">REQ.0243</t>
  </si>
  <si>
    <t xml:space="preserve">La organización debe definir y documentar un procedimiento para tratar los incidentes de seguridad.</t>
  </si>
  <si>
    <t xml:space="preserve">Procesos de negocio</t>
  </si>
  <si>
    <t xml:space="preserve">REQ.0244</t>
  </si>
  <si>
    <t xml:space="preserve">La organización debe definir y documentar un procedimiento para respaldar la información.</t>
  </si>
  <si>
    <t xml:space="preserve">REQ.0245</t>
  </si>
  <si>
    <t xml:space="preserve">La organización debe definir y documentar un procedimiento para control de cambios.</t>
  </si>
  <si>
    <t xml:space="preserve">REQ.0246</t>
  </si>
  <si>
    <t xml:space="preserve">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</si>
  <si>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 xml:space="preserve">REQ.0247</t>
  </si>
  <si>
    <t xml:space="preserve">Las redes privadas deben tener deshabilitada la publicación del SSID (Service Set Identifier).</t>
  </si>
  <si>
    <t xml:space="preserve">Redes inalámbricas</t>
  </si>
  <si>
    <t xml:space="preserve">REQ.0248</t>
  </si>
  <si>
    <t xml:space="preserve">El nombre del SSID de la red inalámbrica no debe contener palabras de diccionario.</t>
  </si>
  <si>
    <t xml:space="preserve">REQ.0249</t>
  </si>
  <si>
    <t xml:space="preserve">Los puntos de acceso a la red deben estar ubicados en lugares que permitan que la señal se propague sólo en las instalaciones autorizadas.</t>
  </si>
  <si>
    <t xml:space="preserve">REQ.0250</t>
  </si>
  <si>
    <t xml:space="preserve">La administración del punto de acceso inalámbrico debe estar habilitada sólo en un puerto físico del equipo.</t>
  </si>
  <si>
    <t xml:space="preserve">REQ.0251</t>
  </si>
  <si>
    <t xml:space="preserve">Los puntos de acceso no deben usar la dirección IP configurada de fábrica.</t>
  </si>
  <si>
    <t xml:space="preserve">REQ.0252</t>
  </si>
  <si>
    <t xml:space="preserve">Se debe preferir el uso de los métodos de cifrado de clave WPA2 Personal o WPA2 Enterprise (802.1x).</t>
  </si>
  <si>
    <t xml:space="preserve">REQ.0253</t>
  </si>
  <si>
    <t xml:space="preserve">Las redes inalámbricas privadas deben filtrar el acceso por medio de credenciales y de una dirección MAC autorizada.</t>
  </si>
  <si>
    <t xml:space="preserve">REQ.0254</t>
  </si>
  <si>
    <t xml:space="preserve">La organización debe cambiar el nombre por defecto de fábrica del SSID de la red inalámbrica.</t>
  </si>
  <si>
    <t xml:space="preserve">REQ.0255</t>
  </si>
  <si>
    <t xml:space="preserve">Los segmentos de usuarios y servidores con aplicaciones o contenido deben permitir acceso sólo a los puertos necesarios.</t>
  </si>
  <si>
    <t xml:space="preserve">Redes lógicas</t>
  </si>
  <si>
    <t xml:space="preserve">REQ.0256</t>
  </si>
  <si>
    <t xml:space="preserve">Los servidores con aplicaciones o contenido sólo deben tener acceso a los puertos que les permitan cumplir su propósito.</t>
  </si>
  <si>
    <t xml:space="preserve">REQ.0257</t>
  </si>
  <si>
    <t xml:space="preserve">El acceso físico a la red para los usuarios debe asignarse con base en las credenciales del usuario en la organización - NAC (ej: 802.1x).</t>
  </si>
  <si>
    <t xml:space="preserve">REQ.0258</t>
  </si>
  <si>
    <t xml:space="preserve">La organización debe filtrar el contenido de sitios web accedidos desde una ubicación perteneciente a la misma entidad. (Proxy de salida)</t>
  </si>
  <si>
    <t xml:space="preserve">REQ.0259</t>
  </si>
  <si>
    <t xml:space="preserve">La red de la organización debe estar segmentada.</t>
  </si>
  <si>
    <t xml:space="preserve">REQ.0260</t>
  </si>
  <si>
    <t xml:space="preserve">Debe utilizarse correos diferentes al corporativo para registrar cuentas en redes sociales (aún en LinkedIn).</t>
  </si>
  <si>
    <t xml:space="preserve">Redes sociales</t>
  </si>
  <si>
    <t xml:space="preserve">REQ.0261</t>
  </si>
  <si>
    <t xml:space="preserve">En las cuentas personales de redes sociales no se debe exponer información corporativa.</t>
  </si>
  <si>
    <t xml:space="preserve">REQ.0262</t>
  </si>
  <si>
    <t xml:space="preserve">Los componentes provistos por terceros deben corresponder a versiones estables, probadas y actualizadas..</t>
  </si>
  <si>
    <t xml:space="preserve">Servicios y funciones</t>
  </si>
  <si>
    <t xml:space="preserve">REQ.0263</t>
  </si>
  <si>
    <t xml:space="preserve">El sistema debe tener mecanismos de protección contra robots que indexen información, landings o recursos.</t>
  </si>
  <si>
    <t xml:space="preserve">REQ.0264</t>
  </si>
  <si>
    <t xml:space="preserve">El sistema debe requerir autenticación para todos los recursos, excepto para la consulta o visualización de aquellos específicamente clasificados como públicos.</t>
  </si>
  <si>
    <t xml:space="preserve">REQ.0265</t>
  </si>
  <si>
    <t xml:space="preserve">El sistema debe restringir el acceso a funciones del sistema que ejecutan procesos críticos de negocio. sólo permitirá acceso a usuarios autorizados.</t>
  </si>
  <si>
    <t xml:space="preserve">REQ.0266</t>
  </si>
  <si>
    <t xml:space="preserve">La organización debe deshabilitar las funciones inseguras de un sistema. (hardening de sistemas)</t>
  </si>
  <si>
    <t xml:space="preserve">REQ.0267</t>
  </si>
  <si>
    <t xml:space="preserve">La organización debe deshabilitar las funciones innecesarias de un sistema. (hardening de sistemas)</t>
  </si>
  <si>
    <t xml:space="preserve">REQ.0268</t>
  </si>
  <si>
    <t xml:space="preserve">El software complementario (drivers, módulos de kernel, etc) debe utilizar firmas digitales emitidas por el fabricante para garantizar su autenticidad.</t>
  </si>
  <si>
    <t xml:space="preserve">Sistema operativo</t>
  </si>
  <si>
    <t xml:space="preserve">REQ.0269</t>
  </si>
  <si>
    <t xml:space="preserve">Los privilegios para objetos nuevos deben establecerse según el principio de mínimo privilegio (umask).</t>
  </si>
  <si>
    <t xml:space="preserve">REQ.0270</t>
  </si>
  <si>
    <t xml:space="preserve">La gestión administrativa del sistema debe realizarse a través de usuarios con privilegios de administración que permitan el registro de tareas a cada individuo.</t>
  </si>
  <si>
    <t xml:space="preserve">REQ.0271</t>
  </si>
  <si>
    <t xml:space="preserve">La organización debe restringir el uso de compiladores en sistemas de producción únicamente para las aplicaciones que lo requieran.</t>
  </si>
  <si>
    <t xml:space="preserve">REQ.0272</t>
  </si>
  <si>
    <t xml:space="preserve">El sistema debe diferenciar la gestión en modo privilegiado del modo no privilegiado (fondo rojo, prompt rojo).</t>
  </si>
  <si>
    <t xml:space="preserve">REQ.0273</t>
  </si>
  <si>
    <t xml:space="preserve">Todas las máquinas en producción deben tener una suite de seguridad no alterable por los usuarios (Antivirus, Antispyware, Host-Firewall, Host-IDS, Host-IPS)</t>
  </si>
  <si>
    <t xml:space="preserve">REQ.0274</t>
  </si>
  <si>
    <t xml:space="preserve">Un sistema debe pertenecer únicamente a uno de los ambientes definidos. (Desarrollo, Pruebas - QA, Producción)</t>
  </si>
  <si>
    <t xml:space="preserve">REQ.0275</t>
  </si>
  <si>
    <t xml:space="preserve">Las máquinas deben iniciar por defecto directamente por el disco duro. Si se requiere inicio por otro medio (CD, USB, Red) se debe requerir contraseña de administración.</t>
  </si>
  <si>
    <t xml:space="preserve">REQ.0276</t>
  </si>
  <si>
    <t xml:space="preserve">Las rutas de carga implícita (variables de sistema como PATH) deben utilizar las rutas de mayor confianza (directorios de sistema operativo) antes de las rutas configurables por el usuario.</t>
  </si>
  <si>
    <t xml:space="preserve">REQ.0277</t>
  </si>
  <si>
    <t xml:space="preserve">La información (nombre de producto, versión o configuración) de servicios expuestos no debe ser accesible. (Ej, versiones que se publican al conectarse a un servicio como SSH)</t>
  </si>
  <si>
    <t xml:space="preserve">REQ.0278</t>
  </si>
  <si>
    <t xml:space="preserve">La organización debe controlar que la configuración del BIOS en las máquinas sólo pueda pueda ser accesible por personal autorizado.</t>
  </si>
  <si>
    <t xml:space="preserve">REQ.0279</t>
  </si>
  <si>
    <t xml:space="preserve">La organización debe controlar que la configuración de inicialización del sistema operativo sólo pueda ser accesible por personal autorizado. (bootloader - sistemas UNIX/Linux, registry en Windows)</t>
  </si>
  <si>
    <t xml:space="preserve">REQ.0280</t>
  </si>
  <si>
    <t xml:space="preserve">El proceso del servicio debe tener como raíz un directorio con sólo los archivos necesarios (jaulas).</t>
  </si>
  <si>
    <t xml:space="preserve">REQ.0281</t>
  </si>
  <si>
    <t xml:space="preserve">Las variables de entorno del sistema operativo sólo pueden ser modificables por el administrador del sistema.</t>
  </si>
  <si>
    <t xml:space="preserve">REQ.0282</t>
  </si>
  <si>
    <t xml:space="preserve">Las funcionalidades de ejecución automática de aplicaciones en medios removibles debe estar deshabilitada. (Deshabilitar autorun)</t>
  </si>
  <si>
    <t xml:space="preserve">REQ.0283</t>
  </si>
  <si>
    <t xml:space="preserve">Se debe deshabilitar el acceso directo con usuarios genéricos administrativos (root en sistemas UNIX, Administrator/Administrador en sistemas Windows) de forma remota.</t>
  </si>
  <si>
    <t xml:space="preserve">REQ.0284</t>
  </si>
  <si>
    <t xml:space="preserve">Un puerto debe tener un límite máximo de conexiones por IP origen.</t>
  </si>
  <si>
    <t xml:space="preserve">REQ.0285</t>
  </si>
  <si>
    <t xml:space="preserve">Las conexiones incompletas, encontradas en los protocolos de transporte orientados a conexión (TCP), deben implicar el menor costo de procesamiento posible. (Ataques de SYNFLOOD)</t>
  </si>
  <si>
    <t xml:space="preserve">REQ.0286</t>
  </si>
  <si>
    <t xml:space="preserve">La organización debe definir umbrales del estado normal y anormal de cada recurso del sistema.</t>
  </si>
  <si>
    <t xml:space="preserve">REQ.0287</t>
  </si>
  <si>
    <t xml:space="preserve">El sistema operativo debe generar una alerta sobre el estado de un recurso cuando el recurso sobrepase los umbrales definidos.</t>
  </si>
  <si>
    <t xml:space="preserve">REQ.0288</t>
  </si>
  <si>
    <t xml:space="preserve">El sistema operativo no debe permitir escribir información en medios extraíbles.</t>
  </si>
  <si>
    <t xml:space="preserve">REQ.0289</t>
  </si>
  <si>
    <t xml:space="preserve">Los medios de instalación e imágenes pre-configuradas de sistemas operativos deben estar en un lugar físicamente seguro.</t>
  </si>
  <si>
    <t xml:space="preserve">REQ.0290</t>
  </si>
  <si>
    <t xml:space="preserve">La instalación de nuevos sistemas operativos debe partir de una imagen preconfigurada.</t>
  </si>
  <si>
    <t xml:space="preserve">REQ.0291</t>
  </si>
  <si>
    <t xml:space="preserve">El tiempo de los sistemas y equipos de la organización debe estar sincronizado con la hora oficial del país.</t>
  </si>
  <si>
    <t xml:space="preserve">Exactitud</t>
  </si>
  <si>
    <t xml:space="preserve">REQ.0292</t>
  </si>
  <si>
    <t xml:space="preserve">El sistema debe autorizar explícitamente los periféricos de entrada (teclado, mouse, etc)</t>
  </si>
  <si>
    <t xml:space="preserve">REQ.0293</t>
  </si>
  <si>
    <t xml:space="preserve">El sistema operativo debe usar técnicas para evitar ejecución de código en stack (ASLR, PaX, canaries, deshabilitar bit de ejecución, etc).</t>
  </si>
  <si>
    <t xml:space="preserve">REQ.0294</t>
  </si>
  <si>
    <t xml:space="preserve">La organización debe garantizar que los sistemas no tengan instalado software no licenciado o pirata.</t>
  </si>
  <si>
    <t xml:space="preserve">REQ.0295</t>
  </si>
  <si>
    <t xml:space="preserve">La organización debe garantizar que los sistemas no tengan archivos ilegales con propiedad intelectual protegida.</t>
  </si>
  <si>
    <t xml:space="preserve">REQ.0296</t>
  </si>
  <si>
    <t xml:space="preserve">La organización debe contar con sistema de alarmas de intrusión física.</t>
  </si>
  <si>
    <t xml:space="preserve">Sistemas de control</t>
  </si>
  <si>
    <t xml:space="preserve">REQ.0297</t>
  </si>
  <si>
    <t xml:space="preserve">La organización debe contar con sensores de temperatura y humedad en áreas donde se almacene activos de información físicos o digitales.</t>
  </si>
  <si>
    <t xml:space="preserve">REQ.0298</t>
  </si>
  <si>
    <t xml:space="preserve">La organización debe probar el sistema de extinción de incendios mínimo 2 veces al año.</t>
  </si>
  <si>
    <t xml:space="preserve">REQ.0299</t>
  </si>
  <si>
    <t xml:space="preserve">La organización debe garantizar que el sistema de extinción de incendios debe ser basado en gases inertes (nunca en polvo químico ni mucho menos en agua).</t>
  </si>
  <si>
    <t xml:space="preserve">REQ.0300</t>
  </si>
  <si>
    <t xml:space="preserve">Los datos sensibles de negocio (número de tarjeta de crédito, CVV, etc) deben estar enmascarados.</t>
  </si>
  <si>
    <t xml:space="preserve">REQ.0301</t>
  </si>
  <si>
    <t xml:space="preserve">El sistema debe notificar al usuario cuando se realizan modificaciones sobre sus mecanismos de autenticación u otras configuraciones de seguridad.</t>
  </si>
  <si>
    <t xml:space="preserve">REQ.0302</t>
  </si>
  <si>
    <t xml:space="preserve">Las dependencias (software de terceros/librerías) deben ser declaradas explicitamente (nombre y versión) en un archivo dentro del código fuente.</t>
  </si>
  <si>
    <t xml:space="preserve">REQ.0303</t>
  </si>
  <si>
    <t xml:space="preserve">El despliegue de las aplicaciones debe hacerse en tiendas virtuales (marketplace) oficiales y confiables.</t>
  </si>
  <si>
    <t xml:space="preserve">REQ.0304</t>
  </si>
  <si>
    <t xml:space="preserve">La publicación de las aplicaciones en las tiendas virtuales, debe hacerse con el nombre oficial definido por la organización para este propósito</t>
  </si>
  <si>
    <t xml:space="preserve">REQ.0305</t>
  </si>
  <si>
    <t xml:space="preserve">Los sistemas relacionados con tarjeta de crédito deben hacer uso de tokenización en vez de almacenar los datos de la tarjeta</t>
  </si>
  <si>
    <t xml:space="preserve">REQ.0306</t>
  </si>
  <si>
    <t xml:space="preserve">No se deben usar mensajes de texto (SMS, MMS) para el envío de información confidencial desde la aplicación.</t>
  </si>
  <si>
    <t xml:space="preserve">REQ.0307</t>
  </si>
  <si>
    <t xml:space="preserve">El contrato de adquisición de una solución o servicio debe contar con clausulas de confidencialidad</t>
  </si>
  <si>
    <t xml:space="preserve">REQ.0308</t>
  </si>
  <si>
    <t xml:space="preserve">El contrato de un servicio debe contar con clausulas de responsabilidad ante eventos de seguridad o fraude</t>
  </si>
  <si>
    <t xml:space="preserve">REQ.0309</t>
  </si>
  <si>
    <t xml:space="preserve">Los desarrollos que se realicen a través de terceros deben estar amparados por requisitos contractuales de propiedad del código, propiedad intelectual, auditoria de calidad y pruebas antes de la implantación para detectar código malicioso.</t>
  </si>
  <si>
    <t xml:space="preserve">RIGUROSIDAD</t>
  </si>
  <si>
    <t xml:space="preserve">Req. Sí</t>
  </si>
  <si>
    <t xml:space="preserve">Req. No</t>
  </si>
  <si>
    <t xml:space="preserve">Rigurosidad del Perfilamiento</t>
  </si>
  <si>
    <t xml:space="preserve">Rigurosidad de la Prueba (Planeada)</t>
  </si>
  <si>
    <t xml:space="preserve">Rigurosidad Efectiva</t>
  </si>
  <si>
    <t xml:space="preserve">Hallazgos</t>
  </si>
  <si>
    <t xml:space="preserve">#</t>
  </si>
  <si>
    <t xml:space="preserve">Título</t>
  </si>
  <si>
    <t xml:space="preserve">Debilidad</t>
  </si>
  <si>
    <t xml:space="preserve">Dónde</t>
  </si>
  <si>
    <t xml:space="preserve">Donde Registros Comprometidos</t>
  </si>
  <si>
    <t xml:space="preserve">Requisitos</t>
  </si>
  <si>
    <t xml:space="preserve">Métricas CVSSv2</t>
  </si>
  <si>
    <t xml:space="preserve">Criticidad</t>
  </si>
  <si>
    <t xml:space="preserve">Vulnerabilidades</t>
  </si>
  <si>
    <t xml:space="preserve">Cantidad de Registros afectados</t>
  </si>
  <si>
    <t xml:space="preserve">Evidencia</t>
  </si>
  <si>
    <t xml:space="preserve">Solución efectos</t>
  </si>
  <si>
    <t xml:space="preserve">Instructivo de Solución</t>
  </si>
  <si>
    <t xml:space="preserve">REQ.XXXX</t>
  </si>
  <si>
    <t xml:space="preserve">Vulnerabilidad 1</t>
  </si>
  <si>
    <t xml:space="preserve">Red</t>
  </si>
  <si>
    <t xml:space="preserve">URL KB</t>
  </si>
  <si>
    <t xml:space="preserve">.*(xxxx|yyyy)</t>
  </si>
  <si>
    <t xml:space="preserve">Baja</t>
  </si>
  <si>
    <t xml:space="preserve">Ninguna</t>
  </si>
  <si>
    <t xml:space="preserve">Completo</t>
  </si>
  <si>
    <t xml:space="preserve">Alta</t>
  </si>
  <si>
    <t xml:space="preserve">Paliativa</t>
  </si>
  <si>
    <t xml:space="preserve">Confirmado</t>
  </si>
  <si>
    <t xml:space="preserve">Vulnerabilidad 2</t>
  </si>
  <si>
    <t xml:space="preserve">Vulnerabilidad 3</t>
  </si>
  <si>
    <t xml:space="preserve">Vulnerabilidad 4</t>
  </si>
  <si>
    <t xml:space="preserve">Vulnerabilidad 5</t>
  </si>
  <si>
    <t xml:space="preserve">Vulnerabilidad 6</t>
  </si>
  <si>
    <t xml:space="preserve">Vulnerabilidad 7</t>
  </si>
  <si>
    <t xml:space="preserve">Vulnerabilidad 8</t>
  </si>
  <si>
    <t xml:space="preserve">Vulnerabilidad 9</t>
  </si>
  <si>
    <t xml:space="preserve">Vulnerabilidad 10</t>
  </si>
  <si>
    <t xml:space="preserve">Vulnerabilidad 11</t>
  </si>
  <si>
    <t xml:space="preserve">Vulnerabilidad 12</t>
  </si>
  <si>
    <t xml:space="preserve">Vulnerabilidad 13</t>
  </si>
  <si>
    <t xml:space="preserve">Vulnerabilidad 14</t>
  </si>
  <si>
    <t xml:space="preserve">Vulnerabilidad 15</t>
  </si>
  <si>
    <t xml:space="preserve">Vulnerabilidad 16</t>
  </si>
  <si>
    <t xml:space="preserve">Vulnerabilidad 17</t>
  </si>
  <si>
    <t xml:space="preserve">Vulnerabilidad 18</t>
  </si>
  <si>
    <t xml:space="preserve">Vulnerabilidad 19</t>
  </si>
  <si>
    <t xml:space="preserve">Vulnerabilidad 20</t>
  </si>
  <si>
    <t xml:space="preserve">Vulnerabilidad 21</t>
  </si>
  <si>
    <t xml:space="preserve">Vulnerabilidad 22</t>
  </si>
  <si>
    <t xml:space="preserve">Vulnerabilidad 23</t>
  </si>
  <si>
    <t xml:space="preserve">Vulnerabilidad 24</t>
  </si>
  <si>
    <t xml:space="preserve">Vulnerabilidad 25</t>
  </si>
  <si>
    <t xml:space="preserve">Vulnerabilidad 26</t>
  </si>
  <si>
    <t xml:space="preserve">Vulnerabilidad 27</t>
  </si>
  <si>
    <t xml:space="preserve">Vulnerabilidad 28</t>
  </si>
  <si>
    <t xml:space="preserve">Vulnerabilidad 29</t>
  </si>
  <si>
    <t xml:space="preserve">Vulnerabilidad 30</t>
  </si>
  <si>
    <t xml:space="preserve">Vulnerabilidad 31</t>
  </si>
  <si>
    <t xml:space="preserve">Vulnerabilidad 32</t>
  </si>
  <si>
    <t xml:space="preserve">Vulnerabilidad 33</t>
  </si>
  <si>
    <t xml:space="preserve">Vulnerabilidad 34</t>
  </si>
  <si>
    <t xml:space="preserve">Vulnerabilidad 35</t>
  </si>
  <si>
    <t xml:space="preserve">Vulnerabilidad 36</t>
  </si>
  <si>
    <t xml:space="preserve">Vulnerabilidad 37</t>
  </si>
  <si>
    <t xml:space="preserve">Vulnerabilidad 38</t>
  </si>
  <si>
    <t xml:space="preserve">Vulnerabilidad 39</t>
  </si>
  <si>
    <t xml:space="preserve">Vulnerabilidad 40</t>
  </si>
  <si>
    <t xml:space="preserve">Vulnerabilidad 41</t>
  </si>
  <si>
    <t xml:space="preserve">Vulnerabilidad 42</t>
  </si>
  <si>
    <t xml:space="preserve">Vulnerabilidad 43</t>
  </si>
  <si>
    <t xml:space="preserve">Vulnerabilidad 44</t>
  </si>
  <si>
    <t xml:space="preserve">Vulnerabilidad 45</t>
  </si>
  <si>
    <t xml:space="preserve">Vulnerabilidad 46</t>
  </si>
  <si>
    <t xml:space="preserve">Vulnerabilidad 47</t>
  </si>
  <si>
    <t xml:space="preserve">Vulnerabilidad 48</t>
  </si>
  <si>
    <t xml:space="preserve">Vulnerabilidad 49</t>
  </si>
  <si>
    <t xml:space="preserve">Vulnerabilidad 50</t>
  </si>
  <si>
    <t xml:space="preserve">Criterio de Seguridad Bancolombia</t>
  </si>
  <si>
    <t xml:space="preserve">Código</t>
  </si>
  <si>
    <t xml:space="preserve">Activo de información</t>
  </si>
  <si>
    <t xml:space="preserve">Alineación</t>
  </si>
  <si>
    <t xml:space="preserve">El mecanismo de administración de un sistema, debe ser accesible solo desde segmentos de red de gestión o administrativos.</t>
  </si>
  <si>
    <t xml:space="preserve">Los activos de información del sistema deben estar identificados.</t>
  </si>
  <si>
    <t xml:space="preserve">Cada activo de información debe estar asociado como mínimo a un propietario.</t>
  </si>
  <si>
    <t xml:space="preserve">Los sistemas que interactúen con un activo de información deben tener identificadas las  vulnerabilidades que apliquen  sobre ellos y que sean conocidas.</t>
  </si>
  <si>
    <t xml:space="preserve">El criterio de seguridad de la organización debe incluir los requisitos legales que aplican sobre la seguridad de la información.</t>
  </si>
  <si>
    <t xml:space="preserve">Criterio de seguridad</t>
  </si>
  <si>
    <t xml:space="preserve">El sistema no debe desplegar archivos temporales al ambiente de producción.</t>
  </si>
  <si>
    <t xml:space="preserve">El sistema no debe incluir nombres de directorios o rutas de archivos en parámetros.</t>
  </si>
  <si>
    <t xml:space="preserve">El proceso de autenticación debe implementar restricciones adicionales en el escenario de credenciales erróneas.</t>
  </si>
  <si>
    <t xml:space="preserve">El sistema solo debe aceptar  archivos cuyo formato (estructura) sea requerido por la operativa del negocio.</t>
  </si>
  <si>
    <t xml:space="preserve">El sistema de autenticación debe tener un retraso incremental de 5 segundos cuando se ingresen credenciales de autenticación erróneas, hasta llegar a un máximo de 30 segundos.</t>
  </si>
  <si>
    <t xml:space="preserve">El sistema debe bloquear una cuenta de un usuario después de varios intentos de autenticación fallidos.</t>
  </si>
  <si>
    <t xml:space="preserve">El sistema debe notificar a cualquier actor que intenta autenticarse, que el acceso en el mismo sistema solo está disponible para usuarios autorizados.</t>
  </si>
  <si>
    <t xml:space="preserve">El sistema debe solicitar como mínimo un nombre de usuario y una contraseña a cualquier actor que intenta autenticarse.</t>
  </si>
  <si>
    <t xml:space="preserve">Un sistema con información crítica para el negocio debe requerir claves de un solo uso en el proceso de autenticación.</t>
  </si>
  <si>
    <t xml:space="preserve">El sistema debe notificar al usuario el vencimiento de su contraseña con una antelación de 14 días.</t>
  </si>
  <si>
    <t xml:space="preserve">Contraseñas</t>
  </si>
  <si>
    <t xml:space="preserve">El sistema no debe imprimir las credenciales personales (usuario y contraseña) en pantalla, bajo ninguna circunstancia.</t>
  </si>
  <si>
    <t xml:space="preserve">Un sistema con información crítica para el negocio debe requerir la autenticación de 2 o más usuarios.</t>
  </si>
  <si>
    <t xml:space="preserve">Debe validarse que el sujeto que realiza las acciones de registro, autenticación y restablecimiento de contraseña es un humano.</t>
  </si>
  <si>
    <t xml:space="preserve">El sistema debe permitir la opción de deshabilitar cuentas de usuarios a un superusuario o  administrador del sistema.</t>
  </si>
  <si>
    <t xml:space="preserve">El sistema debe requerir autenticación para todos los recursos, excepto para aquellos específicamente clasificados como públicos.</t>
  </si>
  <si>
    <t xml:space="preserve">Recursos del sistema</t>
  </si>
  <si>
    <t xml:space="preserve">Los privilegios para objetos nuevos deben establecerse según el principio de mínimo privilegio (umask)</t>
  </si>
  <si>
    <t xml:space="preserve">El sistema debe restringir el acceso a objetos del sistema que tengan contenido sensible y sólo permitir acceso a usuarios autorizados.</t>
  </si>
  <si>
    <t xml:space="preserve">El sistema debe restringir el acceso a funciones del sistema que ejecutan procesos críticos de negocio. Solo permitirá acceso a usuarios autorizados.</t>
  </si>
  <si>
    <t xml:space="preserve">Funciones del sistema</t>
  </si>
  <si>
    <t xml:space="preserve">El sistema debe registrar todos los eventos excepcionales y de seguridad en una o varias bitácoras.</t>
  </si>
  <si>
    <t xml:space="preserve">La organización debe almacenar las bitácoras durante el tiempo establecido por los requisitos específicos.</t>
  </si>
  <si>
    <t xml:space="preserve">El código fuente de un sistema no debe realizar funciones diferentes a las que han sido especificadas en los requisitos funcionales.</t>
  </si>
  <si>
    <t xml:space="preserve">El código debe definir opciones seguras por defecto (ej: default en switches).</t>
  </si>
  <si>
    <t xml:space="preserve">Los archivos generados de forma dinámica por el sistema, deben tener definido un Content-Type explícito.</t>
  </si>
  <si>
    <t xml:space="preserve">El sistema debe comprimir todo código que vaya a ser transferido entre sistemas o cliente.</t>
  </si>
  <si>
    <t xml:space="preserve">El código fuente debe estar implementado de tal forma que cierre los recursos que se abiertos que no estén en uso utilizando.</t>
  </si>
  <si>
    <t xml:space="preserve">El código fuente debe estar implementado de tal forma que todas la variables del código deben tener asociado un tipo de dato.</t>
  </si>
  <si>
    <t xml:space="preserve">Sistema crítico</t>
  </si>
  <si>
    <t xml:space="preserve">El cliente de correo electrónico corporativo no debe mostrar imágenes.</t>
  </si>
  <si>
    <t xml:space="preserve">El cliente de correo electrónico corporativo no debe interpretar código HTML.</t>
  </si>
  <si>
    <t xml:space="preserve">Se debe hacer uso del campo copia oculta en lugar de destinatario para enviar correos masivos.</t>
  </si>
  <si>
    <t xml:space="preserve">El sistema no debe permitir cambio de contraseña para un usuario, si la nueva contraseña es igual a una de las últimas 12 contraseñas de ese usuario.</t>
  </si>
  <si>
    <t xml:space="preserve">Las contraseñas deben tener una validez máxima de 60 días.</t>
  </si>
  <si>
    <t xml:space="preserve">Las contraseñas deben tener una validez mínima de 1 día.</t>
  </si>
  <si>
    <t xml:space="preserve">Las contraseñas (tipo palabra) deben tener al menos 8 caracteres de longitud.</t>
  </si>
  <si>
    <t xml:space="preserve">Las contraseñas (tipo palabra) deben tener al menos 1 letra minúscula.</t>
  </si>
  <si>
    <t xml:space="preserve">Las contraseñas (tipo palabra) deben tener al menos 1 letra mayúscula.</t>
  </si>
  <si>
    <t xml:space="preserve">Las contraseñas (tipo palabra) deben tener al menos 1 dígito numérico.</t>
  </si>
  <si>
    <t xml:space="preserve">Las contraseñas (tipo palabra) deben tener al menos 1 carácter especial.</t>
  </si>
  <si>
    <t xml:space="preserve">Las contraseñas por defecto de los sistemas pre-construidos deben ser eliminadas, modificadas o inactivadas.</t>
  </si>
  <si>
    <t xml:space="preserve">Las derivaciones de clave (Salt), deben ser aleatorias y de 48 bits como mínimo.</t>
  </si>
  <si>
    <t xml:space="preserve">El sistema debe tener la capacidad de validar que las contraseñas no contengan palabras de diccionario.</t>
  </si>
  <si>
    <t xml:space="preserve">Las contraseñas temporales que son generadas para ingreso inicial en un sistema deben tener una validez máxima de 24 horas.</t>
  </si>
  <si>
    <t xml:space="preserve">Las claves de un solo uso deben tener una longitud mínima de 6 caracteres.</t>
  </si>
  <si>
    <t xml:space="preserve">Las claves de un solo uso deben tener un validez máxima de 60 segundos.</t>
  </si>
  <si>
    <t xml:space="preserve">El sistema debe forzar a un usuario a realizar nuevamente el proceso de autenticación en el sistema una vez haya realizado  cambio o restauración de  contraseña.</t>
  </si>
  <si>
    <t xml:space="preserve">Las funciones de criptografía del sistema deben ser implementadas con mecanismos criptográficos aceptados por el medio y avalados por Bancolombia.</t>
  </si>
  <si>
    <t xml:space="preserve">La organización no debe utilizar certificados con periodo de vencimiento no mayor a 2 años siempre y cuando la longitud de llave sea mínimo de 2048 bits.</t>
  </si>
  <si>
    <t xml:space="preserve">Debe utilizarse certificados firmados por entidades certificadoras internas válidas cuando sean para aplicaciones internas.</t>
  </si>
  <si>
    <t xml:space="preserve">Debe utilizarse certificados firmados por entidades certificadoras externas válidas cuando sean para aplicaciones externas.</t>
  </si>
  <si>
    <t xml:space="preserve">Debe utilizarse certificados con una identificación coherente con la entidad (servicio, servidor, entre otros) a la cual se encuentra asociado.</t>
  </si>
  <si>
    <t xml:space="preserve">Debe utilizarse como mecanismo de cifrado simétrico un tamaño de clave mínimo de 128 bits para AES o 192 bits para 3DES.</t>
  </si>
  <si>
    <t xml:space="preserve">Debe utilizarse funciones resumen (hash) con un tamaño mínimo de 256 bits.</t>
  </si>
  <si>
    <t xml:space="preserve">Los respaldos de información sensible deben almacenarse cifrados.</t>
  </si>
  <si>
    <t xml:space="preserve">Respaldos</t>
  </si>
  <si>
    <t xml:space="preserve">Los datos de respaldos deben almacenarse fuera del sitio origen.</t>
  </si>
  <si>
    <t xml:space="preserve">Los datos de respaldos deben realizarse según la frecuencia definida en el diseño del sistema.</t>
  </si>
  <si>
    <t xml:space="preserve">Los datos confidenciales que sean trasladados a ambientes diferentes de producción deben ir enmascarados.</t>
  </si>
  <si>
    <t xml:space="preserve">La información sensible debe ser transportada a través de un canal seguro.</t>
  </si>
  <si>
    <t xml:space="preserve">Los componentes de un sistema que son suministrados por terceros deben corresponder a versiones estables, probadas y actualizadas.</t>
  </si>
  <si>
    <t xml:space="preserve">Componentes externos</t>
  </si>
  <si>
    <t xml:space="preserve">La organización debe inspeccionar minuciosamente el código de terceras partes para asegurar que no se encuentre afectado por código malicioso.</t>
  </si>
  <si>
    <t xml:space="preserve">La organización debe definir los ambientes en los cuales se configurarán las versiones del sistema. Como mínimo ambientes de Desarrollo, Pruebas y Producción.</t>
  </si>
  <si>
    <t xml:space="preserve">Los roles técnicos que accederán al sistema deben estar definidos.</t>
  </si>
  <si>
    <t xml:space="preserve">Los privilegios que requieren los roles técnicos deben estar definidos.</t>
  </si>
  <si>
    <t xml:space="preserve">La organización debe identificar y documentar los casos de abuso que aplican en el sistema.</t>
  </si>
  <si>
    <t xml:space="preserve">Los casos de abuso del sistema deben estar relacionados entre sí.</t>
  </si>
  <si>
    <t xml:space="preserve">Todo caso de seguridad debe estar relacionado como mínimo a un caso de abuso.</t>
  </si>
  <si>
    <t xml:space="preserve">Todo caso de abuso debe debe estar relacionado como mínimo a un caso de uso o a un escenario de amenaza.</t>
  </si>
  <si>
    <t xml:space="preserve">Los eventos de seguridad del sistema deben estar documentados en los casos de uso
</t>
  </si>
  <si>
    <t xml:space="preserve">Dispositivos de hardware</t>
  </si>
  <si>
    <t xml:space="preserve">El dispositivo debe impedir que el ingreso de información pueda ser observado por un tercero.</t>
  </si>
  <si>
    <t xml:space="preserve">Los puntos de acceso a la red deben estar ubicados en lugares que permitan que la señal se propague solo en las instalaciones autorizadas.</t>
  </si>
  <si>
    <t xml:space="preserve">La administración remota del punto de acceso inalámbrico debe estar habilitada solo en un puerto físico de gestión.</t>
  </si>
  <si>
    <t xml:space="preserve">Las redes inalámbricas privadas deben filtrar el acceso por medio de credenciales de usuario y de dirección MAC autorizada.</t>
  </si>
  <si>
    <t xml:space="preserve">REQ.0165</t>
  </si>
  <si>
    <t xml:space="preserve">Los dispositivos GSM deben tener configurado un número de identificación personal (PIN) en la SIM Card.</t>
  </si>
  <si>
    <t xml:space="preserve">La organización debe asegurar que el sistema bluetooth de los dispositivos móviles se encuentre siempre en estado apagado.</t>
  </si>
  <si>
    <t xml:space="preserve">La conexión a redes desde el dispositivo debe realizarse por interacción humana.</t>
  </si>
  <si>
    <t xml:space="preserve">Los dispositivos móviles deben configurarse de forma centralizada según las políticas de seguridad definidas por la organización.</t>
  </si>
  <si>
    <t xml:space="preserve">Las interfaces de red de los dispositivos móviles deben estar apagadas por defecto.</t>
  </si>
  <si>
    <t xml:space="preserve">La organización debe definir y documentar un procedimiento para tratar los errores de seguridad.</t>
  </si>
  <si>
    <t xml:space="preserve">La organización debe definir y documentar un procedimiento para la administración de cuentas de usuario (Creación , modificación, eliminación, activación, desactivación y asignación de privilegios)</t>
  </si>
  <si>
    <t xml:space="preserve">En las redes sociales no se debe exponer información corporativa.</t>
  </si>
  <si>
    <t xml:space="preserve">Los segmentos de usuarios y servidores con aplicaciones o contenido deben permitir acceso solo a los puertos necesarios.</t>
  </si>
  <si>
    <t xml:space="preserve">Los servidores con aplicaciones o contenido solo deben tener acceso a los puertos que les permitan cumplir su propósito.</t>
  </si>
  <si>
    <t xml:space="preserve">El acceso físico a la red para los usuarios debe asignarse con base en las credenciales del usuario en la organización (ej: 802.1x).</t>
  </si>
  <si>
    <t xml:space="preserve">La organización debe filtrar el contenido de sitios web accedidos en internet.</t>
  </si>
  <si>
    <t xml:space="preserve">La red relacionada con el requerimiento debe estar segmentada.</t>
  </si>
  <si>
    <t xml:space="preserve">La organización debe deshabilitar las funciones inseguras de un servicio.</t>
  </si>
  <si>
    <t xml:space="preserve">Servicios</t>
  </si>
  <si>
    <t xml:space="preserve">La organización debe deshabilitar las funciones innecesarias de un servicio.</t>
  </si>
  <si>
    <t xml:space="preserve">El sistema debe cerrar una sesión si se presenta inactividad superior o igual a 5 minutos por parte del usuario.</t>
  </si>
  <si>
    <t xml:space="preserve">Si el sistema usa la transferencia de información entre páginas, debe realizarse a través de objetos de sesión.</t>
  </si>
  <si>
    <t xml:space="preserve">El número de sesiones simultáneas que un usuario puede tener en un sistema depende de las funciones que este realice.</t>
  </si>
  <si>
    <t xml:space="preserve">El estado de la sesión en aplicaciones web del lado del cliente, debe estar cifrada y con protección de integridad.</t>
  </si>
  <si>
    <t xml:space="preserve">El sistema debe proporcionar al usuario la capacidad de bloquear la sesión de forma manual desde cualquier página protegida por autenticación.</t>
  </si>
  <si>
    <t xml:space="preserve">El sistema debe proporcionar al usuario la capacidad de cerrar la sesión de forma manual.</t>
  </si>
  <si>
    <t xml:space="preserve">El sistema debe permitir a los usuarios autorizados la consulta del historial de sesiones establecidas por ellos.</t>
  </si>
  <si>
    <t xml:space="preserve">Las cookies de sesión del sistema deben tener el atributo HttpOnly.</t>
  </si>
  <si>
    <t xml:space="preserve">Se debe limitar la forma en la que un objeto puede ser reutilizado para propósito de hacerse pasar por alguien (impersonate) sin pasar por el proceso de autenticación (ej: tokens de sesión, claves o números de un solo uso, marcado de tiempo sobre mensajes)</t>
  </si>
  <si>
    <t xml:space="preserve">La gestión administrativa del sistema debe realizarse a través de intermediarios privilegiados que permitan la contabilidad a cada individuo.</t>
  </si>
  <si>
    <t xml:space="preserve">El sistema debe verificar y reportar periódicamente el estado de la integridad de los archivos del sistema.</t>
  </si>
  <si>
    <t xml:space="preserve">Un sistema debe pertenecer únicamente a uno de los ambientes definidos.</t>
  </si>
  <si>
    <t xml:space="preserve">La secuencia de inicio siempre debe preferir los medios de almacenamiento de mayor confianza.</t>
  </si>
  <si>
    <t xml:space="preserve">Las rutas de carga implícita deben preferir las rutas de mayor confianza.</t>
  </si>
  <si>
    <t xml:space="preserve">El sistema debe controlar que la información del producto solo pueda ser accesible por los administradores del sistema.</t>
  </si>
  <si>
    <t xml:space="preserve">La organización debe controlar que la configuración del BIOS en las máquinas solo pueda pueda ser accesible por personal autorizado.</t>
  </si>
  <si>
    <t xml:space="preserve">La organización debe controlar que la configuración del gestor de arranque en las máquinas solo pueda ser accesible por personal autorizado.</t>
  </si>
  <si>
    <t xml:space="preserve">Las variables de entorno del sistema operativo solo pueden ser modificables por el administrador del sistema.</t>
  </si>
  <si>
    <t xml:space="preserve">El sistema deberá ejecutarse únicamente cuando un usuario ejecute una acción explícita.</t>
  </si>
  <si>
    <t xml:space="preserve">Las credenciales del administrador solo debe poder usarse mediante una sesión de consola física (noroot).</t>
  </si>
  <si>
    <t xml:space="preserve">Las conexiones incompletas, encontradas en los protocolos de transporte orientados a conexión, deben implicar el menor costo de procesamiento posible.</t>
  </si>
  <si>
    <t xml:space="preserve">El sistema operativo debe generar una alerta sobre el estado de un recurso cuando este sobrepase los umbrales definidos.</t>
  </si>
  <si>
    <t xml:space="preserve">El sistema operativo debe poseer la capacidad para el cifrado de discos y particiones de disco.</t>
  </si>
  <si>
    <t xml:space="preserve">Se debe restringir la copia de información en medios extraíbles.</t>
  </si>
  <si>
    <t xml:space="preserve">La instalación de nuevos sistemas operativos debe partir de una imagen pre-configurada.</t>
  </si>
  <si>
    <t xml:space="preserve">El tercero debe permitir auditorías de cliente en el alcance relacionado.</t>
  </si>
  <si>
    <t xml:space="preserve">El tiempo del sistema debe estar sincronizado con el tiempo oficial del país.</t>
  </si>
  <si>
    <t xml:space="preserve">El tiempo del sistema debe estar sincronizado con el tiempo de los demás sistemas de la organización.</t>
  </si>
  <si>
    <t xml:space="preserve">El sistema debe garantizar la unicidad de los correos electrónicos.</t>
  </si>
  <si>
    <t xml:space="preserve">El sistema debe garantizar que la visualización de correos electrónicos expuestos sean vistos por humanos.</t>
  </si>
  <si>
    <t xml:space="preserve">La aplicación debe garantizar que las peticiones que reciba a recursos no sigan un patrón discernible.</t>
  </si>
  <si>
    <t xml:space="preserve">El sistema debe usar los datos personales solo para el propósito indicado. (OECD.10, ISACA.G31.4.)</t>
  </si>
  <si>
    <t xml:space="preserve">ALINEACIÓN</t>
  </si>
  <si>
    <t xml:space="preserve">TOTAL</t>
  </si>
  <si>
    <t xml:space="preserve">En diseño y perfil [DP]</t>
  </si>
  <si>
    <t xml:space="preserve">Solo en perfil [SP]</t>
  </si>
  <si>
    <t xml:space="preserve">Solo en diseño [SD]</t>
  </si>
  <si>
    <t xml:space="preserve">%</t>
  </si>
  <si>
    <t xml:space="preserve">Constantes</t>
  </si>
  <si>
    <t xml:space="preserve">Subir imagen</t>
  </si>
  <si>
    <t xml:space="preserve">Transparencia</t>
  </si>
  <si>
    <t xml:space="preserve">#FFFFFF</t>
  </si>
  <si>
    <t xml:space="preserve">Encabezado</t>
  </si>
  <si>
    <t xml:space="preserve">FilasPorSit</t>
  </si>
  <si>
    <t xml:space="preserve">Cardinalidad X</t>
  </si>
  <si>
    <t xml:space="preserve">Impacto</t>
  </si>
  <si>
    <t xml:space="preserve">Probabilidad</t>
  </si>
  <si>
    <t xml:space="preserve">Nombre</t>
  </si>
  <si>
    <t xml:space="preserve">Cardinalidad</t>
  </si>
  <si>
    <t xml:space="preserve">.</t>
  </si>
  <si>
    <t xml:space="preserve">Referencia</t>
  </si>
  <si>
    <t xml:space="preserve">Situación</t>
  </si>
  <si>
    <t xml:space="preserve">Fila</t>
  </si>
  <si>
    <t xml:space="preserve">Situaciones</t>
  </si>
  <si>
    <t xml:space="preserve">Cantidad</t>
  </si>
  <si>
    <t xml:space="preserve">Altas</t>
  </si>
  <si>
    <t xml:space="preserve">Medias</t>
  </si>
  <si>
    <t xml:space="preserve">Bajas</t>
  </si>
  <si>
    <t xml:space="preserve">Alcance (Característica)</t>
  </si>
  <si>
    <t xml:space="preserve">IMPACTOS</t>
  </si>
  <si>
    <t xml:space="preserve">MaxCri</t>
  </si>
  <si>
    <t xml:space="preserve">Rojo</t>
  </si>
  <si>
    <t xml:space="preserve">Naranja</t>
  </si>
  <si>
    <t xml:space="preserve">Amarillo</t>
  </si>
  <si>
    <t xml:space="preserve">CriterioFluid</t>
  </si>
  <si>
    <t xml:space="preserve">REQ.0002 Los activos de información del sistema deben estar identificados.</t>
  </si>
  <si>
    <t xml:space="preserve">REQ.0050 Los eventos con severidad de depuración no deben estar habilitados en producción.</t>
  </si>
  <si>
    <t xml:space="preserve">REQ.0250 La aplicación debe garantizar que las peticiones que reciba a recursos no sigan un patrón discernible.</t>
  </si>
  <si>
    <t xml:space="preserve">REQ.0040 El sistema debe requerir autenticación para todos los recursos, excepto para aquellos específicamente clasificados como públicos.</t>
  </si>
  <si>
    <t xml:space="preserve">Activos de Información</t>
  </si>
  <si>
    <t xml:space="preserve">Hoja de referencia para el cálculo de criticidad</t>
  </si>
  <si>
    <t xml:space="preserve">Métrica</t>
  </si>
  <si>
    <t xml:space="preserve">Vector</t>
  </si>
  <si>
    <t xml:space="preserve">Opciones</t>
  </si>
  <si>
    <t xml:space="preserve">Vector de acceso:</t>
  </si>
  <si>
    <t xml:space="preserve">AV</t>
  </si>
  <si>
    <t xml:space="preserve">Local</t>
  </si>
  <si>
    <t xml:space="preserve">Red adyacente</t>
  </si>
  <si>
    <t xml:space="preserve">Complejidad de acceso:</t>
  </si>
  <si>
    <t xml:space="preserve">AC</t>
  </si>
  <si>
    <t xml:space="preserve">Media</t>
  </si>
  <si>
    <t xml:space="preserve">Autenticación:</t>
  </si>
  <si>
    <t xml:space="preserve">Au</t>
  </si>
  <si>
    <t xml:space="preserve">Múltiple</t>
  </si>
  <si>
    <t xml:space="preserve">Única</t>
  </si>
  <si>
    <t xml:space="preserve">Impacto a la confidencialidad:</t>
  </si>
  <si>
    <t xml:space="preserve">C</t>
  </si>
  <si>
    <t xml:space="preserve">Ninguno</t>
  </si>
  <si>
    <t xml:space="preserve">Parcial</t>
  </si>
  <si>
    <t xml:space="preserve">Impacto a la integridad:</t>
  </si>
  <si>
    <t xml:space="preserve">I</t>
  </si>
  <si>
    <t xml:space="preserve">Impacto a la disponibilidad:</t>
  </si>
  <si>
    <t xml:space="preserve">A</t>
  </si>
  <si>
    <t xml:space="preserve">Explotabilidad:</t>
  </si>
  <si>
    <t xml:space="preserve">E</t>
  </si>
  <si>
    <t xml:space="preserve">Improbable</t>
  </si>
  <si>
    <t xml:space="preserve">Conceptual</t>
  </si>
  <si>
    <t xml:space="preserve">Funcional</t>
  </si>
  <si>
    <t xml:space="preserve">Nivel de resolución:</t>
  </si>
  <si>
    <t xml:space="preserve">RL</t>
  </si>
  <si>
    <t xml:space="preserve">Oficial</t>
  </si>
  <si>
    <t xml:space="preserve">Temporal</t>
  </si>
  <si>
    <t xml:space="preserve">Inexistente</t>
  </si>
  <si>
    <t xml:space="preserve">Nivel de confianza:</t>
  </si>
  <si>
    <t xml:space="preserve">RC</t>
  </si>
  <si>
    <t xml:space="preserve">No confirmado</t>
  </si>
  <si>
    <t xml:space="preserve">No corroborado</t>
  </si>
  <si>
    <t xml:space="preserve">Access Vector</t>
  </si>
  <si>
    <t xml:space="preserve">Access Complexity</t>
  </si>
  <si>
    <t xml:space="preserve">Authentication</t>
  </si>
  <si>
    <t xml:space="preserve">ConfImpact</t>
  </si>
  <si>
    <t xml:space="preserve">IntegImpact</t>
  </si>
  <si>
    <t xml:space="preserve">AvailImpact</t>
  </si>
  <si>
    <t xml:space="preserve">Exploitability</t>
  </si>
  <si>
    <t xml:space="preserve">Remediation Level</t>
  </si>
  <si>
    <t xml:space="preserve">Report Confidence</t>
  </si>
  <si>
    <t xml:space="preserve">L</t>
  </si>
  <si>
    <t xml:space="preserve">N</t>
  </si>
  <si>
    <t xml:space="preserve">H</t>
  </si>
  <si>
    <t xml:space="preserve">M</t>
  </si>
  <si>
    <t xml:space="preserve">S</t>
  </si>
  <si>
    <t xml:space="preserve">P</t>
  </si>
  <si>
    <t xml:space="preserve">U</t>
  </si>
  <si>
    <t xml:space="preserve">F</t>
  </si>
  <si>
    <t xml:space="preserve">OF</t>
  </si>
  <si>
    <t xml:space="preserve">T</t>
  </si>
  <si>
    <t xml:space="preserve">W</t>
  </si>
  <si>
    <t xml:space="preserve">UC</t>
  </si>
  <si>
    <t xml:space="preserve">UR</t>
  </si>
  <si>
    <t xml:space="preserve">Línea de negocio</t>
  </si>
  <si>
    <t xml:space="preserve">Dominio</t>
  </si>
  <si>
    <t xml:space="preserve">Subdominio</t>
  </si>
  <si>
    <t xml:space="preserve">Tipo de prueba</t>
  </si>
  <si>
    <t xml:space="preserve">Gerencia responsable</t>
  </si>
  <si>
    <t xml:space="preserve">Detectado en ciclo</t>
  </si>
  <si>
    <t xml:space="preserve">Escenario</t>
  </si>
  <si>
    <t xml:space="preserve">Ámbito</t>
  </si>
  <si>
    <t xml:space="preserve">Categorias Bancolombia</t>
  </si>
  <si>
    <t xml:space="preserve">Tipo de reporte</t>
  </si>
  <si>
    <t xml:space="preserve">Severidad</t>
  </si>
  <si>
    <t xml:space="preserve">Estado</t>
  </si>
  <si>
    <t xml:space="preserve">Naturaleza</t>
  </si>
  <si>
    <t xml:space="preserve">Mes</t>
  </si>
  <si>
    <t xml:space="preserve">Proveedor</t>
  </si>
  <si>
    <t xml:space="preserve">Responsable en PE</t>
  </si>
  <si>
    <t xml:space="preserve">Fábrica</t>
  </si>
  <si>
    <t xml:space="preserve">Banca Inversión</t>
  </si>
  <si>
    <t xml:space="preserve">Aplicaciones Corporativas</t>
  </si>
  <si>
    <t xml:space="preserve">A distancia</t>
  </si>
  <si>
    <t xml:space="preserve">Aplicación</t>
  </si>
  <si>
    <t xml:space="preserve">Gcia Dllo Canales</t>
  </si>
  <si>
    <t xml:space="preserve">Búsqueda</t>
  </si>
  <si>
    <t xml:space="preserve">Anónimo desde internet</t>
  </si>
  <si>
    <t xml:space="preserve">Aplicaciones</t>
  </si>
  <si>
    <t xml:space="preserve">Actualizar y configurar las líneas base de seguridad de los componentes</t>
  </si>
  <si>
    <t xml:space="preserve">Error</t>
  </si>
  <si>
    <t xml:space="preserve">25% Difícil de vulnerar</t>
  </si>
  <si>
    <t xml:space="preserve">Abierta</t>
  </si>
  <si>
    <t xml:space="preserve">Ambiente</t>
  </si>
  <si>
    <t xml:space="preserve">Enero</t>
  </si>
  <si>
    <t xml:space="preserve">ABITS</t>
  </si>
  <si>
    <t xml:space="preserve">cesospin</t>
  </si>
  <si>
    <t xml:space="preserve">Fluid</t>
  </si>
  <si>
    <t xml:space="preserve">Bancolombia</t>
  </si>
  <si>
    <t xml:space="preserve">Integración y BPM</t>
  </si>
  <si>
    <t xml:space="preserve">Analítica y Minería</t>
  </si>
  <si>
    <t xml:space="preserve">Gcia Dllo Aplicaciones Corp</t>
  </si>
  <si>
    <t xml:space="preserve">Cierre 1</t>
  </si>
  <si>
    <t xml:space="preserve">Anónimo desde intranet</t>
  </si>
  <si>
    <t xml:space="preserve">Bases de Datos</t>
  </si>
  <si>
    <t xml:space="preserve">Definir el modelo de autorización considerando el principio de mínimo privilegio</t>
  </si>
  <si>
    <t xml:space="preserve">Hallazgo</t>
  </si>
  <si>
    <t xml:space="preserve">50% Posible de vulnerar</t>
  </si>
  <si>
    <t xml:space="preserve">Corregida</t>
  </si>
  <si>
    <t xml:space="preserve">Conocimiento</t>
  </si>
  <si>
    <t xml:space="preserve">Febrero</t>
  </si>
  <si>
    <t xml:space="preserve">ACCENTURE</t>
  </si>
  <si>
    <t xml:space="preserve">jucuarta</t>
  </si>
  <si>
    <t xml:space="preserve">Factoring</t>
  </si>
  <si>
    <t xml:space="preserve">Mercado de Capitales</t>
  </si>
  <si>
    <t xml:space="preserve">Aplicaciones TI</t>
  </si>
  <si>
    <t xml:space="preserve">Escaneo(Infraestructura)</t>
  </si>
  <si>
    <t xml:space="preserve">Gcia Dllo de Clientes y ERP</t>
  </si>
  <si>
    <t xml:space="preserve">Cierre 2</t>
  </si>
  <si>
    <t xml:space="preserve">Escaneo de Infraestructura</t>
  </si>
  <si>
    <t xml:space="preserve">Desempeño</t>
  </si>
  <si>
    <t xml:space="preserve">Sugerencia</t>
  </si>
  <si>
    <t xml:space="preserve">75% Fácil de vulnerar</t>
  </si>
  <si>
    <t xml:space="preserve">Entregada a Metricas</t>
  </si>
  <si>
    <t xml:space="preserve">Marzo</t>
  </si>
  <si>
    <t xml:space="preserve">ACCENTURE - SOFTWARE</t>
  </si>
  <si>
    <t xml:space="preserve">lueospin</t>
  </si>
  <si>
    <t xml:space="preserve">Fiduciaria</t>
  </si>
  <si>
    <t xml:space="preserve">Negocios del activo</t>
  </si>
  <si>
    <t xml:space="preserve">Banca Electrónica</t>
  </si>
  <si>
    <t xml:space="preserve">Evidencia de Seguridad</t>
  </si>
  <si>
    <t xml:space="preserve">Gcia Dllo Medios de Pago</t>
  </si>
  <si>
    <t xml:space="preserve">Cierre 3</t>
  </si>
  <si>
    <t xml:space="preserve">Eventualidad</t>
  </si>
  <si>
    <t xml:space="preserve">Infraestructura</t>
  </si>
  <si>
    <t xml:space="preserve">100% Vulnerado Anteriormente</t>
  </si>
  <si>
    <t xml:space="preserve">ERO</t>
  </si>
  <si>
    <t xml:space="preserve">Desarrollo</t>
  </si>
  <si>
    <t xml:space="preserve">Abril</t>
  </si>
  <si>
    <t xml:space="preserve">ACCION FIDUCIARIA</t>
  </si>
  <si>
    <t xml:space="preserve">jodperez</t>
  </si>
  <si>
    <t xml:space="preserve">Leasing</t>
  </si>
  <si>
    <t xml:space="preserve">Canales CORE</t>
  </si>
  <si>
    <t xml:space="preserve">Gcia Dllo Mercado de Capitales</t>
  </si>
  <si>
    <t xml:space="preserve">Cierre 4</t>
  </si>
  <si>
    <t xml:space="preserve">Extranet asuario no autorizado</t>
  </si>
  <si>
    <t xml:space="preserve">protección de Servicios de Integración</t>
  </si>
  <si>
    <t xml:space="preserve">Evitar exponer la información técnica de la aplicación, servidores y plataformas</t>
  </si>
  <si>
    <t xml:space="preserve">Mayo</t>
  </si>
  <si>
    <t xml:space="preserve">ALCUADRADO</t>
  </si>
  <si>
    <t xml:space="preserve">fhidalgo</t>
  </si>
  <si>
    <t xml:space="preserve">MIami</t>
  </si>
  <si>
    <t xml:space="preserve">Negocios del pasivo y especializados</t>
  </si>
  <si>
    <t xml:space="preserve">Cartera Comercial y de Consumo</t>
  </si>
  <si>
    <t xml:space="preserve">Desarrollo Negocios del Activo</t>
  </si>
  <si>
    <t xml:space="preserve">Extranet usuario autorizado</t>
  </si>
  <si>
    <t xml:space="preserve">Excluir datos sensibles del código fuente y del registro de eventos</t>
  </si>
  <si>
    <t xml:space="preserve">Observación</t>
  </si>
  <si>
    <t xml:space="preserve">Documentación</t>
  </si>
  <si>
    <t xml:space="preserve">Junio</t>
  </si>
  <si>
    <t xml:space="preserve">ALFA GL</t>
  </si>
  <si>
    <t xml:space="preserve">ejmarin</t>
  </si>
  <si>
    <t xml:space="preserve">Panamá</t>
  </si>
  <si>
    <t xml:space="preserve">Canales</t>
  </si>
  <si>
    <t xml:space="preserve">Clientes CRM</t>
  </si>
  <si>
    <t xml:space="preserve">Gcia Dllo Negocios del pasivo</t>
  </si>
  <si>
    <t xml:space="preserve">Internet usuario autorizado</t>
  </si>
  <si>
    <t xml:space="preserve">Fortalecer controles en autenticación y manejo de sesión</t>
  </si>
  <si>
    <t xml:space="preserve">Ejecución</t>
  </si>
  <si>
    <t xml:space="preserve">Julio</t>
  </si>
  <si>
    <t xml:space="preserve">ALLIANCE ENTERPRISE</t>
  </si>
  <si>
    <t xml:space="preserve">jcgalleg</t>
  </si>
  <si>
    <t xml:space="preserve">Puerto Rico</t>
  </si>
  <si>
    <t xml:space="preserve">Servicios de Información</t>
  </si>
  <si>
    <t xml:space="preserve">Clientes Legados</t>
  </si>
  <si>
    <t xml:space="preserve">Gcia Dllo Servicios de Información</t>
  </si>
  <si>
    <t xml:space="preserve">Internet usuario no autorizado</t>
  </si>
  <si>
    <t xml:space="preserve">Fortalecer controles en el procesamiento de archivos</t>
  </si>
  <si>
    <t xml:space="preserve">Hardware</t>
  </si>
  <si>
    <t xml:space="preserve">Agosto</t>
  </si>
  <si>
    <t xml:space="preserve">AMAZING GLOBAL TECNOLOGIES</t>
  </si>
  <si>
    <t xml:space="preserve">jucaross</t>
  </si>
  <si>
    <t xml:space="preserve">Sufi</t>
  </si>
  <si>
    <t xml:space="preserve">Medios de Pago</t>
  </si>
  <si>
    <t xml:space="preserve">Comercio Exterior</t>
  </si>
  <si>
    <t xml:space="preserve">Gcia Dllo de Integración BPM</t>
  </si>
  <si>
    <t xml:space="preserve">Intranet usuario autorizado</t>
  </si>
  <si>
    <t xml:space="preserve">Fortalecer la protección de datos almacenados relacionados con contraseñas o llaves criptográficas</t>
  </si>
  <si>
    <t xml:space="preserve">Instalación</t>
  </si>
  <si>
    <t xml:space="preserve">Septiembre</t>
  </si>
  <si>
    <t xml:space="preserve">APLICACIONES LTDA</t>
  </si>
  <si>
    <t xml:space="preserve">djcatano</t>
  </si>
  <si>
    <t xml:space="preserve">Valores Bancolombia</t>
  </si>
  <si>
    <t xml:space="preserve">Corretaje y APT</t>
  </si>
  <si>
    <t xml:space="preserve">Gcia Base de Datos</t>
  </si>
  <si>
    <t xml:space="preserve">Intranet usuario no autorizado</t>
  </si>
  <si>
    <t xml:space="preserve">Implementar controles para validar datos de entrada</t>
  </si>
  <si>
    <t xml:space="preserve">Octubre</t>
  </si>
  <si>
    <t xml:space="preserve">ASISA LTDA</t>
  </si>
  <si>
    <t xml:space="preserve">Clientes y ERP</t>
  </si>
  <si>
    <t xml:space="preserve">Credito Hipotecario</t>
  </si>
  <si>
    <t xml:space="preserve">Gcia de Plataformas Centrales</t>
  </si>
  <si>
    <t xml:space="preserve">Parametrización</t>
  </si>
  <si>
    <t xml:space="preserve">Noviembre</t>
  </si>
  <si>
    <t xml:space="preserve">ASNET - AS/NET</t>
  </si>
  <si>
    <t xml:space="preserve">Integración e Informacion</t>
  </si>
  <si>
    <t xml:space="preserve">Datos Maestros y Operacionales</t>
  </si>
  <si>
    <t xml:space="preserve">Gcia de Plataformas Distribuidas</t>
  </si>
  <si>
    <t xml:space="preserve">Registrar eventos para trazabilidad y auditoría</t>
  </si>
  <si>
    <t xml:space="preserve">Performance</t>
  </si>
  <si>
    <t xml:space="preserve">Diciembre</t>
  </si>
  <si>
    <t xml:space="preserve">ASOBANCARIA</t>
  </si>
  <si>
    <t xml:space="preserve">Gcia de Telecomunicaciones</t>
  </si>
  <si>
    <t xml:space="preserve">Utilizar protocolos de comunicación seguros</t>
  </si>
  <si>
    <t xml:space="preserve">ASSENDA</t>
  </si>
  <si>
    <t xml:space="preserve">Filiales del Exterior</t>
  </si>
  <si>
    <t xml:space="preserve">Gcia de Diseño e Implementacion</t>
  </si>
  <si>
    <t xml:space="preserve">Validar la integridad de las transacciones en peticiones HTTP</t>
  </si>
  <si>
    <t xml:space="preserve">Seguridad</t>
  </si>
  <si>
    <t xml:space="preserve">ASSIS</t>
  </si>
  <si>
    <t xml:space="preserve">Financiero y Contabilidad</t>
  </si>
  <si>
    <t xml:space="preserve">Software</t>
  </si>
  <si>
    <t xml:space="preserve">AUDIT SOFTWARE</t>
  </si>
  <si>
    <t xml:space="preserve">Físicos</t>
  </si>
  <si>
    <t xml:space="preserve">AVANSOFT</t>
  </si>
  <si>
    <t xml:space="preserve">Herramienta de Integración</t>
  </si>
  <si>
    <t xml:space="preserve">BANCOLOMBIA</t>
  </si>
  <si>
    <t xml:space="preserve">Herramientas de Colaboración</t>
  </si>
  <si>
    <t xml:space="preserve">BANCOLOMBIA - ARQUITECTURA</t>
  </si>
  <si>
    <t xml:space="preserve">BANCOLOBMIA - CERTIFICACION</t>
  </si>
  <si>
    <t xml:space="preserve">Internet</t>
  </si>
  <si>
    <t xml:space="preserve">BANCOLOMBIA - DESARROLLO</t>
  </si>
  <si>
    <t xml:space="preserve">BANCOLOMBIA - GESTION DEL DESARROLLO PARA EL NEGOCIO</t>
  </si>
  <si>
    <t xml:space="preserve">MIT</t>
  </si>
  <si>
    <t xml:space="preserve">BANCOLOMBIA - INFRAESTRUCTURA</t>
  </si>
  <si>
    <t xml:space="preserve">Negocios Fiduciarios y Fondos de Inversión</t>
  </si>
  <si>
    <t xml:space="preserve">BANKVISION</t>
  </si>
  <si>
    <t xml:space="preserve">Pasivos</t>
  </si>
  <si>
    <t xml:space="preserve">BPR ASOCIADOS</t>
  </si>
  <si>
    <t xml:space="preserve">Pic y Crédito Hipotecario</t>
  </si>
  <si>
    <t xml:space="preserve">CA SOFTWARE DE COLOMBIA</t>
  </si>
  <si>
    <t xml:space="preserve">Riesgos</t>
  </si>
  <si>
    <t xml:space="preserve">CADENA</t>
  </si>
  <si>
    <t xml:space="preserve">CERTIFICACION</t>
  </si>
  <si>
    <t xml:space="preserve">Servicios Administrativos y Gestión Humana</t>
  </si>
  <si>
    <t xml:space="preserve">CHOUCAIR TESTING</t>
  </si>
  <si>
    <t xml:space="preserve">Servicios de Canales</t>
  </si>
  <si>
    <t xml:space="preserve">CM.COM E.U</t>
  </si>
  <si>
    <t xml:space="preserve">Servicios Integración</t>
  </si>
  <si>
    <t xml:space="preserve">COMPONENTES ELECTRONICAS LTDA</t>
  </si>
  <si>
    <t xml:space="preserve">SUFI</t>
  </si>
  <si>
    <t xml:space="preserve">COMPUHORAS S.A.S</t>
  </si>
  <si>
    <t xml:space="preserve">Tarjeta de Crédito</t>
  </si>
  <si>
    <t xml:space="preserve">CYBERTECH COLOMBIA</t>
  </si>
  <si>
    <t xml:space="preserve">Tarjeta de Débito</t>
  </si>
  <si>
    <t xml:space="preserve">DATAPRO</t>
  </si>
  <si>
    <t xml:space="preserve">Tesorería</t>
  </si>
  <si>
    <t xml:space="preserve">DELOITTE</t>
  </si>
  <si>
    <t xml:space="preserve">Transversales de SAP</t>
  </si>
  <si>
    <t xml:space="preserve">DIEBOLD</t>
  </si>
  <si>
    <t xml:space="preserve">Visualización y Entrega</t>
  </si>
  <si>
    <t xml:space="preserve">DIGIDATA DE COLOMBIA LTDA</t>
  </si>
  <si>
    <t xml:space="preserve">E-DEAS</t>
  </si>
  <si>
    <t xml:space="preserve">ENLACE OPERATIVO</t>
  </si>
  <si>
    <t xml:space="preserve">EXCELEC</t>
  </si>
  <si>
    <t xml:space="preserve">FARBIARZ Y ALVAREZ S.A.</t>
  </si>
  <si>
    <t xml:space="preserve">FINAC</t>
  </si>
  <si>
    <t xml:space="preserve">FISERV</t>
  </si>
  <si>
    <t xml:space="preserve">GESTOR INC SA</t>
  </si>
  <si>
    <t xml:space="preserve">HEINSOHN</t>
  </si>
  <si>
    <t xml:space="preserve">HEWLETT PACKARD COLOMBIA</t>
  </si>
  <si>
    <t xml:space="preserve">Honeywell</t>
  </si>
  <si>
    <t xml:space="preserve">IAS</t>
  </si>
  <si>
    <t xml:space="preserve">IBM</t>
  </si>
  <si>
    <t xml:space="preserve">IG SOFTWARE HOUSE S.A.</t>
  </si>
  <si>
    <t xml:space="preserve">IG WEBSERVICES S.A.</t>
  </si>
  <si>
    <t xml:space="preserve">INALTEC</t>
  </si>
  <si>
    <t xml:space="preserve">INFORMACION GERENCIAL</t>
  </si>
  <si>
    <t xml:space="preserve">INFORMESE LTDA</t>
  </si>
  <si>
    <t xml:space="preserve">INTENT</t>
  </si>
  <si>
    <t xml:space="preserve">INTERGRUPO</t>
  </si>
  <si>
    <t xml:space="preserve">INVAMER</t>
  </si>
  <si>
    <t xml:space="preserve">ITIS SUPPORT</t>
  </si>
  <si>
    <t xml:space="preserve">LASC</t>
  </si>
  <si>
    <t xml:space="preserve">MAKRO POINT</t>
  </si>
  <si>
    <t xml:space="preserve">MCKINSEY</t>
  </si>
  <si>
    <t xml:space="preserve">NASE LTDA</t>
  </si>
  <si>
    <t xml:space="preserve">NCR COLOMBIA LTDA</t>
  </si>
  <si>
    <t xml:space="preserve">NEXOS</t>
  </si>
  <si>
    <t xml:space="preserve">OCEAN SYSTEMS</t>
  </si>
  <si>
    <t xml:space="preserve">OCEANOS AZULES</t>
  </si>
  <si>
    <t xml:space="preserve">OPENCARD</t>
  </si>
  <si>
    <t xml:space="preserve">ORACLE</t>
  </si>
  <si>
    <t xml:space="preserve">PARADIGMA LTDA</t>
  </si>
  <si>
    <t xml:space="preserve">PARADIGMA SOLUTION</t>
  </si>
  <si>
    <t xml:space="preserve">PERCEPTIO</t>
  </si>
  <si>
    <t xml:space="preserve">PERSONAL SOFT</t>
  </si>
  <si>
    <t xml:space="preserve">PRAGMA</t>
  </si>
  <si>
    <t xml:space="preserve">PREDISOFT</t>
  </si>
  <si>
    <t xml:space="preserve">PROCALIDAD LTDA</t>
  </si>
  <si>
    <t xml:space="preserve">PROCIBERNETICA</t>
  </si>
  <si>
    <t xml:space="preserve">PSL</t>
  </si>
  <si>
    <t xml:space="preserve">PTESA</t>
  </si>
  <si>
    <t xml:space="preserve">SAS</t>
  </si>
  <si>
    <t xml:space="preserve">SASIF LTDA</t>
  </si>
  <si>
    <t xml:space="preserve">SERVINFORMACION</t>
  </si>
  <si>
    <t xml:space="preserve">SISTEMAS CORPORATIVOS S.A.</t>
  </si>
  <si>
    <t xml:space="preserve">SISTEMAS GYG LTDA</t>
  </si>
  <si>
    <t xml:space="preserve">SMARTSTREAM</t>
  </si>
  <si>
    <t xml:space="preserve">SOLATI</t>
  </si>
  <si>
    <t xml:space="preserve">SQA</t>
  </si>
  <si>
    <t xml:space="preserve">S-SQUARE</t>
  </si>
  <si>
    <t xml:space="preserve">TCS - SOFTWARE</t>
  </si>
  <si>
    <t xml:space="preserve">TCS SOLUTION CENTER</t>
  </si>
  <si>
    <t xml:space="preserve">THE ENIAC CORPORATION</t>
  </si>
  <si>
    <t xml:space="preserve">TLM</t>
  </si>
  <si>
    <t xml:space="preserve">TODO 1 COLOMBIA S.A.</t>
  </si>
  <si>
    <t xml:space="preserve">TODO 1 SERVICES INC</t>
  </si>
  <si>
    <t xml:space="preserve">VERTICE</t>
  </si>
  <si>
    <t xml:space="preserve">VISION SOFTWARE</t>
  </si>
  <si>
    <t xml:space="preserve">WEBSYS</t>
  </si>
  <si>
    <t xml:space="preserve">WM WIRELESS MOBILE LTDA</t>
  </si>
</sst>
</file>

<file path=xl/styles.xml><?xml version="1.0" encoding="utf-8"?>
<styleSheet xmlns="http://schemas.openxmlformats.org/spreadsheetml/2006/main">
  <numFmts count="3">
    <numFmt numFmtId="164" formatCode="General"/>
    <numFmt numFmtId="165" formatCode="#,##0.0"/>
    <numFmt numFmtId="166" formatCode="0.00%"/>
  </numFmts>
  <fonts count="24">
    <font>
      <sz val="10"/>
      <color rgb="FF000000"/>
      <name val="Arial"/>
      <family val="0"/>
      <charset val="1"/>
    </font>
    <font>
      <sz val="10"/>
      <name val="Arial"/>
      <family val="0"/>
    </font>
    <font>
      <sz val="10"/>
      <name val="Arial"/>
      <family val="0"/>
    </font>
    <font>
      <sz val="10"/>
      <name val="Arial"/>
      <family val="0"/>
    </font>
    <font>
      <b val="true"/>
      <sz val="14"/>
      <name val="Arial"/>
      <family val="0"/>
      <charset val="1"/>
    </font>
    <font>
      <sz val="11"/>
      <name val="Arial"/>
      <family val="0"/>
      <charset val="1"/>
    </font>
    <font>
      <b val="true"/>
      <sz val="11"/>
      <name val="Arial"/>
      <family val="0"/>
      <charset val="1"/>
    </font>
    <font>
      <b val="true"/>
      <sz val="18"/>
      <name val="Cambria"/>
      <family val="0"/>
      <charset val="1"/>
    </font>
    <font>
      <b val="true"/>
      <sz val="14"/>
      <name val="Cambria"/>
      <family val="0"/>
      <charset val="1"/>
    </font>
    <font>
      <sz val="11"/>
      <name val="Cambria"/>
      <family val="0"/>
      <charset val="1"/>
    </font>
    <font>
      <b val="true"/>
      <sz val="10"/>
      <name val="Cambria"/>
      <family val="0"/>
      <charset val="1"/>
    </font>
    <font>
      <sz val="12"/>
      <name val="Times New Roman"/>
      <family val="1"/>
      <charset val="1"/>
    </font>
    <font>
      <sz val="12"/>
      <color rgb="FF000000"/>
      <name val="Times New Roman"/>
      <family val="1"/>
      <charset val="1"/>
    </font>
    <font>
      <sz val="10"/>
      <color rgb="FF000000"/>
      <name val="Cambria"/>
      <family val="0"/>
      <charset val="1"/>
    </font>
    <font>
      <u val="single"/>
      <sz val="11"/>
      <color rgb="FF0000FF"/>
      <name val="Cambria"/>
      <family val="0"/>
      <charset val="1"/>
    </font>
    <font>
      <b val="true"/>
      <sz val="1"/>
      <color rgb="FF222222"/>
      <name val="Arial"/>
      <family val="2"/>
    </font>
    <font>
      <sz val="10"/>
      <name val="Arial"/>
      <family val="2"/>
    </font>
    <font>
      <sz val="6"/>
      <name val="Cambria"/>
      <family val="0"/>
      <charset val="1"/>
    </font>
    <font>
      <sz val="10"/>
      <name val="Cambria"/>
      <family val="0"/>
      <charset val="1"/>
    </font>
    <font>
      <sz val="8"/>
      <name val="Cambria"/>
      <family val="0"/>
      <charset val="1"/>
    </font>
    <font>
      <sz val="6"/>
      <color rgb="FF000000"/>
      <name val="Cambria"/>
      <family val="0"/>
      <charset val="1"/>
    </font>
    <font>
      <b val="true"/>
      <sz val="8"/>
      <name val="Cambria"/>
      <family val="0"/>
      <charset val="1"/>
    </font>
    <font>
      <b val="true"/>
      <sz val="10"/>
      <color rgb="FF222222"/>
      <name val="Arial"/>
      <family val="2"/>
    </font>
    <font>
      <b val="true"/>
      <sz val="10"/>
      <name val="Arial"/>
      <family val="2"/>
    </font>
  </fonts>
  <fills count="8">
    <fill>
      <patternFill patternType="none"/>
    </fill>
    <fill>
      <patternFill patternType="gray125"/>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FFFFFF"/>
        <bgColor rgb="FFF3F3F3"/>
      </patternFill>
    </fill>
    <fill>
      <patternFill patternType="solid">
        <fgColor rgb="FFCFE2F3"/>
        <bgColor rgb="FFD9D9D9"/>
      </patternFill>
    </fill>
    <fill>
      <patternFill patternType="solid">
        <fgColor rgb="FF4A86E8"/>
        <bgColor rgb="FF666699"/>
      </patternFill>
    </fill>
  </fills>
  <borders count="12">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right" vertical="bottom" textRotation="0" wrapText="false" indent="0" shrinkToFit="false"/>
      <protection locked="true" hidden="false"/>
    </xf>
    <xf numFmtId="164" fontId="6" fillId="4" borderId="5"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11" fillId="5" borderId="6" xfId="0" applyFont="true" applyBorder="true" applyAlignment="true" applyProtection="false">
      <alignment horizontal="right" vertical="bottom" textRotation="0" wrapText="false" indent="0" shrinkToFit="false"/>
      <protection locked="true" hidden="false"/>
    </xf>
    <xf numFmtId="164" fontId="11" fillId="5" borderId="7" xfId="0" applyFont="true" applyBorder="true" applyAlignment="true" applyProtection="false">
      <alignment horizontal="left" vertical="bottom" textRotation="0" wrapText="false" indent="0" shrinkToFit="false"/>
      <protection locked="true" hidden="false"/>
    </xf>
    <xf numFmtId="165" fontId="11" fillId="0" borderId="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5" borderId="8" xfId="0" applyFont="true" applyBorder="true" applyAlignment="true" applyProtection="false">
      <alignment horizontal="right" vertical="center" textRotation="0" wrapText="false" indent="0" shrinkToFit="false"/>
      <protection locked="true" hidden="false"/>
    </xf>
    <xf numFmtId="164" fontId="11" fillId="5" borderId="9" xfId="0" applyFont="true" applyBorder="true" applyAlignment="true" applyProtection="false">
      <alignment horizontal="left" vertical="center" textRotation="0" wrapText="false" indent="0" shrinkToFit="false"/>
      <protection locked="true" hidden="false"/>
    </xf>
    <xf numFmtId="164" fontId="11" fillId="0" borderId="2" xfId="0" applyFont="true" applyBorder="true" applyAlignment="true" applyProtection="false">
      <alignment horizontal="center" vertical="top" textRotation="0" wrapText="false" indent="0" shrinkToFit="false"/>
      <protection locked="true" hidden="false"/>
    </xf>
    <xf numFmtId="165"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13" fillId="5" borderId="4" xfId="0" applyFont="true" applyBorder="true" applyAlignment="true" applyProtection="false">
      <alignment horizontal="general" vertical="center"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true" applyProtection="false">
      <alignment horizontal="left" vertical="center" textRotation="0" wrapText="true" indent="0" shrinkToFit="false"/>
      <protection locked="true" hidden="false"/>
    </xf>
    <xf numFmtId="164" fontId="13" fillId="0" borderId="4"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0" borderId="10" xfId="0" applyFont="true" applyBorder="true" applyAlignment="true" applyProtection="false">
      <alignment horizontal="general" vertical="bottom" textRotation="0" wrapText="false" indent="0" shrinkToFit="false"/>
      <protection locked="true" hidden="false"/>
    </xf>
    <xf numFmtId="164" fontId="9" fillId="0" borderId="11" xfId="0" applyFont="true" applyBorder="true" applyAlignment="true" applyProtection="false">
      <alignment horizontal="general" vertical="bottom" textRotation="0" wrapText="false" indent="0" shrinkToFit="false"/>
      <protection locked="true" hidden="false"/>
    </xf>
    <xf numFmtId="164" fontId="9" fillId="0" borderId="10" xfId="0" applyFont="true" applyBorder="true" applyAlignment="true" applyProtection="false">
      <alignment horizontal="center" vertical="bottom" textRotation="0" wrapText="false" indent="0" shrinkToFit="false"/>
      <protection locked="true" hidden="false"/>
    </xf>
    <xf numFmtId="164" fontId="9" fillId="0" borderId="10"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general" vertical="bottom" textRotation="0" wrapText="false" indent="0" shrinkToFit="false"/>
      <protection locked="true" hidden="false"/>
    </xf>
    <xf numFmtId="164" fontId="10" fillId="4" borderId="4" xfId="0" applyFont="true" applyBorder="true" applyAlignment="true" applyProtection="false">
      <alignment horizontal="right" vertical="bottom" textRotation="0" wrapText="false" indent="0" shrinkToFit="false"/>
      <protection locked="true" hidden="false"/>
    </xf>
    <xf numFmtId="164" fontId="10" fillId="4" borderId="4" xfId="0" applyFont="true" applyBorder="true" applyAlignment="true" applyProtection="false">
      <alignment horizontal="center" vertical="bottom" textRotation="0" wrapText="false" indent="0" shrinkToFit="false"/>
      <protection locked="true" hidden="false"/>
    </xf>
    <xf numFmtId="164" fontId="10" fillId="0" borderId="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6" fontId="9"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9" fillId="6"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0" fillId="7" borderId="4"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4"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9" fillId="0" borderId="1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color rgb="FF000000"/>
      </font>
      <fill>
        <patternFill>
          <bgColor rgb="FFFFFF00"/>
        </patternFill>
      </fill>
      <border diagonalUp="false" diagonalDown="false">
        <left/>
        <right/>
        <top/>
        <bottom/>
        <diagonal/>
      </border>
    </dxf>
    <dxf>
      <font>
        <name val="Arial"/>
        <charset val="1"/>
        <family val="0"/>
        <color rgb="FF000000"/>
      </font>
      <fill>
        <patternFill>
          <bgColor rgb="FFFF9900"/>
        </patternFill>
      </fill>
      <border diagonalUp="false" diagonalDown="false">
        <left/>
        <right/>
        <top/>
        <bottom/>
        <diagonal/>
      </border>
    </dxf>
    <dxf>
      <font>
        <name val="Arial"/>
        <charset val="1"/>
        <family val="0"/>
        <color rgb="FF000000"/>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FE2F3"/>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FCC00"/>
      <rgbColor rgb="FFFF9900"/>
      <rgbColor rgb="FFFF6600"/>
      <rgbColor rgb="FF666699"/>
      <rgbColor rgb="FFB7B7B7"/>
      <rgbColor rgb="FF003366"/>
      <rgbColor rgb="FF339966"/>
      <rgbColor rgb="FF003300"/>
      <rgbColor rgb="FF333300"/>
      <rgbColor rgb="FFDC3912"/>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ubbleChart>
        <c:varyColors val="0"/>
        <c:ser>
          <c:idx val="0"/>
          <c:order val="0"/>
          <c:tx>
            <c:strRef>
              <c:f>P_Ocurrencias!$L$4:$L$4</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P_Ocurrencias!$M$4:$M$4</c:f>
              <c:numCache>
                <c:formatCode>General</c:formatCode>
                <c:ptCount val="1"/>
                <c:pt idx="0">
                  <c:v>0</c:v>
                </c:pt>
              </c:numCache>
            </c:numRef>
          </c:xVal>
          <c:yVal>
            <c:numRef>
              <c:f>P_Ocurrencias!$N$4:$N$4</c:f>
              <c:numCache>
                <c:formatCode>General</c:formatCode>
                <c:ptCount val="1"/>
                <c:pt idx="0">
                  <c:v>0</c:v>
                </c:pt>
              </c:numCache>
            </c:numRef>
          </c:yVal>
          <c:bubbleSize>
            <c:numRef>
              <c:f>P_Ocurrencias!$P$4:$P$4</c:f>
              <c:numCache>
                <c:formatCode>General</c:formatCode>
                <c:ptCount val="1"/>
                <c:pt idx="0">
                  <c:v>0</c:v>
                </c:pt>
              </c:numCache>
            </c:numRef>
          </c:bubbleSize>
        </c:ser>
        <c:ser>
          <c:idx val="1"/>
          <c:order val="1"/>
          <c:tx>
            <c:strRef>
              <c:f>P_Ocurrencias!$L$5:$L$5</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P_Ocurrencias!$M$5:$M$5</c:f>
              <c:numCache>
                <c:formatCode>General</c:formatCode>
                <c:ptCount val="1"/>
                <c:pt idx="0">
                  <c:v>0</c:v>
                </c:pt>
              </c:numCache>
            </c:numRef>
          </c:xVal>
          <c:yVal>
            <c:numRef>
              <c:f>P_Ocurrencias!$N$5:$N$5</c:f>
              <c:numCache>
                <c:formatCode>General</c:formatCode>
                <c:ptCount val="1"/>
                <c:pt idx="0">
                  <c:v>0</c:v>
                </c:pt>
              </c:numCache>
            </c:numRef>
          </c:yVal>
          <c:bubbleSize>
            <c:numRef>
              <c:f>P_Ocurrencias!$P$5:$P$5</c:f>
              <c:numCache>
                <c:formatCode>General</c:formatCode>
                <c:ptCount val="1"/>
                <c:pt idx="0">
                  <c:v>0</c:v>
                </c:pt>
              </c:numCache>
            </c:numRef>
          </c:bubbleSize>
        </c:ser>
        <c:ser>
          <c:idx val="2"/>
          <c:order val="2"/>
          <c:tx>
            <c:strRef>
              <c:f>P_Ocurrencias!$L$6:$L$6</c:f>
              <c:strCache>
                <c:ptCount val="1"/>
                <c:pt idx="0">
                  <c:v>1 </c:v>
                </c:pt>
              </c:strCache>
            </c:strRef>
          </c:tx>
          <c:spPr>
            <a:noFill/>
            <a:ln>
              <a:noFill/>
            </a:ln>
          </c:spPr>
          <c:invertIfNegative val="0"/>
          <c:dLbls>
            <c:dLblPos val="ctr"/>
            <c:showLegendKey val="0"/>
            <c:showVal val="0"/>
            <c:showCatName val="0"/>
            <c:showSerName val="0"/>
            <c:showPercent val="0"/>
            <c:showLeaderLines val="0"/>
          </c:dLbls>
          <c:xVal>
            <c:numRef>
              <c:f>P_Ocurrencias!$M$6:$M$6</c:f>
              <c:numCache>
                <c:formatCode>General</c:formatCode>
                <c:ptCount val="1"/>
                <c:pt idx="0">
                  <c:v>0</c:v>
                </c:pt>
              </c:numCache>
            </c:numRef>
          </c:xVal>
          <c:yVal>
            <c:numRef>
              <c:f>P_Ocurrencias!$N$6:$N$6</c:f>
              <c:numCache>
                <c:formatCode>General</c:formatCode>
                <c:ptCount val="1"/>
                <c:pt idx="0">
                  <c:v>0.2</c:v>
                </c:pt>
              </c:numCache>
            </c:numRef>
          </c:yVal>
          <c:bubbleSize>
            <c:numRef>
              <c:f>P_Ocurrencias!$P$6:$P$6</c:f>
              <c:numCache>
                <c:formatCode>General</c:formatCode>
                <c:ptCount val="1"/>
                <c:pt idx="0">
                  <c:v>9.5</c:v>
                </c:pt>
              </c:numCache>
            </c:numRef>
          </c:bubbleSize>
        </c:ser>
        <c:ser>
          <c:idx val="3"/>
          <c:order val="3"/>
          <c:tx>
            <c:strRef>
              <c:f>P_Ocurrencias!$L$7:$L$7</c:f>
              <c:strCache>
                <c:ptCount val="1"/>
                <c:pt idx="0">
                  <c:v>2 </c:v>
                </c:pt>
              </c:strCache>
            </c:strRef>
          </c:tx>
          <c:spPr>
            <a:noFill/>
            <a:ln>
              <a:noFill/>
            </a:ln>
          </c:spPr>
          <c:invertIfNegative val="0"/>
          <c:dLbls>
            <c:dLblPos val="ctr"/>
            <c:showLegendKey val="0"/>
            <c:showVal val="0"/>
            <c:showCatName val="0"/>
            <c:showSerName val="0"/>
            <c:showPercent val="0"/>
            <c:showLeaderLines val="0"/>
          </c:dLbls>
          <c:xVal>
            <c:numRef>
              <c:f>P_Ocurrencias!$M$7:$M$7</c:f>
              <c:numCache>
                <c:formatCode>General</c:formatCode>
                <c:ptCount val="1"/>
                <c:pt idx="0">
                  <c:v>0</c:v>
                </c:pt>
              </c:numCache>
            </c:numRef>
          </c:xVal>
          <c:yVal>
            <c:numRef>
              <c:f>P_Ocurrencias!$N$7:$N$7</c:f>
              <c:numCache>
                <c:formatCode>General</c:formatCode>
                <c:ptCount val="1"/>
                <c:pt idx="0">
                  <c:v>0.2</c:v>
                </c:pt>
              </c:numCache>
            </c:numRef>
          </c:yVal>
          <c:bubbleSize>
            <c:numRef>
              <c:f>P_Ocurrencias!$P$7:$P$7</c:f>
              <c:numCache>
                <c:formatCode>General</c:formatCode>
                <c:ptCount val="1"/>
                <c:pt idx="0">
                  <c:v>9.5</c:v>
                </c:pt>
              </c:numCache>
            </c:numRef>
          </c:bubbleSize>
        </c:ser>
        <c:ser>
          <c:idx val="4"/>
          <c:order val="4"/>
          <c:tx>
            <c:strRef>
              <c:f>P_Ocurrencias!$L$8:$L$8</c:f>
              <c:strCache>
                <c:ptCount val="1"/>
                <c:pt idx="0">
                  <c:v>3 </c:v>
                </c:pt>
              </c:strCache>
            </c:strRef>
          </c:tx>
          <c:spPr>
            <a:noFill/>
            <a:ln>
              <a:noFill/>
            </a:ln>
          </c:spPr>
          <c:invertIfNegative val="0"/>
          <c:dLbls>
            <c:dLblPos val="ctr"/>
            <c:showLegendKey val="0"/>
            <c:showVal val="0"/>
            <c:showCatName val="0"/>
            <c:showSerName val="0"/>
            <c:showPercent val="0"/>
            <c:showLeaderLines val="0"/>
          </c:dLbls>
          <c:xVal>
            <c:numRef>
              <c:f>P_Ocurrencias!$M$8:$M$8</c:f>
              <c:numCache>
                <c:formatCode>General</c:formatCode>
                <c:ptCount val="1"/>
                <c:pt idx="0">
                  <c:v>0</c:v>
                </c:pt>
              </c:numCache>
            </c:numRef>
          </c:xVal>
          <c:yVal>
            <c:numRef>
              <c:f>P_Ocurrencias!$N$8:$N$8</c:f>
              <c:numCache>
                <c:formatCode>General</c:formatCode>
                <c:ptCount val="1"/>
                <c:pt idx="0">
                  <c:v>0.2</c:v>
                </c:pt>
              </c:numCache>
            </c:numRef>
          </c:yVal>
          <c:bubbleSize>
            <c:numRef>
              <c:f>P_Ocurrencias!$P$8:$P$8</c:f>
              <c:numCache>
                <c:formatCode>General</c:formatCode>
                <c:ptCount val="1"/>
                <c:pt idx="0">
                  <c:v>9.5</c:v>
                </c:pt>
              </c:numCache>
            </c:numRef>
          </c:bubbleSize>
        </c:ser>
        <c:ser>
          <c:idx val="5"/>
          <c:order val="5"/>
          <c:tx>
            <c:strRef>
              <c:f>P_Ocurrencias!$L$9:$L$9</c:f>
              <c:strCache>
                <c:ptCount val="1"/>
                <c:pt idx="0">
                  <c:v>4 </c:v>
                </c:pt>
              </c:strCache>
            </c:strRef>
          </c:tx>
          <c:spPr>
            <a:noFill/>
            <a:ln>
              <a:noFill/>
            </a:ln>
          </c:spPr>
          <c:invertIfNegative val="0"/>
          <c:dLbls>
            <c:dLblPos val="ctr"/>
            <c:showLegendKey val="0"/>
            <c:showVal val="0"/>
            <c:showCatName val="0"/>
            <c:showSerName val="0"/>
            <c:showPercent val="0"/>
            <c:showLeaderLines val="0"/>
          </c:dLbls>
          <c:xVal>
            <c:numRef>
              <c:f>P_Ocurrencias!$M$9:$M$9</c:f>
              <c:numCache>
                <c:formatCode>General</c:formatCode>
                <c:ptCount val="1"/>
                <c:pt idx="0">
                  <c:v>0</c:v>
                </c:pt>
              </c:numCache>
            </c:numRef>
          </c:xVal>
          <c:yVal>
            <c:numRef>
              <c:f>P_Ocurrencias!$N$9:$N$9</c:f>
              <c:numCache>
                <c:formatCode>General</c:formatCode>
                <c:ptCount val="1"/>
                <c:pt idx="0">
                  <c:v>0.2</c:v>
                </c:pt>
              </c:numCache>
            </c:numRef>
          </c:yVal>
          <c:bubbleSize>
            <c:numRef>
              <c:f>P_Ocurrencias!$P$9:$P$9</c:f>
              <c:numCache>
                <c:formatCode>General</c:formatCode>
                <c:ptCount val="1"/>
                <c:pt idx="0">
                  <c:v>9.5</c:v>
                </c:pt>
              </c:numCache>
            </c:numRef>
          </c:bubbleSize>
        </c:ser>
        <c:ser>
          <c:idx val="6"/>
          <c:order val="6"/>
          <c:tx>
            <c:strRef>
              <c:f>P_Ocurrencias!$L$10:$L$10</c:f>
              <c:strCache>
                <c:ptCount val="1"/>
                <c:pt idx="0">
                  <c:v>5 </c:v>
                </c:pt>
              </c:strCache>
            </c:strRef>
          </c:tx>
          <c:spPr>
            <a:noFill/>
            <a:ln>
              <a:noFill/>
            </a:ln>
          </c:spPr>
          <c:invertIfNegative val="0"/>
          <c:dLbls>
            <c:dLblPos val="ctr"/>
            <c:showLegendKey val="0"/>
            <c:showVal val="0"/>
            <c:showCatName val="0"/>
            <c:showSerName val="0"/>
            <c:showPercent val="0"/>
            <c:showLeaderLines val="0"/>
          </c:dLbls>
          <c:xVal>
            <c:numRef>
              <c:f>P_Ocurrencias!$M$10:$M$10</c:f>
              <c:numCache>
                <c:formatCode>General</c:formatCode>
                <c:ptCount val="1"/>
                <c:pt idx="0">
                  <c:v>0</c:v>
                </c:pt>
              </c:numCache>
            </c:numRef>
          </c:xVal>
          <c:yVal>
            <c:numRef>
              <c:f>P_Ocurrencias!$N$10:$N$10</c:f>
              <c:numCache>
                <c:formatCode>General</c:formatCode>
                <c:ptCount val="1"/>
                <c:pt idx="0">
                  <c:v>0.2</c:v>
                </c:pt>
              </c:numCache>
            </c:numRef>
          </c:yVal>
          <c:bubbleSize>
            <c:numRef>
              <c:f>P_Ocurrencias!$P$10:$P$10</c:f>
              <c:numCache>
                <c:formatCode>General</c:formatCode>
                <c:ptCount val="1"/>
                <c:pt idx="0">
                  <c:v>9.5</c:v>
                </c:pt>
              </c:numCache>
            </c:numRef>
          </c:bubbleSize>
        </c:ser>
        <c:ser>
          <c:idx val="7"/>
          <c:order val="7"/>
          <c:tx>
            <c:strRef>
              <c:f>P_Ocurrencias!$L$11:$L$11</c:f>
              <c:strCache>
                <c:ptCount val="1"/>
                <c:pt idx="0">
                  <c:v>6 </c:v>
                </c:pt>
              </c:strCache>
            </c:strRef>
          </c:tx>
          <c:spPr>
            <a:noFill/>
            <a:ln>
              <a:noFill/>
            </a:ln>
          </c:spPr>
          <c:invertIfNegative val="0"/>
          <c:dLbls>
            <c:dLblPos val="ctr"/>
            <c:showLegendKey val="0"/>
            <c:showVal val="0"/>
            <c:showCatName val="0"/>
            <c:showSerName val="0"/>
            <c:showPercent val="0"/>
            <c:showLeaderLines val="0"/>
          </c:dLbls>
          <c:xVal>
            <c:numRef>
              <c:f>P_Ocurrencias!$M$11:$M$11</c:f>
              <c:numCache>
                <c:formatCode>General</c:formatCode>
                <c:ptCount val="1"/>
                <c:pt idx="0">
                  <c:v>0</c:v>
                </c:pt>
              </c:numCache>
            </c:numRef>
          </c:xVal>
          <c:yVal>
            <c:numRef>
              <c:f>P_Ocurrencias!$N$11:$N$11</c:f>
              <c:numCache>
                <c:formatCode>General</c:formatCode>
                <c:ptCount val="1"/>
                <c:pt idx="0">
                  <c:v>0.2</c:v>
                </c:pt>
              </c:numCache>
            </c:numRef>
          </c:yVal>
          <c:bubbleSize>
            <c:numRef>
              <c:f>P_Ocurrencias!$P$11:$P$11</c:f>
              <c:numCache>
                <c:formatCode>General</c:formatCode>
                <c:ptCount val="1"/>
                <c:pt idx="0">
                  <c:v>9.5</c:v>
                </c:pt>
              </c:numCache>
            </c:numRef>
          </c:bubbleSize>
        </c:ser>
        <c:ser>
          <c:idx val="8"/>
          <c:order val="8"/>
          <c:tx>
            <c:strRef>
              <c:f>P_Ocurrencias!$L$12:$L$12</c:f>
              <c:strCache>
                <c:ptCount val="1"/>
                <c:pt idx="0">
                  <c:v>7 </c:v>
                </c:pt>
              </c:strCache>
            </c:strRef>
          </c:tx>
          <c:spPr>
            <a:noFill/>
            <a:ln>
              <a:noFill/>
            </a:ln>
          </c:spPr>
          <c:invertIfNegative val="0"/>
          <c:dLbls>
            <c:dLblPos val="ctr"/>
            <c:showLegendKey val="0"/>
            <c:showVal val="0"/>
            <c:showCatName val="0"/>
            <c:showSerName val="0"/>
            <c:showPercent val="0"/>
            <c:showLeaderLines val="0"/>
          </c:dLbls>
          <c:xVal>
            <c:numRef>
              <c:f>P_Ocurrencias!$M$12:$M$12</c:f>
              <c:numCache>
                <c:formatCode>General</c:formatCode>
                <c:ptCount val="1"/>
                <c:pt idx="0">
                  <c:v>0</c:v>
                </c:pt>
              </c:numCache>
            </c:numRef>
          </c:xVal>
          <c:yVal>
            <c:numRef>
              <c:f>P_Ocurrencias!$N$12:$N$12</c:f>
              <c:numCache>
                <c:formatCode>General</c:formatCode>
                <c:ptCount val="1"/>
                <c:pt idx="0">
                  <c:v>0.2</c:v>
                </c:pt>
              </c:numCache>
            </c:numRef>
          </c:yVal>
          <c:bubbleSize>
            <c:numRef>
              <c:f>P_Ocurrencias!$P$12:$P$12</c:f>
              <c:numCache>
                <c:formatCode>General</c:formatCode>
                <c:ptCount val="1"/>
                <c:pt idx="0">
                  <c:v>9.5</c:v>
                </c:pt>
              </c:numCache>
            </c:numRef>
          </c:bubbleSize>
        </c:ser>
        <c:ser>
          <c:idx val="9"/>
          <c:order val="9"/>
          <c:tx>
            <c:strRef>
              <c:f>P_Ocurrencias!$L$13:$L$13</c:f>
              <c:strCache>
                <c:ptCount val="1"/>
                <c:pt idx="0">
                  <c:v>8 </c:v>
                </c:pt>
              </c:strCache>
            </c:strRef>
          </c:tx>
          <c:spPr>
            <a:noFill/>
            <a:ln>
              <a:noFill/>
            </a:ln>
          </c:spPr>
          <c:invertIfNegative val="0"/>
          <c:dLbls>
            <c:dLblPos val="ctr"/>
            <c:showLegendKey val="0"/>
            <c:showVal val="0"/>
            <c:showCatName val="0"/>
            <c:showSerName val="0"/>
            <c:showPercent val="0"/>
            <c:showLeaderLines val="0"/>
          </c:dLbls>
          <c:xVal>
            <c:numRef>
              <c:f>P_Ocurrencias!$M$13:$M$13</c:f>
              <c:numCache>
                <c:formatCode>General</c:formatCode>
                <c:ptCount val="1"/>
                <c:pt idx="0">
                  <c:v>0</c:v>
                </c:pt>
              </c:numCache>
            </c:numRef>
          </c:xVal>
          <c:yVal>
            <c:numRef>
              <c:f>P_Ocurrencias!$N$13:$N$13</c:f>
              <c:numCache>
                <c:formatCode>General</c:formatCode>
                <c:ptCount val="1"/>
                <c:pt idx="0">
                  <c:v>0.2</c:v>
                </c:pt>
              </c:numCache>
            </c:numRef>
          </c:yVal>
          <c:bubbleSize>
            <c:numRef>
              <c:f>P_Ocurrencias!$P$13:$P$13</c:f>
              <c:numCache>
                <c:formatCode>General</c:formatCode>
                <c:ptCount val="1"/>
                <c:pt idx="0">
                  <c:v>9.5</c:v>
                </c:pt>
              </c:numCache>
            </c:numRef>
          </c:bubbleSize>
        </c:ser>
        <c:ser>
          <c:idx val="10"/>
          <c:order val="10"/>
          <c:tx>
            <c:strRef>
              <c:f>P_Ocurrencias!$L$14:$L$14</c:f>
              <c:strCache>
                <c:ptCount val="1"/>
                <c:pt idx="0">
                  <c:v>9 </c:v>
                </c:pt>
              </c:strCache>
            </c:strRef>
          </c:tx>
          <c:spPr>
            <a:noFill/>
            <a:ln>
              <a:noFill/>
            </a:ln>
          </c:spPr>
          <c:invertIfNegative val="0"/>
          <c:dLbls>
            <c:dLblPos val="ctr"/>
            <c:showLegendKey val="0"/>
            <c:showVal val="0"/>
            <c:showCatName val="0"/>
            <c:showSerName val="0"/>
            <c:showPercent val="0"/>
            <c:showLeaderLines val="0"/>
          </c:dLbls>
          <c:xVal>
            <c:numRef>
              <c:f>P_Ocurrencias!$M$14:$M$14</c:f>
              <c:numCache>
                <c:formatCode>General</c:formatCode>
                <c:ptCount val="1"/>
                <c:pt idx="0">
                  <c:v>0</c:v>
                </c:pt>
              </c:numCache>
            </c:numRef>
          </c:xVal>
          <c:yVal>
            <c:numRef>
              <c:f>P_Ocurrencias!$N$14:$N$14</c:f>
              <c:numCache>
                <c:formatCode>General</c:formatCode>
                <c:ptCount val="1"/>
                <c:pt idx="0">
                  <c:v>0.2</c:v>
                </c:pt>
              </c:numCache>
            </c:numRef>
          </c:yVal>
          <c:bubbleSize>
            <c:numRef>
              <c:f>P_Ocurrencias!$P$14:$P$14</c:f>
              <c:numCache>
                <c:formatCode>General</c:formatCode>
                <c:ptCount val="1"/>
                <c:pt idx="0">
                  <c:v>9.5</c:v>
                </c:pt>
              </c:numCache>
            </c:numRef>
          </c:bubbleSize>
        </c:ser>
        <c:ser>
          <c:idx val="11"/>
          <c:order val="11"/>
          <c:tx>
            <c:strRef>
              <c:f>P_Ocurrencias!$L$15:$L$15</c:f>
              <c:strCache>
                <c:ptCount val="1"/>
                <c:pt idx="0">
                  <c:v>10 </c:v>
                </c:pt>
              </c:strCache>
            </c:strRef>
          </c:tx>
          <c:spPr>
            <a:noFill/>
            <a:ln>
              <a:noFill/>
            </a:ln>
          </c:spPr>
          <c:invertIfNegative val="0"/>
          <c:dLbls>
            <c:dLblPos val="ctr"/>
            <c:showLegendKey val="0"/>
            <c:showVal val="0"/>
            <c:showCatName val="0"/>
            <c:showSerName val="0"/>
            <c:showPercent val="0"/>
            <c:showLeaderLines val="0"/>
          </c:dLbls>
          <c:xVal>
            <c:numRef>
              <c:f>P_Ocurrencias!$M$15:$M$15</c:f>
              <c:numCache>
                <c:formatCode>General</c:formatCode>
                <c:ptCount val="1"/>
                <c:pt idx="0">
                  <c:v>0</c:v>
                </c:pt>
              </c:numCache>
            </c:numRef>
          </c:xVal>
          <c:yVal>
            <c:numRef>
              <c:f>P_Ocurrencias!$N$15:$N$15</c:f>
              <c:numCache>
                <c:formatCode>General</c:formatCode>
                <c:ptCount val="1"/>
                <c:pt idx="0">
                  <c:v>0.2</c:v>
                </c:pt>
              </c:numCache>
            </c:numRef>
          </c:yVal>
          <c:bubbleSize>
            <c:numRef>
              <c:f>P_Ocurrencias!$P$15:$P$15</c:f>
              <c:numCache>
                <c:formatCode>General</c:formatCode>
                <c:ptCount val="1"/>
                <c:pt idx="0">
                  <c:v>9.5</c:v>
                </c:pt>
              </c:numCache>
            </c:numRef>
          </c:bubbleSize>
        </c:ser>
        <c:ser>
          <c:idx val="12"/>
          <c:order val="12"/>
          <c:tx>
            <c:strRef>
              <c:f>P_Ocurrencias!$L$16:$L$16</c:f>
              <c:strCache>
                <c:ptCount val="1"/>
                <c:pt idx="0">
                  <c:v>11 </c:v>
                </c:pt>
              </c:strCache>
            </c:strRef>
          </c:tx>
          <c:spPr>
            <a:noFill/>
            <a:ln>
              <a:noFill/>
            </a:ln>
          </c:spPr>
          <c:invertIfNegative val="0"/>
          <c:dLbls>
            <c:dLblPos val="ctr"/>
            <c:showLegendKey val="0"/>
            <c:showVal val="0"/>
            <c:showCatName val="0"/>
            <c:showSerName val="0"/>
            <c:showPercent val="0"/>
            <c:showLeaderLines val="0"/>
          </c:dLbls>
          <c:xVal>
            <c:numRef>
              <c:f>P_Ocurrencias!$M$16:$M$16</c:f>
              <c:numCache>
                <c:formatCode>General</c:formatCode>
                <c:ptCount val="1"/>
                <c:pt idx="0">
                  <c:v>0</c:v>
                </c:pt>
              </c:numCache>
            </c:numRef>
          </c:xVal>
          <c:yVal>
            <c:numRef>
              <c:f>P_Ocurrencias!$N$16:$N$16</c:f>
              <c:numCache>
                <c:formatCode>General</c:formatCode>
                <c:ptCount val="1"/>
                <c:pt idx="0">
                  <c:v>0.2</c:v>
                </c:pt>
              </c:numCache>
            </c:numRef>
          </c:yVal>
          <c:bubbleSize>
            <c:numRef>
              <c:f>P_Ocurrencias!$P$16:$P$16</c:f>
              <c:numCache>
                <c:formatCode>General</c:formatCode>
                <c:ptCount val="1"/>
                <c:pt idx="0">
                  <c:v>9.5</c:v>
                </c:pt>
              </c:numCache>
            </c:numRef>
          </c:bubbleSize>
        </c:ser>
        <c:ser>
          <c:idx val="13"/>
          <c:order val="13"/>
          <c:tx>
            <c:strRef>
              <c:f>P_Ocurrencias!$L$17:$L$17</c:f>
              <c:strCache>
                <c:ptCount val="1"/>
                <c:pt idx="0">
                  <c:v>12 </c:v>
                </c:pt>
              </c:strCache>
            </c:strRef>
          </c:tx>
          <c:spPr>
            <a:noFill/>
            <a:ln>
              <a:noFill/>
            </a:ln>
          </c:spPr>
          <c:invertIfNegative val="0"/>
          <c:dLbls>
            <c:dLblPos val="ctr"/>
            <c:showLegendKey val="0"/>
            <c:showVal val="0"/>
            <c:showCatName val="0"/>
            <c:showSerName val="0"/>
            <c:showPercent val="0"/>
            <c:showLeaderLines val="0"/>
          </c:dLbls>
          <c:xVal>
            <c:numRef>
              <c:f>P_Ocurrencias!$M$17:$M$17</c:f>
              <c:numCache>
                <c:formatCode>General</c:formatCode>
                <c:ptCount val="1"/>
                <c:pt idx="0">
                  <c:v>0</c:v>
                </c:pt>
              </c:numCache>
            </c:numRef>
          </c:xVal>
          <c:yVal>
            <c:numRef>
              <c:f>P_Ocurrencias!$N$17:$N$17</c:f>
              <c:numCache>
                <c:formatCode>General</c:formatCode>
                <c:ptCount val="1"/>
                <c:pt idx="0">
                  <c:v>0.2</c:v>
                </c:pt>
              </c:numCache>
            </c:numRef>
          </c:yVal>
          <c:bubbleSize>
            <c:numRef>
              <c:f>P_Ocurrencias!$P$17:$P$17</c:f>
              <c:numCache>
                <c:formatCode>General</c:formatCode>
                <c:ptCount val="1"/>
                <c:pt idx="0">
                  <c:v>9.5</c:v>
                </c:pt>
              </c:numCache>
            </c:numRef>
          </c:bubbleSize>
        </c:ser>
        <c:ser>
          <c:idx val="14"/>
          <c:order val="14"/>
          <c:tx>
            <c:strRef>
              <c:f>P_Ocurrencias!$L$18:$L$18</c:f>
              <c:strCache>
                <c:ptCount val="1"/>
                <c:pt idx="0">
                  <c:v>13 </c:v>
                </c:pt>
              </c:strCache>
            </c:strRef>
          </c:tx>
          <c:spPr>
            <a:noFill/>
            <a:ln>
              <a:noFill/>
            </a:ln>
          </c:spPr>
          <c:invertIfNegative val="0"/>
          <c:dLbls>
            <c:dLblPos val="ctr"/>
            <c:showLegendKey val="0"/>
            <c:showVal val="0"/>
            <c:showCatName val="0"/>
            <c:showSerName val="0"/>
            <c:showPercent val="0"/>
            <c:showLeaderLines val="0"/>
          </c:dLbls>
          <c:xVal>
            <c:numRef>
              <c:f>P_Ocurrencias!$M$18:$M$18</c:f>
              <c:numCache>
                <c:formatCode>General</c:formatCode>
                <c:ptCount val="1"/>
                <c:pt idx="0">
                  <c:v>0</c:v>
                </c:pt>
              </c:numCache>
            </c:numRef>
          </c:xVal>
          <c:yVal>
            <c:numRef>
              <c:f>P_Ocurrencias!$N$18:$N$18</c:f>
              <c:numCache>
                <c:formatCode>General</c:formatCode>
                <c:ptCount val="1"/>
                <c:pt idx="0">
                  <c:v>0.2</c:v>
                </c:pt>
              </c:numCache>
            </c:numRef>
          </c:yVal>
          <c:bubbleSize>
            <c:numRef>
              <c:f>P_Ocurrencias!$P$18:$P$18</c:f>
              <c:numCache>
                <c:formatCode>General</c:formatCode>
                <c:ptCount val="1"/>
                <c:pt idx="0">
                  <c:v>9.5</c:v>
                </c:pt>
              </c:numCache>
            </c:numRef>
          </c:bubbleSize>
        </c:ser>
        <c:ser>
          <c:idx val="15"/>
          <c:order val="15"/>
          <c:tx>
            <c:strRef>
              <c:f>P_Ocurrencias!$L$19:$L$19</c:f>
              <c:strCache>
                <c:ptCount val="1"/>
                <c:pt idx="0">
                  <c:v>14 </c:v>
                </c:pt>
              </c:strCache>
            </c:strRef>
          </c:tx>
          <c:spPr>
            <a:noFill/>
            <a:ln>
              <a:noFill/>
            </a:ln>
          </c:spPr>
          <c:invertIfNegative val="0"/>
          <c:dLbls>
            <c:dLblPos val="ctr"/>
            <c:showLegendKey val="0"/>
            <c:showVal val="0"/>
            <c:showCatName val="0"/>
            <c:showSerName val="0"/>
            <c:showPercent val="0"/>
            <c:showLeaderLines val="0"/>
          </c:dLbls>
          <c:xVal>
            <c:numRef>
              <c:f>P_Ocurrencias!$M$19:$M$19</c:f>
              <c:numCache>
                <c:formatCode>General</c:formatCode>
                <c:ptCount val="1"/>
                <c:pt idx="0">
                  <c:v>0</c:v>
                </c:pt>
              </c:numCache>
            </c:numRef>
          </c:xVal>
          <c:yVal>
            <c:numRef>
              <c:f>P_Ocurrencias!$N$19:$N$19</c:f>
              <c:numCache>
                <c:formatCode>General</c:formatCode>
                <c:ptCount val="1"/>
                <c:pt idx="0">
                  <c:v>0.2</c:v>
                </c:pt>
              </c:numCache>
            </c:numRef>
          </c:yVal>
          <c:bubbleSize>
            <c:numRef>
              <c:f>P_Ocurrencias!$P$19:$P$19</c:f>
              <c:numCache>
                <c:formatCode>General</c:formatCode>
                <c:ptCount val="1"/>
                <c:pt idx="0">
                  <c:v>9.5</c:v>
                </c:pt>
              </c:numCache>
            </c:numRef>
          </c:bubbleSize>
        </c:ser>
        <c:ser>
          <c:idx val="16"/>
          <c:order val="16"/>
          <c:tx>
            <c:strRef>
              <c:f>P_Ocurrencias!$L$20:$L$20</c:f>
              <c:strCache>
                <c:ptCount val="1"/>
                <c:pt idx="0">
                  <c:v>15 </c:v>
                </c:pt>
              </c:strCache>
            </c:strRef>
          </c:tx>
          <c:spPr>
            <a:noFill/>
            <a:ln>
              <a:noFill/>
            </a:ln>
          </c:spPr>
          <c:invertIfNegative val="0"/>
          <c:dLbls>
            <c:dLblPos val="ctr"/>
            <c:showLegendKey val="0"/>
            <c:showVal val="0"/>
            <c:showCatName val="0"/>
            <c:showSerName val="0"/>
            <c:showPercent val="0"/>
            <c:showLeaderLines val="0"/>
          </c:dLbls>
          <c:xVal>
            <c:numRef>
              <c:f>P_Ocurrencias!$M$20:$M$20</c:f>
              <c:numCache>
                <c:formatCode>General</c:formatCode>
                <c:ptCount val="1"/>
                <c:pt idx="0">
                  <c:v>0</c:v>
                </c:pt>
              </c:numCache>
            </c:numRef>
          </c:xVal>
          <c:yVal>
            <c:numRef>
              <c:f>P_Ocurrencias!$N$20:$N$20</c:f>
              <c:numCache>
                <c:formatCode>General</c:formatCode>
                <c:ptCount val="1"/>
                <c:pt idx="0">
                  <c:v>0.2</c:v>
                </c:pt>
              </c:numCache>
            </c:numRef>
          </c:yVal>
          <c:bubbleSize>
            <c:numRef>
              <c:f>P_Ocurrencias!$P$20:$P$20</c:f>
              <c:numCache>
                <c:formatCode>General</c:formatCode>
                <c:ptCount val="1"/>
                <c:pt idx="0">
                  <c:v>9.5</c:v>
                </c:pt>
              </c:numCache>
            </c:numRef>
          </c:bubbleSize>
        </c:ser>
        <c:ser>
          <c:idx val="17"/>
          <c:order val="17"/>
          <c:tx>
            <c:strRef>
              <c:f>P_Ocurrencias!$L$21:$L$21</c:f>
              <c:strCache>
                <c:ptCount val="1"/>
                <c:pt idx="0">
                  <c:v>16 </c:v>
                </c:pt>
              </c:strCache>
            </c:strRef>
          </c:tx>
          <c:spPr>
            <a:noFill/>
            <a:ln>
              <a:noFill/>
            </a:ln>
          </c:spPr>
          <c:invertIfNegative val="0"/>
          <c:dLbls>
            <c:dLblPos val="ctr"/>
            <c:showLegendKey val="0"/>
            <c:showVal val="0"/>
            <c:showCatName val="0"/>
            <c:showSerName val="0"/>
            <c:showPercent val="0"/>
            <c:showLeaderLines val="0"/>
          </c:dLbls>
          <c:xVal>
            <c:numRef>
              <c:f>P_Ocurrencias!$M$21:$M$21</c:f>
              <c:numCache>
                <c:formatCode>General</c:formatCode>
                <c:ptCount val="1"/>
                <c:pt idx="0">
                  <c:v>0</c:v>
                </c:pt>
              </c:numCache>
            </c:numRef>
          </c:xVal>
          <c:yVal>
            <c:numRef>
              <c:f>P_Ocurrencias!$N$21:$N$21</c:f>
              <c:numCache>
                <c:formatCode>General</c:formatCode>
                <c:ptCount val="1"/>
                <c:pt idx="0">
                  <c:v>0.2</c:v>
                </c:pt>
              </c:numCache>
            </c:numRef>
          </c:yVal>
          <c:bubbleSize>
            <c:numRef>
              <c:f>P_Ocurrencias!$P$21:$P$21</c:f>
              <c:numCache>
                <c:formatCode>General</c:formatCode>
                <c:ptCount val="1"/>
                <c:pt idx="0">
                  <c:v>9.5</c:v>
                </c:pt>
              </c:numCache>
            </c:numRef>
          </c:bubbleSize>
        </c:ser>
        <c:ser>
          <c:idx val="18"/>
          <c:order val="18"/>
          <c:tx>
            <c:strRef>
              <c:f>P_Ocurrencias!$L$22:$L$22</c:f>
              <c:strCache>
                <c:ptCount val="1"/>
                <c:pt idx="0">
                  <c:v>17 </c:v>
                </c:pt>
              </c:strCache>
            </c:strRef>
          </c:tx>
          <c:spPr>
            <a:noFill/>
            <a:ln>
              <a:noFill/>
            </a:ln>
          </c:spPr>
          <c:invertIfNegative val="0"/>
          <c:dLbls>
            <c:dLblPos val="ctr"/>
            <c:showLegendKey val="0"/>
            <c:showVal val="0"/>
            <c:showCatName val="0"/>
            <c:showSerName val="0"/>
            <c:showPercent val="0"/>
            <c:showLeaderLines val="0"/>
          </c:dLbls>
          <c:xVal>
            <c:numRef>
              <c:f>P_Ocurrencias!$M$22:$M$22</c:f>
              <c:numCache>
                <c:formatCode>General</c:formatCode>
                <c:ptCount val="1"/>
                <c:pt idx="0">
                  <c:v>0</c:v>
                </c:pt>
              </c:numCache>
            </c:numRef>
          </c:xVal>
          <c:yVal>
            <c:numRef>
              <c:f>P_Ocurrencias!$N$22:$N$22</c:f>
              <c:numCache>
                <c:formatCode>General</c:formatCode>
                <c:ptCount val="1"/>
                <c:pt idx="0">
                  <c:v>0.2</c:v>
                </c:pt>
              </c:numCache>
            </c:numRef>
          </c:yVal>
          <c:bubbleSize>
            <c:numRef>
              <c:f>P_Ocurrencias!$P$22:$P$22</c:f>
              <c:numCache>
                <c:formatCode>General</c:formatCode>
                <c:ptCount val="1"/>
                <c:pt idx="0">
                  <c:v>9.5</c:v>
                </c:pt>
              </c:numCache>
            </c:numRef>
          </c:bubbleSize>
        </c:ser>
        <c:ser>
          <c:idx val="19"/>
          <c:order val="19"/>
          <c:tx>
            <c:strRef>
              <c:f>P_Ocurrencias!$L$23:$L$23</c:f>
              <c:strCache>
                <c:ptCount val="1"/>
                <c:pt idx="0">
                  <c:v>18 </c:v>
                </c:pt>
              </c:strCache>
            </c:strRef>
          </c:tx>
          <c:spPr>
            <a:noFill/>
            <a:ln>
              <a:noFill/>
            </a:ln>
          </c:spPr>
          <c:invertIfNegative val="0"/>
          <c:dLbls>
            <c:dLblPos val="ctr"/>
            <c:showLegendKey val="0"/>
            <c:showVal val="0"/>
            <c:showCatName val="0"/>
            <c:showSerName val="0"/>
            <c:showPercent val="0"/>
            <c:showLeaderLines val="0"/>
          </c:dLbls>
          <c:xVal>
            <c:numRef>
              <c:f>P_Ocurrencias!$M$23:$M$23</c:f>
              <c:numCache>
                <c:formatCode>General</c:formatCode>
                <c:ptCount val="1"/>
                <c:pt idx="0">
                  <c:v>0</c:v>
                </c:pt>
              </c:numCache>
            </c:numRef>
          </c:xVal>
          <c:yVal>
            <c:numRef>
              <c:f>P_Ocurrencias!$N$23:$N$23</c:f>
              <c:numCache>
                <c:formatCode>General</c:formatCode>
                <c:ptCount val="1"/>
                <c:pt idx="0">
                  <c:v>0.2</c:v>
                </c:pt>
              </c:numCache>
            </c:numRef>
          </c:yVal>
          <c:bubbleSize>
            <c:numRef>
              <c:f>P_Ocurrencias!$P$23:$P$23</c:f>
              <c:numCache>
                <c:formatCode>General</c:formatCode>
                <c:ptCount val="1"/>
                <c:pt idx="0">
                  <c:v>9.5</c:v>
                </c:pt>
              </c:numCache>
            </c:numRef>
          </c:bubbleSize>
        </c:ser>
        <c:ser>
          <c:idx val="20"/>
          <c:order val="20"/>
          <c:tx>
            <c:strRef>
              <c:f>P_Ocurrencias!$L$24:$L$24</c:f>
              <c:strCache>
                <c:ptCount val="1"/>
                <c:pt idx="0">
                  <c:v>19 </c:v>
                </c:pt>
              </c:strCache>
            </c:strRef>
          </c:tx>
          <c:spPr>
            <a:noFill/>
            <a:ln>
              <a:noFill/>
            </a:ln>
          </c:spPr>
          <c:invertIfNegative val="0"/>
          <c:dLbls>
            <c:dLblPos val="ctr"/>
            <c:showLegendKey val="0"/>
            <c:showVal val="0"/>
            <c:showCatName val="0"/>
            <c:showSerName val="0"/>
            <c:showPercent val="0"/>
            <c:showLeaderLines val="0"/>
          </c:dLbls>
          <c:xVal>
            <c:numRef>
              <c:f>P_Ocurrencias!$M$24:$M$24</c:f>
              <c:numCache>
                <c:formatCode>General</c:formatCode>
                <c:ptCount val="1"/>
                <c:pt idx="0">
                  <c:v>0</c:v>
                </c:pt>
              </c:numCache>
            </c:numRef>
          </c:xVal>
          <c:yVal>
            <c:numRef>
              <c:f>P_Ocurrencias!$N$24:$N$24</c:f>
              <c:numCache>
                <c:formatCode>General</c:formatCode>
                <c:ptCount val="1"/>
                <c:pt idx="0">
                  <c:v>0.2</c:v>
                </c:pt>
              </c:numCache>
            </c:numRef>
          </c:yVal>
          <c:bubbleSize>
            <c:numRef>
              <c:f>P_Ocurrencias!$P$24:$P$24</c:f>
              <c:numCache>
                <c:formatCode>General</c:formatCode>
                <c:ptCount val="1"/>
                <c:pt idx="0">
                  <c:v>9.5</c:v>
                </c:pt>
              </c:numCache>
            </c:numRef>
          </c:bubbleSize>
        </c:ser>
        <c:bubble3D val="0"/>
        <c:axId val="45341803"/>
        <c:axId val="46874987"/>
      </c:bubbleChart>
      <c:valAx>
        <c:axId val="45341803"/>
        <c:scaling>
          <c:orientation val="minMax"/>
        </c:scaling>
        <c:delete val="0"/>
        <c:axPos val="b"/>
        <c:majorGridlines>
          <c:spPr>
            <a:ln>
              <a:solidFill>
                <a:srgbClr val="ffffff"/>
              </a:solidFill>
            </a:ln>
          </c:spPr>
        </c:majorGridlines>
        <c:minorGridlines>
          <c:spPr>
            <a:ln>
              <a:solidFill>
                <a:srgbClr val="cccccc"/>
              </a:solidFill>
            </a:ln>
          </c:spPr>
        </c:minorGridlines>
        <c:numFmt formatCode="General" sourceLinked="0"/>
        <c:majorTickMark val="cross"/>
        <c:minorTickMark val="cross"/>
        <c:tickLblPos val="nextTo"/>
        <c:spPr>
          <a:ln w="47520">
            <a:noFill/>
          </a:ln>
        </c:spPr>
        <c:txPr>
          <a:bodyPr/>
          <a:p>
            <a:pPr>
              <a:defRPr b="1" sz="100" spc="-1" strike="noStrike">
                <a:solidFill>
                  <a:srgbClr val="222222"/>
                </a:solidFill>
                <a:latin typeface="Arial"/>
              </a:defRPr>
            </a:pPr>
          </a:p>
        </c:txPr>
        <c:crossAx val="46874987"/>
        <c:crosses val="autoZero"/>
      </c:valAx>
      <c:valAx>
        <c:axId val="46874987"/>
        <c:scaling>
          <c:orientation val="minMax"/>
        </c:scaling>
        <c:delete val="0"/>
        <c:axPos val="l"/>
        <c:majorGridlines>
          <c:spPr>
            <a:ln>
              <a:solidFill>
                <a:srgbClr val="ffffff"/>
              </a:solidFill>
            </a:ln>
          </c:spPr>
        </c:majorGridlines>
        <c:numFmt formatCode="General" sourceLinked="0"/>
        <c:majorTickMark val="cross"/>
        <c:minorTickMark val="cross"/>
        <c:tickLblPos val="nextTo"/>
        <c:spPr>
          <a:ln w="47520">
            <a:noFill/>
          </a:ln>
        </c:spPr>
        <c:txPr>
          <a:bodyPr/>
          <a:p>
            <a:pPr>
              <a:defRPr b="1" sz="100" spc="-1" strike="noStrike">
                <a:solidFill>
                  <a:srgbClr val="222222"/>
                </a:solidFill>
                <a:latin typeface="Arial"/>
              </a:defRPr>
            </a:pPr>
          </a:p>
        </c:txPr>
        <c:crossAx val="45341803"/>
        <c:crosses val="autoZero"/>
      </c:valAx>
      <c:spPr>
        <a:solidFill>
          <a:srgbClr val="ffffff"/>
        </a:solidFill>
        <a:ln>
          <a:noFill/>
        </a:ln>
      </c:spPr>
    </c:plotArea>
    <c:legend>
      <c:legendPos val="r"/>
      <c:overlay val="0"/>
      <c:spPr>
        <a:noFill/>
        <a:ln>
          <a:noFill/>
        </a:ln>
      </c:spPr>
    </c:legend>
    <c:plotVisOnly val="1"/>
    <c:dispBlanksAs val="zero"/>
  </c:chart>
  <c:spPr>
    <a:no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view3D>
      <c:rotX val="50"/>
      <c:rotY val="0"/>
      <c:rAngAx val="0"/>
      <c:perspective val="0"/>
    </c:view3D>
    <c:floor>
      <c:spPr>
        <a:solidFill>
          <a:srgbClr val="d9d9d9"/>
        </a:solidFill>
        <a:ln>
          <a:noFill/>
        </a:ln>
      </c:spPr>
    </c:floor>
    <c:backWall>
      <c:spPr>
        <a:solidFill>
          <a:srgbClr val="d9d9d9"/>
        </a:solidFill>
        <a:ln>
          <a:noFill/>
        </a:ln>
      </c:spPr>
    </c:backWall>
    <c:plotArea>
      <c:pie3DChart>
        <c:varyColors val="1"/>
        <c:ser>
          <c:idx val="0"/>
          <c:order val="0"/>
          <c:spPr>
            <a:noFill/>
            <a:ln>
              <a:noFill/>
            </a:ln>
          </c:spPr>
          <c:explosion val="0"/>
          <c:dPt>
            <c:idx val="0"/>
            <c:spPr>
              <a:solidFill>
                <a:srgbClr val="dc3912"/>
              </a:solidFill>
              <a:ln>
                <a:noFill/>
              </a:ln>
            </c:spPr>
          </c:dPt>
          <c:dPt>
            <c:idx val="1"/>
            <c:spPr>
              <a:solidFill>
                <a:srgbClr val="ff0000"/>
              </a:solidFill>
              <a:ln>
                <a:noFill/>
              </a:ln>
            </c:spPr>
          </c:dPt>
          <c:dPt>
            <c:idx val="2"/>
            <c:spPr>
              <a:solidFill>
                <a:srgbClr val="ff9900"/>
              </a:solidFill>
              <a:ln>
                <a:noFill/>
              </a:ln>
            </c:spPr>
          </c:dPt>
          <c:dPt>
            <c:idx val="3"/>
            <c:spPr>
              <a:solidFill>
                <a:srgbClr val="ffff00"/>
              </a:solidFill>
              <a:ln>
                <a:noFill/>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showLeaderLines val="0"/>
          </c:dLbls>
          <c:cat>
            <c:strRef>
              <c:f>P_General!$A$1:$A$4</c:f>
              <c:strCache>
                <c:ptCount val="4"/>
                <c:pt idx="0">
                  <c:v>Situaciones</c:v>
                </c:pt>
                <c:pt idx="1">
                  <c:v>Altas</c:v>
                </c:pt>
                <c:pt idx="2">
                  <c:v>Medias</c:v>
                </c:pt>
                <c:pt idx="3">
                  <c:v>Bajas</c:v>
                </c:pt>
              </c:strCache>
            </c:strRef>
          </c:cat>
          <c:val>
            <c:numRef>
              <c:f>P_General!$B$1:$B$4</c:f>
              <c:numCache>
                <c:formatCode>General</c:formatCode>
                <c:ptCount val="4"/>
                <c:pt idx="0">
                  <c:v/>
                </c:pt>
                <c:pt idx="1">
                  <c:v/>
                </c:pt>
                <c:pt idx="2">
                  <c:v/>
                </c:pt>
                <c:pt idx="3">
                  <c:v/>
                </c:pt>
              </c:numCache>
            </c:numRef>
          </c:val>
        </c:ser>
      </c:pie3DChart>
      <c:spPr>
        <a:solidFill>
          <a:srgbClr val="d9d9d9"/>
        </a:solidFill>
        <a:ln>
          <a:noFill/>
        </a:ln>
      </c:spPr>
    </c:plotArea>
    <c:legend>
      <c:legendPos val="r"/>
      <c:overlay val="0"/>
      <c:spPr>
        <a:noFill/>
        <a:ln>
          <a:noFill/>
        </a:ln>
      </c:spPr>
    </c:legend>
    <c:plotVisOnly val="1"/>
    <c:dispBlanksAs val="zero"/>
  </c:chart>
  <c:spPr>
    <a:no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C_Activos!$F$24:$F$24</c:f>
              <c:strCache>
                <c:ptCount val="1"/>
                <c:pt idx="0">
                  <c:v>Rojo</c:v>
                </c:pt>
              </c:strCache>
            </c:strRef>
          </c:tx>
          <c:spPr>
            <a:solidFill>
              <a:srgbClr val="ff00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C_Activos!$F$25:$F$43</c:f>
              <c:numCache>
                <c:formatCode>General</c:formatCode>
                <c:ptCount val="19"/>
                <c:pt idx="0">
                  <c:v/>
                </c:pt>
                <c:pt idx="1">
                  <c:v>10</c:v>
                </c:pt>
                <c:pt idx="2">
                  <c:v>10</c:v>
                </c:pt>
                <c:pt idx="3">
                  <c:v>10</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strRef>
              <c:f>C_Activos!$G$24:$G$24</c:f>
              <c:strCache>
                <c:ptCount val="1"/>
                <c:pt idx="0">
                  <c:v>Naranja</c:v>
                </c:pt>
              </c:strCache>
            </c:strRef>
          </c:tx>
          <c:spPr>
            <a:solidFill>
              <a:srgbClr val="ff99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C_Activos!$G$25:$G$43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tx>
            <c:strRef>
              <c:f>C_Activos!$H$24:$H$24</c:f>
              <c:strCache>
                <c:ptCount val="1"/>
                <c:pt idx="0">
                  <c:v>Amarillo</c:v>
                </c:pt>
              </c:strCache>
            </c:strRef>
          </c:tx>
          <c:spPr>
            <a:solidFill>
              <a:srgbClr val="ffff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C_Activos!$H$25:$H$43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gapWidth val="150"/>
        <c:overlap val="100"/>
        <c:axId val="7527649"/>
        <c:axId val="23985187"/>
      </c:barChart>
      <c:catAx>
        <c:axId val="7527649"/>
        <c:scaling>
          <c:orientation val="minMax"/>
        </c:scaling>
        <c:delete val="0"/>
        <c:axPos val="b"/>
        <c:title>
          <c:tx>
            <c:rich>
              <a:bodyPr rot="0"/>
              <a:lstStyle/>
              <a:p>
                <a:pPr>
                  <a:defRPr b="1" sz="1000" spc="-1" strike="noStrike">
                    <a:latin typeface="Arial"/>
                  </a:defRPr>
                </a:pPr>
                <a:r>
                  <a:rPr b="1" sz="1000" spc="-1" strike="noStrike">
                    <a:latin typeface="Arial"/>
                  </a:rPr>
                  <a:t>Activos de información</a:t>
                </a:r>
              </a:p>
            </c:rich>
          </c:tx>
          <c:overlay val="0"/>
        </c:title>
        <c:numFmt formatCode="General" sourceLinked="1"/>
        <c:majorTickMark val="cross"/>
        <c:minorTickMark val="cross"/>
        <c:tickLblPos val="nextTo"/>
        <c:spPr>
          <a:ln>
            <a:noFill/>
          </a:ln>
        </c:spPr>
        <c:txPr>
          <a:bodyPr/>
          <a:p>
            <a:pPr>
              <a:defRPr b="1" sz="1000" spc="-1" strike="noStrike">
                <a:solidFill>
                  <a:srgbClr val="222222"/>
                </a:solidFill>
                <a:latin typeface="Arial"/>
              </a:defRPr>
            </a:pPr>
          </a:p>
        </c:txPr>
        <c:crossAx val="23985187"/>
        <c:crosses val="autoZero"/>
        <c:auto val="1"/>
        <c:lblAlgn val="ctr"/>
        <c:lblOffset val="100"/>
      </c:catAx>
      <c:valAx>
        <c:axId val="23985187"/>
        <c:scaling>
          <c:orientation val="minMax"/>
        </c:scaling>
        <c:delete val="0"/>
        <c:axPos val="l"/>
        <c:majorGridlines>
          <c:spPr>
            <a:ln>
              <a:solidFill>
                <a:srgbClr val="b7b7b7"/>
              </a:solidFill>
            </a:ln>
          </c:spPr>
        </c:majorGridlines>
        <c:title>
          <c:tx>
            <c:rich>
              <a:bodyPr rot="-5400000"/>
              <a:lstStyle/>
              <a:p>
                <a:pPr>
                  <a:defRPr b="1" sz="1000" spc="-1" strike="noStrike">
                    <a:latin typeface="Arial"/>
                  </a:defRPr>
                </a:pPr>
                <a:r>
                  <a:rPr b="1" sz="1000" spc="-1" strike="noStrike">
                    <a:latin typeface="Arial"/>
                  </a:rPr>
                  <a:t>Criticidad</a:t>
                </a:r>
              </a:p>
            </c:rich>
          </c:tx>
          <c:overlay val="0"/>
        </c:title>
        <c:numFmt formatCode="General" sourceLinked="0"/>
        <c:majorTickMark val="cross"/>
        <c:minorTickMark val="cross"/>
        <c:tickLblPos val="nextTo"/>
        <c:spPr>
          <a:ln w="47520">
            <a:noFill/>
          </a:ln>
        </c:spPr>
        <c:txPr>
          <a:bodyPr/>
          <a:p>
            <a:pPr>
              <a:defRPr b="1" sz="1000" spc="-1" strike="noStrike">
                <a:latin typeface="Arial"/>
              </a:defRPr>
            </a:pPr>
          </a:p>
        </c:txPr>
        <c:crossAx val="7527649"/>
        <c:crosses val="autoZero"/>
      </c:valAx>
      <c:spPr>
        <a:solidFill>
          <a:srgbClr val="ffffff"/>
        </a:solidFill>
        <a:ln>
          <a:noFill/>
        </a:ln>
      </c:spPr>
    </c:plotArea>
    <c:plotVisOnly val="1"/>
    <c:dispBlanksAs val="zero"/>
  </c:chart>
  <c:spPr>
    <a:solidFill>
      <a:srgbClr val="f3f3f3"/>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133920</xdr:colOff>
      <xdr:row>35</xdr:row>
      <xdr:rowOff>153360</xdr:rowOff>
    </xdr:from>
    <xdr:to>
      <xdr:col>14</xdr:col>
      <xdr:colOff>359280</xdr:colOff>
      <xdr:row>64</xdr:row>
      <xdr:rowOff>83160</xdr:rowOff>
    </xdr:to>
    <xdr:graphicFrame>
      <xdr:nvGraphicFramePr>
        <xdr:cNvPr id="0" name="Chart 1"/>
        <xdr:cNvGraphicFramePr/>
      </xdr:nvGraphicFramePr>
      <xdr:xfrm>
        <a:off x="2868840" y="7153920"/>
        <a:ext cx="11415240" cy="573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1000080</xdr:colOff>
      <xdr:row>2</xdr:row>
      <xdr:rowOff>104760</xdr:rowOff>
    </xdr:from>
    <xdr:to>
      <xdr:col>5</xdr:col>
      <xdr:colOff>4026600</xdr:colOff>
      <xdr:row>22</xdr:row>
      <xdr:rowOff>112320</xdr:rowOff>
    </xdr:to>
    <xdr:graphicFrame>
      <xdr:nvGraphicFramePr>
        <xdr:cNvPr id="1" name="Chart 2"/>
        <xdr:cNvGraphicFramePr/>
      </xdr:nvGraphicFramePr>
      <xdr:xfrm>
        <a:off x="3085920" y="504720"/>
        <a:ext cx="6455520" cy="400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428760</xdr:colOff>
      <xdr:row>18</xdr:row>
      <xdr:rowOff>57240</xdr:rowOff>
    </xdr:from>
    <xdr:to>
      <xdr:col>25</xdr:col>
      <xdr:colOff>588240</xdr:colOff>
      <xdr:row>38</xdr:row>
      <xdr:rowOff>150480</xdr:rowOff>
    </xdr:to>
    <xdr:graphicFrame>
      <xdr:nvGraphicFramePr>
        <xdr:cNvPr id="2" name="Chart 3"/>
        <xdr:cNvGraphicFramePr/>
      </xdr:nvGraphicFramePr>
      <xdr:xfrm>
        <a:off x="9218880" y="3657600"/>
        <a:ext cx="11572200" cy="409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tabColor rgb="FF0000FF"/>
    <pageSetUpPr fitToPage="false"/>
  </sheetPr>
  <dimension ref="A1:K3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8"/>
    <col collapsed="false" customWidth="true" hidden="false" outlineLevel="0" max="2" min="2" style="0" width="92.47"/>
    <col collapsed="false" customWidth="true" hidden="false" outlineLevel="0" max="3" min="3" style="0" width="19.17"/>
    <col collapsed="false" customWidth="true" hidden="false" outlineLevel="0" max="4" min="4" style="0" width="23.62"/>
    <col collapsed="false" customWidth="true" hidden="false" outlineLevel="0" max="5" min="5" style="0" width="20.11"/>
    <col collapsed="false" customWidth="true" hidden="false" outlineLevel="0" max="6" min="6" style="0" width="13.36"/>
    <col collapsed="false" customWidth="true" hidden="false" outlineLevel="0" max="7" min="7" style="0" width="16.87"/>
    <col collapsed="false" customWidth="true" hidden="false" outlineLevel="0" max="8" min="8" style="0" width="9.32"/>
    <col collapsed="false" customWidth="true" hidden="false" outlineLevel="0" max="9" min="9" style="0" width="13.09"/>
    <col collapsed="false" customWidth="true" hidden="false" outlineLevel="0" max="10" min="10" style="0" width="32.53"/>
    <col collapsed="false" customWidth="true" hidden="true" outlineLevel="0" max="11" min="11" style="0" width="16.2"/>
    <col collapsed="false" customWidth="true" hidden="false" outlineLevel="0" max="26" min="12" style="0" width="16.2"/>
    <col collapsed="false" customWidth="true" hidden="false" outlineLevel="0" max="1025" min="27" style="0" width="19.44"/>
  </cols>
  <sheetData>
    <row r="1" customFormat="false" ht="15.75" hidden="false" customHeight="true" outlineLevel="0" collapsed="false">
      <c r="A1" s="1" t="s">
        <v>0</v>
      </c>
      <c r="B1" s="1"/>
      <c r="C1" s="1"/>
      <c r="D1" s="1"/>
      <c r="E1" s="1"/>
      <c r="F1" s="1"/>
      <c r="G1" s="1"/>
      <c r="H1" s="2"/>
      <c r="I1" s="2"/>
      <c r="J1" s="2"/>
      <c r="K1" s="3"/>
    </row>
    <row r="2" customFormat="false" ht="15.75" hidden="false" customHeight="true" outlineLevel="0" collapsed="false">
      <c r="A2" s="4" t="s">
        <v>1</v>
      </c>
      <c r="B2" s="5" t="s">
        <v>2</v>
      </c>
      <c r="C2" s="5" t="s">
        <v>3</v>
      </c>
      <c r="D2" s="5" t="s">
        <v>4</v>
      </c>
      <c r="E2" s="5" t="s">
        <v>5</v>
      </c>
      <c r="F2" s="5" t="s">
        <v>6</v>
      </c>
      <c r="G2" s="6" t="s">
        <v>7</v>
      </c>
      <c r="H2" s="6" t="s">
        <v>8</v>
      </c>
      <c r="I2" s="6" t="s">
        <v>9</v>
      </c>
      <c r="J2" s="6" t="s">
        <v>10</v>
      </c>
      <c r="K2" s="2"/>
    </row>
    <row r="3" customFormat="false" ht="15.75" hidden="false" customHeight="true" outlineLevel="0" collapsed="false">
      <c r="A3" s="7" t="s">
        <v>11</v>
      </c>
      <c r="B3" s="8" t="s">
        <v>12</v>
      </c>
      <c r="C3" s="9" t="s">
        <v>13</v>
      </c>
      <c r="D3" s="9" t="s">
        <v>14</v>
      </c>
      <c r="E3" s="9" t="s">
        <v>15</v>
      </c>
      <c r="F3" s="9" t="s">
        <v>16</v>
      </c>
      <c r="G3" s="10" t="s">
        <v>17</v>
      </c>
      <c r="H3" s="10" t="s">
        <v>17</v>
      </c>
      <c r="I3" s="10" t="s">
        <v>17</v>
      </c>
      <c r="J3" s="11" t="str">
        <f aca="false">IF(IFERROR(K3,7)=7,"",RIGHT(K3,LEN(K3)-2)&amp;".")</f>
        <v>/A.</v>
      </c>
      <c r="K3" s="10" t="str">
        <f aca="false">IFERROR(__xludf.dummyfunction("CONCATENATE(ArrayFormula(""; ""&amp;QUERY(Hallazgos!A:F,""SELECT B WHERE E CONTAINS '""&amp;B3&amp;""' LABEL B ''"")))"),"#N/A")</f>
        <v>#N/A</v>
      </c>
    </row>
    <row r="4" customFormat="false" ht="15.75" hidden="false" customHeight="true" outlineLevel="0" collapsed="false">
      <c r="A4" s="7" t="s">
        <v>18</v>
      </c>
      <c r="B4" s="8" t="s">
        <v>19</v>
      </c>
      <c r="C4" s="9" t="s">
        <v>13</v>
      </c>
      <c r="D4" s="9" t="s">
        <v>14</v>
      </c>
      <c r="E4" s="9" t="s">
        <v>15</v>
      </c>
      <c r="F4" s="9" t="s">
        <v>16</v>
      </c>
      <c r="G4" s="10" t="s">
        <v>17</v>
      </c>
      <c r="H4" s="10" t="s">
        <v>17</v>
      </c>
      <c r="I4" s="10" t="s">
        <v>17</v>
      </c>
      <c r="J4" s="11" t="str">
        <f aca="false">IF(IFERROR(K4,7)=7,"",RIGHT(K4,LEN(K4)-2)&amp;".")</f>
        <v>/A.</v>
      </c>
      <c r="K4" s="10" t="str">
        <f aca="false">IFERROR(__xludf.dummyfunction("CONCATENATE(ArrayFormula(""; ""&amp;QUERY(Hallazgos!A:F,""SELECT B WHERE E CONTAINS '""&amp;B4&amp;""' LABEL B ''"")))"),"#N/A")</f>
        <v>#N/A</v>
      </c>
    </row>
    <row r="5" customFormat="false" ht="15.75" hidden="false" customHeight="true" outlineLevel="0" collapsed="false">
      <c r="A5" s="7" t="s">
        <v>20</v>
      </c>
      <c r="B5" s="8" t="s">
        <v>21</v>
      </c>
      <c r="C5" s="9" t="s">
        <v>13</v>
      </c>
      <c r="D5" s="9" t="s">
        <v>14</v>
      </c>
      <c r="E5" s="9" t="s">
        <v>15</v>
      </c>
      <c r="F5" s="9" t="s">
        <v>16</v>
      </c>
      <c r="G5" s="10" t="s">
        <v>17</v>
      </c>
      <c r="H5" s="10" t="s">
        <v>17</v>
      </c>
      <c r="I5" s="10" t="s">
        <v>17</v>
      </c>
      <c r="J5" s="11" t="str">
        <f aca="false">IF(IFERROR(K5,7)=7,"",RIGHT(K5,LEN(K5)-2)&amp;".")</f>
        <v>/A.</v>
      </c>
      <c r="K5" s="10" t="str">
        <f aca="false">IFERROR(__xludf.dummyfunction("CONCATENATE(ArrayFormula(""; ""&amp;QUERY(Hallazgos!A:F,""SELECT B WHERE E CONTAINS '""&amp;B5&amp;""' LABEL B ''"")))"),"#N/A")</f>
        <v>#N/A</v>
      </c>
    </row>
    <row r="6" customFormat="false" ht="15.75" hidden="false" customHeight="true" outlineLevel="0" collapsed="false">
      <c r="A6" s="7" t="s">
        <v>22</v>
      </c>
      <c r="B6" s="8" t="s">
        <v>23</v>
      </c>
      <c r="C6" s="9" t="s">
        <v>13</v>
      </c>
      <c r="D6" s="9" t="s">
        <v>14</v>
      </c>
      <c r="E6" s="9" t="s">
        <v>15</v>
      </c>
      <c r="F6" s="9" t="s">
        <v>16</v>
      </c>
      <c r="G6" s="10" t="s">
        <v>17</v>
      </c>
      <c r="H6" s="10" t="s">
        <v>17</v>
      </c>
      <c r="I6" s="10" t="s">
        <v>17</v>
      </c>
      <c r="J6" s="11" t="str">
        <f aca="false">IF(IFERROR(K6,7)=7,"",RIGHT(K6,LEN(K6)-2)&amp;".")</f>
        <v>/A.</v>
      </c>
      <c r="K6" s="10" t="str">
        <f aca="false">IFERROR(__xludf.dummyfunction("CONCATENATE(ArrayFormula(""; ""&amp;QUERY(Hallazgos!A:F,""SELECT B WHERE E CONTAINS '""&amp;B6&amp;""' LABEL B ''"")))"),"#N/A")</f>
        <v>#N/A</v>
      </c>
    </row>
    <row r="7" customFormat="false" ht="15.75" hidden="false" customHeight="true" outlineLevel="0" collapsed="false">
      <c r="A7" s="7" t="s">
        <v>24</v>
      </c>
      <c r="B7" s="8" t="s">
        <v>25</v>
      </c>
      <c r="C7" s="9" t="s">
        <v>13</v>
      </c>
      <c r="D7" s="9" t="s">
        <v>14</v>
      </c>
      <c r="E7" s="9" t="s">
        <v>15</v>
      </c>
      <c r="F7" s="9" t="s">
        <v>16</v>
      </c>
      <c r="G7" s="10" t="s">
        <v>17</v>
      </c>
      <c r="H7" s="10" t="s">
        <v>17</v>
      </c>
      <c r="I7" s="10" t="s">
        <v>17</v>
      </c>
      <c r="J7" s="11" t="str">
        <f aca="false">IF(IFERROR(K7,7)=7,"",RIGHT(K7,LEN(K7)-2)&amp;".")</f>
        <v>/A.</v>
      </c>
      <c r="K7" s="10" t="str">
        <f aca="false">IFERROR(__xludf.dummyfunction("CONCATENATE(ArrayFormula(""; ""&amp;QUERY(Hallazgos!A:F,""SELECT B WHERE E CONTAINS '""&amp;B7&amp;""' LABEL B ''"")))"),"#N/A")</f>
        <v>#N/A</v>
      </c>
    </row>
    <row r="8" customFormat="false" ht="15.75" hidden="false" customHeight="true" outlineLevel="0" collapsed="false">
      <c r="A8" s="7" t="s">
        <v>26</v>
      </c>
      <c r="B8" s="8" t="s">
        <v>27</v>
      </c>
      <c r="C8" s="9" t="s">
        <v>13</v>
      </c>
      <c r="D8" s="9" t="s">
        <v>14</v>
      </c>
      <c r="E8" s="9" t="s">
        <v>15</v>
      </c>
      <c r="F8" s="9" t="s">
        <v>16</v>
      </c>
      <c r="G8" s="10" t="s">
        <v>17</v>
      </c>
      <c r="H8" s="10" t="s">
        <v>17</v>
      </c>
      <c r="I8" s="10" t="s">
        <v>17</v>
      </c>
      <c r="J8" s="11" t="str">
        <f aca="false">IF(IFERROR(K8,7)=7,"",RIGHT(K8,LEN(K8)-2)&amp;".")</f>
        <v>/A.</v>
      </c>
      <c r="K8" s="10" t="str">
        <f aca="false">IFERROR(__xludf.dummyfunction("CONCATENATE(ArrayFormula(""; ""&amp;QUERY(Hallazgos!A:F,""SELECT B WHERE E CONTAINS '""&amp;B8&amp;""' LABEL B ''"")))"),"#N/A")</f>
        <v>#N/A</v>
      </c>
    </row>
    <row r="9" customFormat="false" ht="15.75" hidden="false" customHeight="true" outlineLevel="0" collapsed="false">
      <c r="A9" s="7" t="s">
        <v>28</v>
      </c>
      <c r="B9" s="8" t="s">
        <v>29</v>
      </c>
      <c r="C9" s="9" t="s">
        <v>13</v>
      </c>
      <c r="D9" s="9" t="s">
        <v>14</v>
      </c>
      <c r="E9" s="9" t="s">
        <v>15</v>
      </c>
      <c r="F9" s="9" t="s">
        <v>16</v>
      </c>
      <c r="G9" s="10" t="s">
        <v>17</v>
      </c>
      <c r="H9" s="10" t="s">
        <v>17</v>
      </c>
      <c r="I9" s="10" t="s">
        <v>17</v>
      </c>
      <c r="J9" s="11" t="str">
        <f aca="false">IF(IFERROR(K9,7)=7,"",RIGHT(K9,LEN(K9)-2)&amp;".")</f>
        <v>/A.</v>
      </c>
      <c r="K9" s="10" t="str">
        <f aca="false">IFERROR(__xludf.dummyfunction("CONCATENATE(ArrayFormula(""; ""&amp;QUERY(Hallazgos!A:F,""SELECT B WHERE E CONTAINS '""&amp;B9&amp;""' LABEL B ''"")))"),"#N/A")</f>
        <v>#N/A</v>
      </c>
    </row>
    <row r="10" customFormat="false" ht="15.75" hidden="false" customHeight="true" outlineLevel="0" collapsed="false">
      <c r="A10" s="7" t="s">
        <v>30</v>
      </c>
      <c r="B10" s="8" t="s">
        <v>31</v>
      </c>
      <c r="C10" s="9" t="s">
        <v>13</v>
      </c>
      <c r="D10" s="9" t="s">
        <v>14</v>
      </c>
      <c r="E10" s="9" t="s">
        <v>15</v>
      </c>
      <c r="F10" s="9" t="s">
        <v>16</v>
      </c>
      <c r="G10" s="10" t="s">
        <v>17</v>
      </c>
      <c r="H10" s="10" t="s">
        <v>17</v>
      </c>
      <c r="I10" s="10" t="s">
        <v>17</v>
      </c>
      <c r="J10" s="11" t="str">
        <f aca="false">IF(IFERROR(K10,7)=7,"",RIGHT(K10,LEN(K10)-2)&amp;".")</f>
        <v>/A.</v>
      </c>
      <c r="K10" s="10" t="str">
        <f aca="false">IFERROR(__xludf.dummyfunction("CONCATENATE(ArrayFormula(""; ""&amp;QUERY(Hallazgos!A:F,""SELECT B WHERE E CONTAINS '""&amp;B10&amp;""' LABEL B ''"")))"),"#N/A")</f>
        <v>#N/A</v>
      </c>
    </row>
    <row r="11" customFormat="false" ht="15.75" hidden="false" customHeight="true" outlineLevel="0" collapsed="false">
      <c r="A11" s="7" t="s">
        <v>32</v>
      </c>
      <c r="B11" s="8" t="s">
        <v>33</v>
      </c>
      <c r="C11" s="9" t="s">
        <v>13</v>
      </c>
      <c r="D11" s="9" t="s">
        <v>14</v>
      </c>
      <c r="E11" s="9" t="s">
        <v>15</v>
      </c>
      <c r="F11" s="9" t="s">
        <v>16</v>
      </c>
      <c r="G11" s="10" t="s">
        <v>17</v>
      </c>
      <c r="H11" s="10" t="s">
        <v>17</v>
      </c>
      <c r="I11" s="10" t="s">
        <v>17</v>
      </c>
      <c r="J11" s="11" t="str">
        <f aca="false">IF(IFERROR(K11,7)=7,"",RIGHT(K11,LEN(K11)-2)&amp;".")</f>
        <v>/A.</v>
      </c>
      <c r="K11" s="10" t="str">
        <f aca="false">IFERROR(__xludf.dummyfunction("CONCATENATE(ArrayFormula(""; ""&amp;QUERY(Hallazgos!A:F,""SELECT B WHERE E CONTAINS '""&amp;B11&amp;""' LABEL B ''"")))"),"#N/A")</f>
        <v>#N/A</v>
      </c>
    </row>
    <row r="12" customFormat="false" ht="15.75" hidden="false" customHeight="true" outlineLevel="0" collapsed="false">
      <c r="A12" s="7" t="s">
        <v>34</v>
      </c>
      <c r="B12" s="8" t="s">
        <v>35</v>
      </c>
      <c r="C12" s="9" t="s">
        <v>13</v>
      </c>
      <c r="D12" s="9" t="s">
        <v>14</v>
      </c>
      <c r="E12" s="9" t="s">
        <v>15</v>
      </c>
      <c r="F12" s="9" t="s">
        <v>16</v>
      </c>
      <c r="G12" s="10" t="s">
        <v>17</v>
      </c>
      <c r="H12" s="10" t="s">
        <v>17</v>
      </c>
      <c r="I12" s="10" t="s">
        <v>17</v>
      </c>
      <c r="J12" s="11" t="str">
        <f aca="false">IF(IFERROR(K12,7)=7,"",RIGHT(K12,LEN(K12)-2)&amp;".")</f>
        <v>/A.</v>
      </c>
      <c r="K12" s="10" t="str">
        <f aca="false">IFERROR(__xludf.dummyfunction("CONCATENATE(ArrayFormula(""; ""&amp;QUERY(Hallazgos!A:F,""SELECT B WHERE E CONTAINS '""&amp;B12&amp;""' LABEL B ''"")))"),"#N/A")</f>
        <v>#N/A</v>
      </c>
    </row>
    <row r="13" customFormat="false" ht="15.75" hidden="false" customHeight="true" outlineLevel="0" collapsed="false">
      <c r="A13" s="7" t="s">
        <v>36</v>
      </c>
      <c r="B13" s="8" t="s">
        <v>37</v>
      </c>
      <c r="C13" s="9" t="s">
        <v>38</v>
      </c>
      <c r="D13" s="9" t="s">
        <v>14</v>
      </c>
      <c r="E13" s="9" t="s">
        <v>15</v>
      </c>
      <c r="F13" s="9" t="s">
        <v>16</v>
      </c>
      <c r="G13" s="10" t="s">
        <v>17</v>
      </c>
      <c r="H13" s="10" t="s">
        <v>17</v>
      </c>
      <c r="I13" s="10" t="s">
        <v>17</v>
      </c>
      <c r="J13" s="11" t="str">
        <f aca="false">IF(IFERROR(K13,7)=7,"",RIGHT(K13,LEN(K13)-2)&amp;".")</f>
        <v>/A.</v>
      </c>
      <c r="K13" s="10" t="str">
        <f aca="false">IFERROR(__xludf.dummyfunction("CONCATENATE(ArrayFormula(""; ""&amp;QUERY(Hallazgos!A:F,""SELECT B WHERE E CONTAINS '""&amp;B13&amp;""' LABEL B ''"")))"),"#N/A")</f>
        <v>#N/A</v>
      </c>
    </row>
    <row r="14" customFormat="false" ht="15.75" hidden="false" customHeight="true" outlineLevel="0" collapsed="false">
      <c r="A14" s="7" t="s">
        <v>39</v>
      </c>
      <c r="B14" s="8" t="s">
        <v>40</v>
      </c>
      <c r="C14" s="9" t="s">
        <v>41</v>
      </c>
      <c r="D14" s="9" t="s">
        <v>14</v>
      </c>
      <c r="E14" s="9" t="s">
        <v>15</v>
      </c>
      <c r="F14" s="9" t="s">
        <v>16</v>
      </c>
      <c r="G14" s="10" t="s">
        <v>17</v>
      </c>
      <c r="H14" s="10" t="s">
        <v>17</v>
      </c>
      <c r="I14" s="10" t="s">
        <v>17</v>
      </c>
      <c r="J14" s="11" t="str">
        <f aca="false">IF(IFERROR(K14,7)=7,"",RIGHT(K14,LEN(K14)-2)&amp;".")</f>
        <v>/A.</v>
      </c>
      <c r="K14" s="10" t="str">
        <f aca="false">IFERROR(__xludf.dummyfunction("CONCATENATE(ArrayFormula(""; ""&amp;QUERY(Hallazgos!A:F,""SELECT B WHERE E CONTAINS '""&amp;B14&amp;""' LABEL B ''"")))"),"#N/A")</f>
        <v>#N/A</v>
      </c>
    </row>
    <row r="15" customFormat="false" ht="15.75" hidden="false" customHeight="true" outlineLevel="0" collapsed="false">
      <c r="A15" s="7" t="s">
        <v>42</v>
      </c>
      <c r="B15" s="8" t="s">
        <v>43</v>
      </c>
      <c r="C15" s="9" t="s">
        <v>38</v>
      </c>
      <c r="D15" s="9" t="s">
        <v>14</v>
      </c>
      <c r="E15" s="9" t="s">
        <v>15</v>
      </c>
      <c r="F15" s="9" t="s">
        <v>44</v>
      </c>
      <c r="G15" s="10" t="s">
        <v>17</v>
      </c>
      <c r="H15" s="10" t="s">
        <v>17</v>
      </c>
      <c r="I15" s="10" t="s">
        <v>17</v>
      </c>
      <c r="J15" s="11" t="str">
        <f aca="false">IF(IFERROR(K15,7)=7,"",RIGHT(K15,LEN(K15)-2)&amp;".")</f>
        <v>/A.</v>
      </c>
      <c r="K15" s="10" t="str">
        <f aca="false">IFERROR(__xludf.dummyfunction("CONCATENATE(ArrayFormula(""; ""&amp;QUERY(Hallazgos!A:F,""SELECT B WHERE E CONTAINS '""&amp;B15&amp;""' LABEL B ''"")))"),"#N/A")</f>
        <v>#N/A</v>
      </c>
    </row>
    <row r="16" customFormat="false" ht="15.75" hidden="false" customHeight="true" outlineLevel="0" collapsed="false">
      <c r="A16" s="7" t="s">
        <v>45</v>
      </c>
      <c r="B16" s="8" t="s">
        <v>46</v>
      </c>
      <c r="C16" s="9" t="s">
        <v>13</v>
      </c>
      <c r="D16" s="9" t="s">
        <v>14</v>
      </c>
      <c r="E16" s="9" t="s">
        <v>15</v>
      </c>
      <c r="F16" s="9" t="s">
        <v>44</v>
      </c>
      <c r="G16" s="10" t="s">
        <v>17</v>
      </c>
      <c r="H16" s="10" t="s">
        <v>17</v>
      </c>
      <c r="I16" s="10" t="s">
        <v>17</v>
      </c>
      <c r="J16" s="11" t="str">
        <f aca="false">IF(IFERROR(K16,7)=7,"",RIGHT(K16,LEN(K16)-2)&amp;".")</f>
        <v>/A.</v>
      </c>
      <c r="K16" s="10" t="str">
        <f aca="false">IFERROR(__xludf.dummyfunction("CONCATENATE(ArrayFormula(""; ""&amp;QUERY(Hallazgos!A:F,""SELECT B WHERE E CONTAINS '""&amp;B16&amp;""' LABEL B ''"")))"),"#N/A")</f>
        <v>#N/A</v>
      </c>
    </row>
    <row r="17" customFormat="false" ht="15.75" hidden="false" customHeight="true" outlineLevel="0" collapsed="false">
      <c r="A17" s="7" t="s">
        <v>47</v>
      </c>
      <c r="B17" s="8" t="s">
        <v>48</v>
      </c>
      <c r="C17" s="9" t="s">
        <v>13</v>
      </c>
      <c r="D17" s="9" t="s">
        <v>14</v>
      </c>
      <c r="E17" s="9" t="s">
        <v>15</v>
      </c>
      <c r="F17" s="9" t="s">
        <v>49</v>
      </c>
      <c r="G17" s="10" t="s">
        <v>17</v>
      </c>
      <c r="H17" s="10" t="s">
        <v>17</v>
      </c>
      <c r="I17" s="10" t="s">
        <v>17</v>
      </c>
      <c r="J17" s="11" t="str">
        <f aca="false">IF(IFERROR(K17,7)=7,"",RIGHT(K17,LEN(K17)-2)&amp;".")</f>
        <v>/A.</v>
      </c>
      <c r="K17" s="10" t="str">
        <f aca="false">IFERROR(__xludf.dummyfunction("CONCATENATE(ArrayFormula(""; ""&amp;QUERY(Hallazgos!A:F,""SELECT B WHERE E CONTAINS '""&amp;B17&amp;""' LABEL B ''"")))"),"#N/A")</f>
        <v>#N/A</v>
      </c>
    </row>
    <row r="18" customFormat="false" ht="15.75" hidden="false" customHeight="true" outlineLevel="0" collapsed="false">
      <c r="A18" s="7" t="s">
        <v>50</v>
      </c>
      <c r="B18" s="8" t="s">
        <v>51</v>
      </c>
      <c r="C18" s="9" t="s">
        <v>13</v>
      </c>
      <c r="D18" s="9" t="s">
        <v>14</v>
      </c>
      <c r="E18" s="9" t="s">
        <v>15</v>
      </c>
      <c r="F18" s="9" t="s">
        <v>49</v>
      </c>
      <c r="G18" s="10" t="s">
        <v>17</v>
      </c>
      <c r="H18" s="10" t="s">
        <v>17</v>
      </c>
      <c r="I18" s="10" t="s">
        <v>17</v>
      </c>
      <c r="J18" s="11" t="str">
        <f aca="false">IF(IFERROR(K18,7)=7,"",RIGHT(K18,LEN(K18)-2)&amp;".")</f>
        <v>/A.</v>
      </c>
      <c r="K18" s="10" t="str">
        <f aca="false">IFERROR(__xludf.dummyfunction("CONCATENATE(ArrayFormula(""; ""&amp;QUERY(Hallazgos!A:F,""SELECT B WHERE E CONTAINS '""&amp;B18&amp;""' LABEL B ''"")))"),"#N/A")</f>
        <v>#N/A</v>
      </c>
    </row>
    <row r="19" customFormat="false" ht="15.75" hidden="false" customHeight="true" outlineLevel="0" collapsed="false">
      <c r="A19" s="7" t="s">
        <v>52</v>
      </c>
      <c r="B19" s="8" t="s">
        <v>53</v>
      </c>
      <c r="C19" s="9" t="s">
        <v>38</v>
      </c>
      <c r="D19" s="9" t="s">
        <v>14</v>
      </c>
      <c r="E19" s="9" t="s">
        <v>54</v>
      </c>
      <c r="F19" s="9" t="s">
        <v>55</v>
      </c>
      <c r="G19" s="10" t="s">
        <v>17</v>
      </c>
      <c r="H19" s="10" t="s">
        <v>17</v>
      </c>
      <c r="I19" s="10" t="s">
        <v>17</v>
      </c>
      <c r="J19" s="11" t="str">
        <f aca="false">IF(IFERROR(K19,7)=7,"",RIGHT(K19,LEN(K19)-2)&amp;".")</f>
        <v>/A.</v>
      </c>
      <c r="K19" s="10" t="str">
        <f aca="false">IFERROR(__xludf.dummyfunction("CONCATENATE(ArrayFormula(""; ""&amp;QUERY(Hallazgos!A:F,""SELECT B WHERE E CONTAINS '""&amp;B19&amp;""' LABEL B ''"")))"),"#N/A")</f>
        <v>#N/A</v>
      </c>
    </row>
    <row r="20" customFormat="false" ht="15.75" hidden="false" customHeight="true" outlineLevel="0" collapsed="false">
      <c r="A20" s="7" t="s">
        <v>56</v>
      </c>
      <c r="B20" s="8" t="s">
        <v>57</v>
      </c>
      <c r="C20" s="9" t="s">
        <v>38</v>
      </c>
      <c r="D20" s="9" t="s">
        <v>58</v>
      </c>
      <c r="E20" s="9" t="s">
        <v>15</v>
      </c>
      <c r="F20" s="9" t="s">
        <v>55</v>
      </c>
      <c r="G20" s="10" t="s">
        <v>17</v>
      </c>
      <c r="H20" s="10" t="s">
        <v>17</v>
      </c>
      <c r="I20" s="10" t="s">
        <v>17</v>
      </c>
      <c r="J20" s="11" t="str">
        <f aca="false">IF(IFERROR(K20,7)=7,"",RIGHT(K20,LEN(K20)-2)&amp;".")</f>
        <v>/A.</v>
      </c>
      <c r="K20" s="10" t="str">
        <f aca="false">IFERROR(__xludf.dummyfunction("CONCATENATE(ArrayFormula(""; ""&amp;QUERY(Hallazgos!A:F,""SELECT B WHERE E CONTAINS '""&amp;B20&amp;""' LABEL B ''"")))"),"#N/A")</f>
        <v>#N/A</v>
      </c>
    </row>
    <row r="21" customFormat="false" ht="15.75" hidden="false" customHeight="true" outlineLevel="0" collapsed="false">
      <c r="A21" s="7" t="s">
        <v>59</v>
      </c>
      <c r="B21" s="8" t="s">
        <v>60</v>
      </c>
      <c r="C21" s="9" t="s">
        <v>38</v>
      </c>
      <c r="D21" s="9" t="s">
        <v>58</v>
      </c>
      <c r="E21" s="9" t="s">
        <v>15</v>
      </c>
      <c r="F21" s="9" t="s">
        <v>55</v>
      </c>
      <c r="G21" s="10" t="s">
        <v>17</v>
      </c>
      <c r="H21" s="10" t="s">
        <v>17</v>
      </c>
      <c r="I21" s="10" t="s">
        <v>17</v>
      </c>
      <c r="J21" s="11" t="str">
        <f aca="false">IF(IFERROR(K21,7)=7,"",RIGHT(K21,LEN(K21)-2)&amp;".")</f>
        <v>/A.</v>
      </c>
      <c r="K21" s="10" t="str">
        <f aca="false">IFERROR(__xludf.dummyfunction("CONCATENATE(ArrayFormula(""; ""&amp;QUERY(Hallazgos!A:F,""SELECT B WHERE E CONTAINS '""&amp;B21&amp;""' LABEL B ''"")))"),"#N/A")</f>
        <v>#N/A</v>
      </c>
    </row>
    <row r="22" customFormat="false" ht="15.75" hidden="false" customHeight="true" outlineLevel="0" collapsed="false">
      <c r="A22" s="7" t="s">
        <v>61</v>
      </c>
      <c r="B22" s="8" t="s">
        <v>62</v>
      </c>
      <c r="C22" s="9" t="s">
        <v>38</v>
      </c>
      <c r="D22" s="9" t="s">
        <v>58</v>
      </c>
      <c r="E22" s="9" t="s">
        <v>15</v>
      </c>
      <c r="F22" s="9" t="s">
        <v>16</v>
      </c>
      <c r="G22" s="10" t="s">
        <v>17</v>
      </c>
      <c r="H22" s="10" t="s">
        <v>17</v>
      </c>
      <c r="I22" s="10" t="s">
        <v>17</v>
      </c>
      <c r="J22" s="11" t="str">
        <f aca="false">IF(IFERROR(K22,7)=7,"",RIGHT(K22,LEN(K22)-2)&amp;".")</f>
        <v>/A.</v>
      </c>
      <c r="K22" s="10" t="str">
        <f aca="false">IFERROR(__xludf.dummyfunction("CONCATENATE(ArrayFormula(""; ""&amp;QUERY(Hallazgos!A:F,""SELECT B WHERE E CONTAINS '""&amp;B22&amp;""' LABEL B ''"")))"),"#N/A")</f>
        <v>#N/A</v>
      </c>
    </row>
    <row r="23" customFormat="false" ht="15.75" hidden="false" customHeight="true" outlineLevel="0" collapsed="false">
      <c r="A23" s="7" t="s">
        <v>63</v>
      </c>
      <c r="B23" s="8" t="s">
        <v>64</v>
      </c>
      <c r="C23" s="9" t="s">
        <v>38</v>
      </c>
      <c r="D23" s="9" t="s">
        <v>58</v>
      </c>
      <c r="E23" s="9" t="s">
        <v>15</v>
      </c>
      <c r="F23" s="9" t="s">
        <v>55</v>
      </c>
      <c r="G23" s="10" t="s">
        <v>17</v>
      </c>
      <c r="H23" s="10" t="s">
        <v>17</v>
      </c>
      <c r="I23" s="10" t="s">
        <v>17</v>
      </c>
      <c r="J23" s="11" t="str">
        <f aca="false">IF(IFERROR(K23,7)=7,"",RIGHT(K23,LEN(K23)-2)&amp;".")</f>
        <v>/A.</v>
      </c>
      <c r="K23" s="10" t="str">
        <f aca="false">IFERROR(__xludf.dummyfunction("CONCATENATE(ArrayFormula(""; ""&amp;QUERY(Hallazgos!A:F,""SELECT B WHERE E CONTAINS '""&amp;B23&amp;""' LABEL B ''"")))"),"#N/A")</f>
        <v>#N/A</v>
      </c>
    </row>
    <row r="24" customFormat="false" ht="15.75" hidden="false" customHeight="true" outlineLevel="0" collapsed="false">
      <c r="A24" s="7" t="s">
        <v>65</v>
      </c>
      <c r="B24" s="8" t="s">
        <v>66</v>
      </c>
      <c r="C24" s="9" t="s">
        <v>38</v>
      </c>
      <c r="D24" s="9" t="s">
        <v>58</v>
      </c>
      <c r="E24" s="9" t="s">
        <v>15</v>
      </c>
      <c r="F24" s="9" t="s">
        <v>55</v>
      </c>
      <c r="G24" s="10" t="s">
        <v>17</v>
      </c>
      <c r="H24" s="10" t="s">
        <v>17</v>
      </c>
      <c r="I24" s="10" t="s">
        <v>17</v>
      </c>
      <c r="J24" s="11" t="str">
        <f aca="false">IF(IFERROR(K24,7)=7,"",RIGHT(K24,LEN(K24)-2)&amp;".")</f>
        <v>/A.</v>
      </c>
      <c r="K24" s="10" t="str">
        <f aca="false">IFERROR(__xludf.dummyfunction("CONCATENATE(ArrayFormula(""; ""&amp;QUERY(Hallazgos!A:F,""SELECT B WHERE E CONTAINS '""&amp;B24&amp;""' LABEL B ''"")))"),"#N/A")</f>
        <v>#N/A</v>
      </c>
    </row>
    <row r="25" customFormat="false" ht="15.75" hidden="false" customHeight="true" outlineLevel="0" collapsed="false">
      <c r="A25" s="7" t="s">
        <v>67</v>
      </c>
      <c r="B25" s="8" t="s">
        <v>68</v>
      </c>
      <c r="C25" s="9" t="s">
        <v>41</v>
      </c>
      <c r="D25" s="9" t="s">
        <v>69</v>
      </c>
      <c r="E25" s="9" t="s">
        <v>15</v>
      </c>
      <c r="F25" s="9" t="s">
        <v>55</v>
      </c>
      <c r="G25" s="10" t="s">
        <v>17</v>
      </c>
      <c r="H25" s="10" t="s">
        <v>17</v>
      </c>
      <c r="I25" s="10" t="s">
        <v>17</v>
      </c>
      <c r="J25" s="11" t="str">
        <f aca="false">IF(IFERROR(K25,7)=7,"",RIGHT(K25,LEN(K25)-2)&amp;".")</f>
        <v>/A.</v>
      </c>
      <c r="K25" s="10" t="str">
        <f aca="false">IFERROR(__xludf.dummyfunction("CONCATENATE(ArrayFormula(""; ""&amp;QUERY(Hallazgos!A:F,""SELECT B WHERE E CONTAINS '""&amp;B25&amp;""' LABEL B ''"")))"),"#N/A")</f>
        <v>#N/A</v>
      </c>
    </row>
    <row r="26" customFormat="false" ht="15.75" hidden="false" customHeight="true" outlineLevel="0" collapsed="false">
      <c r="A26" s="7" t="s">
        <v>70</v>
      </c>
      <c r="B26" s="8" t="s">
        <v>71</v>
      </c>
      <c r="C26" s="9" t="s">
        <v>41</v>
      </c>
      <c r="D26" s="9" t="s">
        <v>69</v>
      </c>
      <c r="E26" s="9" t="s">
        <v>72</v>
      </c>
      <c r="F26" s="9" t="s">
        <v>73</v>
      </c>
      <c r="G26" s="10" t="s">
        <v>17</v>
      </c>
      <c r="H26" s="10" t="s">
        <v>17</v>
      </c>
      <c r="I26" s="10" t="s">
        <v>17</v>
      </c>
      <c r="J26" s="11" t="str">
        <f aca="false">IF(IFERROR(K26,7)=7,"",RIGHT(K26,LEN(K26)-2)&amp;".")</f>
        <v>/A.</v>
      </c>
      <c r="K26" s="10" t="str">
        <f aca="false">IFERROR(__xludf.dummyfunction("CONCATENATE(ArrayFormula(""; ""&amp;QUERY(Hallazgos!A:F,""SELECT B WHERE E CONTAINS '""&amp;B26&amp;""' LABEL B ''"")))"),"#N/A")</f>
        <v>#N/A</v>
      </c>
    </row>
    <row r="27" customFormat="false" ht="15.75" hidden="false" customHeight="true" outlineLevel="0" collapsed="false">
      <c r="A27" s="7" t="s">
        <v>74</v>
      </c>
      <c r="B27" s="8" t="s">
        <v>75</v>
      </c>
      <c r="C27" s="9" t="s">
        <v>41</v>
      </c>
      <c r="D27" s="9" t="s">
        <v>69</v>
      </c>
      <c r="E27" s="9" t="s">
        <v>76</v>
      </c>
      <c r="F27" s="9" t="s">
        <v>55</v>
      </c>
      <c r="G27" s="10" t="s">
        <v>17</v>
      </c>
      <c r="H27" s="10" t="s">
        <v>17</v>
      </c>
      <c r="I27" s="10" t="s">
        <v>17</v>
      </c>
      <c r="J27" s="11" t="str">
        <f aca="false">IF(IFERROR(K27,7)=7,"",RIGHT(K27,LEN(K27)-2)&amp;".")</f>
        <v>/A.</v>
      </c>
      <c r="K27" s="10" t="str">
        <f aca="false">IFERROR(__xludf.dummyfunction("CONCATENATE(ArrayFormula(""; ""&amp;QUERY(Hallazgos!A:F,""SELECT B WHERE E CONTAINS '""&amp;B27&amp;""' LABEL B ''"")))"),"#N/A")</f>
        <v>#N/A</v>
      </c>
    </row>
    <row r="28" customFormat="false" ht="15.75" hidden="false" customHeight="true" outlineLevel="0" collapsed="false">
      <c r="A28" s="7" t="s">
        <v>77</v>
      </c>
      <c r="B28" s="8" t="s">
        <v>78</v>
      </c>
      <c r="C28" s="9" t="s">
        <v>41</v>
      </c>
      <c r="D28" s="9" t="s">
        <v>69</v>
      </c>
      <c r="E28" s="9" t="s">
        <v>76</v>
      </c>
      <c r="F28" s="9" t="s">
        <v>73</v>
      </c>
      <c r="G28" s="10" t="s">
        <v>17</v>
      </c>
      <c r="H28" s="10" t="s">
        <v>17</v>
      </c>
      <c r="I28" s="10" t="s">
        <v>17</v>
      </c>
      <c r="J28" s="11" t="str">
        <f aca="false">IF(IFERROR(K28,7)=7,"",RIGHT(K28,LEN(K28)-2)&amp;".")</f>
        <v>/A.</v>
      </c>
      <c r="K28" s="10" t="str">
        <f aca="false">IFERROR(__xludf.dummyfunction("CONCATENATE(ArrayFormula(""; ""&amp;QUERY(Hallazgos!A:F,""SELECT B WHERE E CONTAINS '""&amp;B28&amp;""' LABEL B ''"")))"),"#N/A")</f>
        <v>#N/A</v>
      </c>
    </row>
    <row r="29" customFormat="false" ht="15.75" hidden="false" customHeight="true" outlineLevel="0" collapsed="false">
      <c r="A29" s="7" t="s">
        <v>79</v>
      </c>
      <c r="B29" s="8" t="s">
        <v>80</v>
      </c>
      <c r="C29" s="9" t="s">
        <v>41</v>
      </c>
      <c r="D29" s="9" t="s">
        <v>69</v>
      </c>
      <c r="E29" s="9" t="s">
        <v>81</v>
      </c>
      <c r="F29" s="9" t="s">
        <v>55</v>
      </c>
      <c r="G29" s="10" t="s">
        <v>17</v>
      </c>
      <c r="H29" s="10" t="s">
        <v>17</v>
      </c>
      <c r="I29" s="10" t="s">
        <v>17</v>
      </c>
      <c r="J29" s="11" t="str">
        <f aca="false">IF(IFERROR(K29,7)=7,"",RIGHT(K29,LEN(K29)-2)&amp;".")</f>
        <v>/A.</v>
      </c>
      <c r="K29" s="10" t="str">
        <f aca="false">IFERROR(__xludf.dummyfunction("CONCATENATE(ArrayFormula(""; ""&amp;QUERY(Hallazgos!A:F,""SELECT B WHERE E CONTAINS '""&amp;B29&amp;""' LABEL B ''"")))"),"#N/A")</f>
        <v>#N/A</v>
      </c>
    </row>
    <row r="30" customFormat="false" ht="15.75" hidden="false" customHeight="true" outlineLevel="0" collapsed="false">
      <c r="A30" s="7" t="s">
        <v>82</v>
      </c>
      <c r="B30" s="8" t="s">
        <v>83</v>
      </c>
      <c r="C30" s="9" t="s">
        <v>41</v>
      </c>
      <c r="D30" s="9" t="s">
        <v>69</v>
      </c>
      <c r="E30" s="9" t="s">
        <v>81</v>
      </c>
      <c r="F30" s="9" t="s">
        <v>55</v>
      </c>
      <c r="G30" s="10" t="s">
        <v>17</v>
      </c>
      <c r="H30" s="10" t="s">
        <v>17</v>
      </c>
      <c r="I30" s="10" t="s">
        <v>17</v>
      </c>
      <c r="J30" s="11" t="str">
        <f aca="false">IF(IFERROR(K30,7)=7,"",RIGHT(K30,LEN(K30)-2)&amp;".")</f>
        <v>/A.</v>
      </c>
      <c r="K30" s="10" t="str">
        <f aca="false">IFERROR(__xludf.dummyfunction("CONCATENATE(ArrayFormula(""; ""&amp;QUERY(Hallazgos!A:F,""SELECT B WHERE E CONTAINS '""&amp;B30&amp;""' LABEL B ''"")))"),"#N/A")</f>
        <v>#N/A</v>
      </c>
    </row>
    <row r="31" customFormat="false" ht="15.75" hidden="false" customHeight="true" outlineLevel="0" collapsed="false">
      <c r="A31" s="7" t="s">
        <v>84</v>
      </c>
      <c r="B31" s="8" t="s">
        <v>85</v>
      </c>
      <c r="C31" s="9" t="s">
        <v>41</v>
      </c>
      <c r="D31" s="9" t="s">
        <v>69</v>
      </c>
      <c r="E31" s="9" t="s">
        <v>81</v>
      </c>
      <c r="F31" s="9" t="s">
        <v>73</v>
      </c>
      <c r="G31" s="10" t="s">
        <v>17</v>
      </c>
      <c r="H31" s="10" t="s">
        <v>17</v>
      </c>
      <c r="I31" s="10" t="s">
        <v>17</v>
      </c>
      <c r="J31" s="11" t="str">
        <f aca="false">IF(IFERROR(K31,7)=7,"",RIGHT(K31,LEN(K31)-2)&amp;".")</f>
        <v>/A.</v>
      </c>
      <c r="K31" s="10" t="str">
        <f aca="false">IFERROR(__xludf.dummyfunction("CONCATENATE(ArrayFormula(""; ""&amp;QUERY(Hallazgos!A:F,""SELECT B WHERE E CONTAINS '""&amp;B31&amp;""' LABEL B ''"")))"),"#N/A")</f>
        <v>#N/A</v>
      </c>
    </row>
    <row r="32" customFormat="false" ht="15.75" hidden="false" customHeight="true" outlineLevel="0" collapsed="false">
      <c r="A32" s="7" t="s">
        <v>86</v>
      </c>
      <c r="B32" s="8" t="s">
        <v>87</v>
      </c>
      <c r="C32" s="9" t="s">
        <v>41</v>
      </c>
      <c r="D32" s="9" t="s">
        <v>69</v>
      </c>
      <c r="E32" s="9" t="s">
        <v>88</v>
      </c>
      <c r="F32" s="9" t="s">
        <v>73</v>
      </c>
      <c r="G32" s="10" t="s">
        <v>17</v>
      </c>
      <c r="H32" s="10" t="s">
        <v>17</v>
      </c>
      <c r="I32" s="10" t="s">
        <v>17</v>
      </c>
      <c r="J32" s="11" t="str">
        <f aca="false">IF(IFERROR(K32,7)=7,"",RIGHT(K32,LEN(K32)-2)&amp;".")</f>
        <v>/A.</v>
      </c>
      <c r="K32" s="10" t="str">
        <f aca="false">IFERROR(__xludf.dummyfunction("CONCATENATE(ArrayFormula(""; ""&amp;QUERY(Hallazgos!A:F,""SELECT B WHERE E CONTAINS '""&amp;B32&amp;""' LABEL B ''"")))"),"#N/A")</f>
        <v>#N/A</v>
      </c>
    </row>
    <row r="33" customFormat="false" ht="15.75" hidden="false" customHeight="true" outlineLevel="0" collapsed="false">
      <c r="A33" s="7" t="s">
        <v>89</v>
      </c>
      <c r="B33" s="8" t="s">
        <v>90</v>
      </c>
      <c r="C33" s="9" t="s">
        <v>41</v>
      </c>
      <c r="D33" s="9" t="s">
        <v>69</v>
      </c>
      <c r="E33" s="9" t="s">
        <v>81</v>
      </c>
      <c r="F33" s="9" t="s">
        <v>73</v>
      </c>
      <c r="G33" s="10" t="s">
        <v>17</v>
      </c>
      <c r="H33" s="10" t="s">
        <v>17</v>
      </c>
      <c r="I33" s="10" t="s">
        <v>17</v>
      </c>
      <c r="J33" s="11" t="str">
        <f aca="false">IF(IFERROR(K33,7)=7,"",RIGHT(K33,LEN(K33)-2)&amp;".")</f>
        <v>/A.</v>
      </c>
      <c r="K33" s="10" t="str">
        <f aca="false">IFERROR(__xludf.dummyfunction("CONCATENATE(ArrayFormula(""; ""&amp;QUERY(Hallazgos!A:F,""SELECT B WHERE E CONTAINS '""&amp;B33&amp;""' LABEL B ''"")))"),"#N/A")</f>
        <v>#N/A</v>
      </c>
    </row>
    <row r="34" customFormat="false" ht="15.75" hidden="false" customHeight="true" outlineLevel="0" collapsed="false">
      <c r="A34" s="7" t="s">
        <v>91</v>
      </c>
      <c r="B34" s="8" t="s">
        <v>92</v>
      </c>
      <c r="C34" s="9" t="s">
        <v>41</v>
      </c>
      <c r="D34" s="9" t="s">
        <v>69</v>
      </c>
      <c r="E34" s="9" t="s">
        <v>81</v>
      </c>
      <c r="F34" s="9" t="s">
        <v>73</v>
      </c>
      <c r="G34" s="10" t="s">
        <v>17</v>
      </c>
      <c r="H34" s="10" t="s">
        <v>17</v>
      </c>
      <c r="I34" s="10" t="s">
        <v>17</v>
      </c>
      <c r="J34" s="11" t="str">
        <f aca="false">IF(IFERROR(K34,7)=7,"",RIGHT(K34,LEN(K34)-2)&amp;".")</f>
        <v>/A.</v>
      </c>
      <c r="K34" s="10" t="str">
        <f aca="false">IFERROR(__xludf.dummyfunction("CONCATENATE(ArrayFormula(""; ""&amp;QUERY(Hallazgos!A:F,""SELECT B WHERE E CONTAINS '""&amp;B34&amp;""' LABEL B ''"")))"),"#N/A")</f>
        <v>#N/A</v>
      </c>
    </row>
    <row r="35" customFormat="false" ht="15.75" hidden="false" customHeight="true" outlineLevel="0" collapsed="false">
      <c r="A35" s="7" t="s">
        <v>93</v>
      </c>
      <c r="B35" s="8" t="s">
        <v>94</v>
      </c>
      <c r="C35" s="9" t="s">
        <v>41</v>
      </c>
      <c r="D35" s="9" t="s">
        <v>95</v>
      </c>
      <c r="E35" s="9" t="s">
        <v>81</v>
      </c>
      <c r="F35" s="9" t="s">
        <v>55</v>
      </c>
      <c r="G35" s="10" t="s">
        <v>17</v>
      </c>
      <c r="H35" s="10" t="s">
        <v>17</v>
      </c>
      <c r="I35" s="10" t="s">
        <v>17</v>
      </c>
      <c r="J35" s="11" t="str">
        <f aca="false">IF(IFERROR(K35,7)=7,"",RIGHT(K35,LEN(K35)-2)&amp;".")</f>
        <v>/A.</v>
      </c>
      <c r="K35" s="10" t="str">
        <f aca="false">IFERROR(__xludf.dummyfunction("CONCATENATE(ArrayFormula(""; ""&amp;QUERY(Hallazgos!A:F,""SELECT B WHERE E CONTAINS '""&amp;B35&amp;""' LABEL B ''"")))"),"#N/A")</f>
        <v>#N/A</v>
      </c>
    </row>
    <row r="36" customFormat="false" ht="15.75" hidden="false" customHeight="true" outlineLevel="0" collapsed="false">
      <c r="A36" s="7" t="s">
        <v>96</v>
      </c>
      <c r="B36" s="8" t="s">
        <v>97</v>
      </c>
      <c r="C36" s="9" t="s">
        <v>41</v>
      </c>
      <c r="D36" s="9" t="s">
        <v>95</v>
      </c>
      <c r="E36" s="9" t="s">
        <v>98</v>
      </c>
      <c r="F36" s="9" t="s">
        <v>55</v>
      </c>
      <c r="G36" s="10" t="s">
        <v>17</v>
      </c>
      <c r="H36" s="10" t="s">
        <v>17</v>
      </c>
      <c r="I36" s="10" t="s">
        <v>17</v>
      </c>
      <c r="J36" s="11" t="str">
        <f aca="false">IF(IFERROR(K36,7)=7,"",RIGHT(K36,LEN(K36)-2)&amp;".")</f>
        <v>/A.</v>
      </c>
      <c r="K36" s="10" t="str">
        <f aca="false">IFERROR(__xludf.dummyfunction("CONCATENATE(ArrayFormula(""; ""&amp;QUERY(Hallazgos!A:F,""SELECT B WHERE E CONTAINS '""&amp;B36&amp;""' LABEL B ''"")))"),"#N/A")</f>
        <v>#N/A</v>
      </c>
    </row>
    <row r="37" customFormat="false" ht="15.75" hidden="false" customHeight="true" outlineLevel="0" collapsed="false">
      <c r="A37" s="7" t="s">
        <v>99</v>
      </c>
      <c r="B37" s="8" t="s">
        <v>100</v>
      </c>
      <c r="C37" s="9" t="s">
        <v>41</v>
      </c>
      <c r="D37" s="9" t="s">
        <v>95</v>
      </c>
      <c r="E37" s="9" t="s">
        <v>98</v>
      </c>
      <c r="F37" s="9" t="s">
        <v>55</v>
      </c>
      <c r="G37" s="10" t="s">
        <v>17</v>
      </c>
      <c r="H37" s="10" t="s">
        <v>17</v>
      </c>
      <c r="I37" s="10" t="s">
        <v>17</v>
      </c>
      <c r="J37" s="11" t="str">
        <f aca="false">IF(IFERROR(K37,7)=7,"",RIGHT(K37,LEN(K37)-2)&amp;".")</f>
        <v>/A.</v>
      </c>
      <c r="K37" s="10" t="str">
        <f aca="false">IFERROR(__xludf.dummyfunction("CONCATENATE(ArrayFormula(""; ""&amp;QUERY(Hallazgos!A:F,""SELECT B WHERE E CONTAINS '""&amp;B37&amp;""' LABEL B ''"")))"),"#N/A")</f>
        <v>#N/A</v>
      </c>
    </row>
    <row r="38" customFormat="false" ht="15.75" hidden="false" customHeight="true" outlineLevel="0" collapsed="false">
      <c r="A38" s="7" t="s">
        <v>101</v>
      </c>
      <c r="B38" s="8" t="s">
        <v>102</v>
      </c>
      <c r="C38" s="9" t="s">
        <v>41</v>
      </c>
      <c r="D38" s="9" t="s">
        <v>103</v>
      </c>
      <c r="E38" s="9" t="s">
        <v>81</v>
      </c>
      <c r="F38" s="9" t="s">
        <v>104</v>
      </c>
      <c r="G38" s="10" t="s">
        <v>17</v>
      </c>
      <c r="H38" s="10" t="s">
        <v>17</v>
      </c>
      <c r="I38" s="10" t="s">
        <v>17</v>
      </c>
      <c r="J38" s="11" t="str">
        <f aca="false">IF(IFERROR(K38,7)=7,"",RIGHT(K38,LEN(K38)-2)&amp;".")</f>
        <v>/A.</v>
      </c>
      <c r="K38" s="10" t="str">
        <f aca="false">IFERROR(__xludf.dummyfunction("CONCATENATE(ArrayFormula(""; ""&amp;QUERY(Hallazgos!A:F,""SELECT B WHERE E CONTAINS '""&amp;B38&amp;""' LABEL B ''"")))"),"#N/A")</f>
        <v>#N/A</v>
      </c>
    </row>
    <row r="39" customFormat="false" ht="15.75" hidden="false" customHeight="true" outlineLevel="0" collapsed="false">
      <c r="A39" s="7" t="s">
        <v>105</v>
      </c>
      <c r="B39" s="8" t="s">
        <v>106</v>
      </c>
      <c r="C39" s="9" t="s">
        <v>41</v>
      </c>
      <c r="D39" s="9" t="s">
        <v>103</v>
      </c>
      <c r="E39" s="9" t="s">
        <v>81</v>
      </c>
      <c r="F39" s="9" t="s">
        <v>73</v>
      </c>
      <c r="G39" s="10" t="s">
        <v>17</v>
      </c>
      <c r="H39" s="10" t="s">
        <v>17</v>
      </c>
      <c r="I39" s="10" t="s">
        <v>17</v>
      </c>
      <c r="J39" s="11" t="str">
        <f aca="false">IF(IFERROR(K39,7)=7,"",RIGHT(K39,LEN(K39)-2)&amp;".")</f>
        <v>/A.</v>
      </c>
      <c r="K39" s="10" t="str">
        <f aca="false">IFERROR(__xludf.dummyfunction("CONCATENATE(ArrayFormula(""; ""&amp;QUERY(Hallazgos!A:F,""SELECT B WHERE E CONTAINS '""&amp;B39&amp;""' LABEL B ''"")))"),"#N/A")</f>
        <v>#N/A</v>
      </c>
    </row>
    <row r="40" customFormat="false" ht="15.75" hidden="false" customHeight="true" outlineLevel="0" collapsed="false">
      <c r="A40" s="7" t="s">
        <v>107</v>
      </c>
      <c r="B40" s="8" t="s">
        <v>108</v>
      </c>
      <c r="C40" s="9" t="s">
        <v>41</v>
      </c>
      <c r="D40" s="9" t="s">
        <v>103</v>
      </c>
      <c r="E40" s="9" t="s">
        <v>76</v>
      </c>
      <c r="F40" s="9" t="s">
        <v>55</v>
      </c>
      <c r="G40" s="10" t="s">
        <v>17</v>
      </c>
      <c r="H40" s="10" t="s">
        <v>17</v>
      </c>
      <c r="I40" s="10" t="s">
        <v>17</v>
      </c>
      <c r="J40" s="11" t="str">
        <f aca="false">IF(IFERROR(K40,7)=7,"",RIGHT(K40,LEN(K40)-2)&amp;".")</f>
        <v>/A.</v>
      </c>
      <c r="K40" s="10" t="str">
        <f aca="false">IFERROR(__xludf.dummyfunction("CONCATENATE(ArrayFormula(""; ""&amp;QUERY(Hallazgos!A:F,""SELECT B WHERE E CONTAINS '""&amp;B40&amp;""' LABEL B ''"")))"),"#N/A")</f>
        <v>#N/A</v>
      </c>
    </row>
    <row r="41" customFormat="false" ht="15.75" hidden="false" customHeight="true" outlineLevel="0" collapsed="false">
      <c r="A41" s="7" t="s">
        <v>109</v>
      </c>
      <c r="B41" s="8" t="s">
        <v>110</v>
      </c>
      <c r="C41" s="9" t="s">
        <v>41</v>
      </c>
      <c r="D41" s="9" t="s">
        <v>103</v>
      </c>
      <c r="E41" s="9" t="s">
        <v>111</v>
      </c>
      <c r="F41" s="9" t="s">
        <v>55</v>
      </c>
      <c r="G41" s="10" t="s">
        <v>17</v>
      </c>
      <c r="H41" s="10" t="s">
        <v>17</v>
      </c>
      <c r="I41" s="10" t="s">
        <v>17</v>
      </c>
      <c r="J41" s="11" t="str">
        <f aca="false">IF(IFERROR(K41,7)=7,"",RIGHT(K41,LEN(K41)-2)&amp;".")</f>
        <v>/A.</v>
      </c>
      <c r="K41" s="10" t="str">
        <f aca="false">IFERROR(__xludf.dummyfunction("CONCATENATE(ArrayFormula(""; ""&amp;QUERY(Hallazgos!A:F,""SELECT B WHERE E CONTAINS '""&amp;B41&amp;""' LABEL B ''"")))"),"#N/A")</f>
        <v>#N/A</v>
      </c>
    </row>
    <row r="42" customFormat="false" ht="15.75" hidden="false" customHeight="true" outlineLevel="0" collapsed="false">
      <c r="A42" s="7" t="s">
        <v>112</v>
      </c>
      <c r="B42" s="8" t="s">
        <v>113</v>
      </c>
      <c r="C42" s="9" t="s">
        <v>41</v>
      </c>
      <c r="D42" s="9" t="s">
        <v>103</v>
      </c>
      <c r="E42" s="9" t="s">
        <v>76</v>
      </c>
      <c r="F42" s="9" t="s">
        <v>55</v>
      </c>
      <c r="G42" s="10" t="s">
        <v>17</v>
      </c>
      <c r="H42" s="10" t="s">
        <v>17</v>
      </c>
      <c r="I42" s="10" t="s">
        <v>17</v>
      </c>
      <c r="J42" s="11" t="str">
        <f aca="false">IF(IFERROR(K42,7)=7,"",RIGHT(K42,LEN(K42)-2)&amp;".")</f>
        <v>/A.</v>
      </c>
      <c r="K42" s="10" t="str">
        <f aca="false">IFERROR(__xludf.dummyfunction("CONCATENATE(ArrayFormula(""; ""&amp;QUERY(Hallazgos!A:F,""SELECT B WHERE E CONTAINS '""&amp;B42&amp;""' LABEL B ''"")))"),"#N/A")</f>
        <v>#N/A</v>
      </c>
    </row>
    <row r="43" customFormat="false" ht="15.75" hidden="false" customHeight="true" outlineLevel="0" collapsed="false">
      <c r="A43" s="7" t="s">
        <v>114</v>
      </c>
      <c r="B43" s="8" t="s">
        <v>115</v>
      </c>
      <c r="C43" s="9" t="s">
        <v>41</v>
      </c>
      <c r="D43" s="9" t="s">
        <v>103</v>
      </c>
      <c r="E43" s="9" t="s">
        <v>116</v>
      </c>
      <c r="F43" s="9" t="s">
        <v>55</v>
      </c>
      <c r="G43" s="10" t="s">
        <v>17</v>
      </c>
      <c r="H43" s="10" t="s">
        <v>17</v>
      </c>
      <c r="I43" s="10" t="s">
        <v>17</v>
      </c>
      <c r="J43" s="11" t="str">
        <f aca="false">IF(IFERROR(K43,7)=7,"",RIGHT(K43,LEN(K43)-2)&amp;".")</f>
        <v>/A.</v>
      </c>
      <c r="K43" s="10" t="str">
        <f aca="false">IFERROR(__xludf.dummyfunction("CONCATENATE(ArrayFormula(""; ""&amp;QUERY(Hallazgos!A:F,""SELECT B WHERE E CONTAINS '""&amp;B43&amp;""' LABEL B ''"")))"),"#N/A")</f>
        <v>#N/A</v>
      </c>
    </row>
    <row r="44" customFormat="false" ht="15.75" hidden="false" customHeight="true" outlineLevel="0" collapsed="false">
      <c r="A44" s="7" t="s">
        <v>117</v>
      </c>
      <c r="B44" s="8" t="s">
        <v>118</v>
      </c>
      <c r="C44" s="9" t="s">
        <v>41</v>
      </c>
      <c r="D44" s="9" t="s">
        <v>103</v>
      </c>
      <c r="E44" s="9" t="s">
        <v>76</v>
      </c>
      <c r="F44" s="9" t="s">
        <v>55</v>
      </c>
      <c r="G44" s="10" t="s">
        <v>17</v>
      </c>
      <c r="H44" s="10" t="s">
        <v>17</v>
      </c>
      <c r="I44" s="10" t="s">
        <v>17</v>
      </c>
      <c r="J44" s="11" t="str">
        <f aca="false">IF(IFERROR(K44,7)=7,"",RIGHT(K44,LEN(K44)-2)&amp;".")</f>
        <v>/A.</v>
      </c>
      <c r="K44" s="10" t="str">
        <f aca="false">IFERROR(__xludf.dummyfunction("CONCATENATE(ArrayFormula(""; ""&amp;QUERY(Hallazgos!A:F,""SELECT B WHERE E CONTAINS '""&amp;B44&amp;""' LABEL B ''"")))"),"#N/A")</f>
        <v>#N/A</v>
      </c>
    </row>
    <row r="45" customFormat="false" ht="15.75" hidden="false" customHeight="true" outlineLevel="0" collapsed="false">
      <c r="A45" s="7" t="s">
        <v>119</v>
      </c>
      <c r="B45" s="8" t="s">
        <v>120</v>
      </c>
      <c r="C45" s="9" t="s">
        <v>41</v>
      </c>
      <c r="D45" s="9" t="s">
        <v>103</v>
      </c>
      <c r="E45" s="9" t="s">
        <v>116</v>
      </c>
      <c r="F45" s="9" t="s">
        <v>73</v>
      </c>
      <c r="G45" s="10" t="s">
        <v>17</v>
      </c>
      <c r="H45" s="10" t="s">
        <v>17</v>
      </c>
      <c r="I45" s="10" t="s">
        <v>17</v>
      </c>
      <c r="J45" s="11" t="str">
        <f aca="false">IF(IFERROR(K45,7)=7,"",RIGHT(K45,LEN(K45)-2)&amp;".")</f>
        <v>/A.</v>
      </c>
      <c r="K45" s="10" t="str">
        <f aca="false">IFERROR(__xludf.dummyfunction("CONCATENATE(ArrayFormula(""; ""&amp;QUERY(Hallazgos!A:F,""SELECT B WHERE E CONTAINS '""&amp;B45&amp;""' LABEL B ''"")))"),"#N/A")</f>
        <v>#N/A</v>
      </c>
    </row>
    <row r="46" customFormat="false" ht="15.75" hidden="false" customHeight="true" outlineLevel="0" collapsed="false">
      <c r="A46" s="7" t="s">
        <v>121</v>
      </c>
      <c r="B46" s="8" t="s">
        <v>122</v>
      </c>
      <c r="C46" s="9" t="s">
        <v>41</v>
      </c>
      <c r="D46" s="9" t="s">
        <v>103</v>
      </c>
      <c r="E46" s="9" t="s">
        <v>116</v>
      </c>
      <c r="F46" s="9" t="s">
        <v>73</v>
      </c>
      <c r="G46" s="10" t="s">
        <v>17</v>
      </c>
      <c r="H46" s="10" t="s">
        <v>17</v>
      </c>
      <c r="I46" s="10" t="s">
        <v>17</v>
      </c>
      <c r="J46" s="11" t="str">
        <f aca="false">IF(IFERROR(K46,7)=7,"",RIGHT(K46,LEN(K46)-2)&amp;".")</f>
        <v>/A.</v>
      </c>
      <c r="K46" s="10" t="str">
        <f aca="false">IFERROR(__xludf.dummyfunction("CONCATENATE(ArrayFormula(""; ""&amp;QUERY(Hallazgos!A:F,""SELECT B WHERE E CONTAINS '""&amp;B46&amp;""' LABEL B ''"")))"),"#N/A")</f>
        <v>#N/A</v>
      </c>
    </row>
    <row r="47" customFormat="false" ht="15.75" hidden="false" customHeight="true" outlineLevel="0" collapsed="false">
      <c r="A47" s="7" t="s">
        <v>123</v>
      </c>
      <c r="B47" s="8" t="s">
        <v>124</v>
      </c>
      <c r="C47" s="9" t="s">
        <v>13</v>
      </c>
      <c r="D47" s="9" t="s">
        <v>103</v>
      </c>
      <c r="E47" s="9" t="s">
        <v>81</v>
      </c>
      <c r="F47" s="9" t="s">
        <v>55</v>
      </c>
      <c r="G47" s="10" t="s">
        <v>17</v>
      </c>
      <c r="H47" s="10" t="s">
        <v>17</v>
      </c>
      <c r="I47" s="10" t="s">
        <v>17</v>
      </c>
      <c r="J47" s="11" t="str">
        <f aca="false">IF(IFERROR(K47,7)=7,"",RIGHT(K47,LEN(K47)-2)&amp;".")</f>
        <v>/A.</v>
      </c>
      <c r="K47" s="10" t="str">
        <f aca="false">IFERROR(__xludf.dummyfunction("CONCATENATE(ArrayFormula(""; ""&amp;QUERY(Hallazgos!A:F,""SELECT B WHERE E CONTAINS '""&amp;B47&amp;""' LABEL B ''"")))"),"#N/A")</f>
        <v>#N/A</v>
      </c>
    </row>
    <row r="48" customFormat="false" ht="15.75" hidden="false" customHeight="true" outlineLevel="0" collapsed="false">
      <c r="A48" s="7" t="s">
        <v>125</v>
      </c>
      <c r="B48" s="8" t="s">
        <v>126</v>
      </c>
      <c r="C48" s="9" t="s">
        <v>41</v>
      </c>
      <c r="D48" s="9" t="s">
        <v>103</v>
      </c>
      <c r="E48" s="9" t="s">
        <v>76</v>
      </c>
      <c r="F48" s="9" t="s">
        <v>55</v>
      </c>
      <c r="G48" s="10" t="s">
        <v>17</v>
      </c>
      <c r="H48" s="10" t="s">
        <v>17</v>
      </c>
      <c r="I48" s="10" t="s">
        <v>17</v>
      </c>
      <c r="J48" s="11" t="str">
        <f aca="false">IF(IFERROR(K48,7)=7,"",RIGHT(K48,LEN(K48)-2)&amp;".")</f>
        <v>/A.</v>
      </c>
      <c r="K48" s="10" t="str">
        <f aca="false">IFERROR(__xludf.dummyfunction("CONCATENATE(ArrayFormula(""; ""&amp;QUERY(Hallazgos!A:F,""SELECT B WHERE E CONTAINS '""&amp;B48&amp;""' LABEL B ''"")))"),"#N/A")</f>
        <v>#N/A</v>
      </c>
    </row>
    <row r="49" customFormat="false" ht="15.75" hidden="false" customHeight="true" outlineLevel="0" collapsed="false">
      <c r="A49" s="7" t="s">
        <v>127</v>
      </c>
      <c r="B49" s="8" t="s">
        <v>128</v>
      </c>
      <c r="C49" s="9" t="s">
        <v>41</v>
      </c>
      <c r="D49" s="9" t="s">
        <v>103</v>
      </c>
      <c r="E49" s="9" t="s">
        <v>76</v>
      </c>
      <c r="F49" s="9" t="s">
        <v>55</v>
      </c>
      <c r="G49" s="10" t="s">
        <v>17</v>
      </c>
      <c r="H49" s="10" t="s">
        <v>17</v>
      </c>
      <c r="I49" s="10" t="s">
        <v>17</v>
      </c>
      <c r="J49" s="11" t="str">
        <f aca="false">IF(IFERROR(K49,7)=7,"",RIGHT(K49,LEN(K49)-2)&amp;".")</f>
        <v>/A.</v>
      </c>
      <c r="K49" s="10" t="str">
        <f aca="false">IFERROR(__xludf.dummyfunction("CONCATENATE(ArrayFormula(""; ""&amp;QUERY(Hallazgos!A:F,""SELECT B WHERE E CONTAINS '""&amp;B49&amp;""' LABEL B ''"")))"),"#N/A")</f>
        <v>#N/A</v>
      </c>
    </row>
    <row r="50" customFormat="false" ht="15.75" hidden="false" customHeight="true" outlineLevel="0" collapsed="false">
      <c r="A50" s="7" t="s">
        <v>129</v>
      </c>
      <c r="B50" s="8" t="s">
        <v>130</v>
      </c>
      <c r="C50" s="9" t="s">
        <v>41</v>
      </c>
      <c r="D50" s="9" t="s">
        <v>131</v>
      </c>
      <c r="E50" s="9" t="s">
        <v>132</v>
      </c>
      <c r="F50" s="9" t="s">
        <v>44</v>
      </c>
      <c r="G50" s="10" t="s">
        <v>17</v>
      </c>
      <c r="H50" s="10" t="s">
        <v>17</v>
      </c>
      <c r="I50" s="10" t="s">
        <v>17</v>
      </c>
      <c r="J50" s="11" t="str">
        <f aca="false">IF(IFERROR(K50,7)=7,"",RIGHT(K50,LEN(K50)-2)&amp;".")</f>
        <v>/A.</v>
      </c>
      <c r="K50" s="10" t="str">
        <f aca="false">IFERROR(__xludf.dummyfunction("CONCATENATE(ArrayFormula(""; ""&amp;QUERY(Hallazgos!A:F,""SELECT B WHERE E CONTAINS '""&amp;B50&amp;""' LABEL B ''"")))"),"#N/A")</f>
        <v>#N/A</v>
      </c>
    </row>
    <row r="51" customFormat="false" ht="15.75" hidden="false" customHeight="true" outlineLevel="0" collapsed="false">
      <c r="A51" s="7" t="s">
        <v>133</v>
      </c>
      <c r="B51" s="8" t="s">
        <v>134</v>
      </c>
      <c r="C51" s="9" t="s">
        <v>41</v>
      </c>
      <c r="D51" s="9" t="s">
        <v>131</v>
      </c>
      <c r="E51" s="9" t="s">
        <v>132</v>
      </c>
      <c r="F51" s="9" t="s">
        <v>44</v>
      </c>
      <c r="G51" s="10" t="s">
        <v>17</v>
      </c>
      <c r="H51" s="10" t="s">
        <v>17</v>
      </c>
      <c r="I51" s="10" t="s">
        <v>17</v>
      </c>
      <c r="J51" s="11" t="str">
        <f aca="false">IF(IFERROR(K51,7)=7,"",RIGHT(K51,LEN(K51)-2)&amp;".")</f>
        <v>/A.</v>
      </c>
      <c r="K51" s="10" t="str">
        <f aca="false">IFERROR(__xludf.dummyfunction("CONCATENATE(ArrayFormula(""; ""&amp;QUERY(Hallazgos!A:F,""SELECT B WHERE E CONTAINS '""&amp;B51&amp;""' LABEL B ''"")))"),"#N/A")</f>
        <v>#N/A</v>
      </c>
    </row>
    <row r="52" customFormat="false" ht="15.75" hidden="false" customHeight="true" outlineLevel="0" collapsed="false">
      <c r="A52" s="7" t="s">
        <v>135</v>
      </c>
      <c r="B52" s="8" t="s">
        <v>136</v>
      </c>
      <c r="C52" s="9" t="s">
        <v>41</v>
      </c>
      <c r="D52" s="9" t="s">
        <v>131</v>
      </c>
      <c r="E52" s="9" t="s">
        <v>81</v>
      </c>
      <c r="F52" s="9" t="s">
        <v>73</v>
      </c>
      <c r="G52" s="10" t="s">
        <v>17</v>
      </c>
      <c r="H52" s="10" t="s">
        <v>17</v>
      </c>
      <c r="I52" s="10" t="s">
        <v>17</v>
      </c>
      <c r="J52" s="11" t="str">
        <f aca="false">IF(IFERROR(K52,7)=7,"",RIGHT(K52,LEN(K52)-2)&amp;".")</f>
        <v>/A.</v>
      </c>
      <c r="K52" s="10" t="str">
        <f aca="false">IFERROR(__xludf.dummyfunction("CONCATENATE(ArrayFormula(""; ""&amp;QUERY(Hallazgos!A:F,""SELECT B WHERE E CONTAINS '""&amp;B52&amp;""' LABEL B ''"")))"),"#N/A")</f>
        <v>#N/A</v>
      </c>
    </row>
    <row r="53" customFormat="false" ht="15.75" hidden="false" customHeight="true" outlineLevel="0" collapsed="false">
      <c r="A53" s="7" t="s">
        <v>137</v>
      </c>
      <c r="B53" s="8" t="s">
        <v>138</v>
      </c>
      <c r="C53" s="9" t="s">
        <v>38</v>
      </c>
      <c r="D53" s="9" t="s">
        <v>131</v>
      </c>
      <c r="E53" s="9" t="s">
        <v>76</v>
      </c>
      <c r="F53" s="9" t="s">
        <v>73</v>
      </c>
      <c r="G53" s="10" t="s">
        <v>17</v>
      </c>
      <c r="H53" s="10" t="s">
        <v>17</v>
      </c>
      <c r="I53" s="10" t="s">
        <v>17</v>
      </c>
      <c r="J53" s="11" t="str">
        <f aca="false">IF(IFERROR(K53,7)=7,"",RIGHT(K53,LEN(K53)-2)&amp;".")</f>
        <v>/A.</v>
      </c>
      <c r="K53" s="10" t="str">
        <f aca="false">IFERROR(__xludf.dummyfunction("CONCATENATE(ArrayFormula(""; ""&amp;QUERY(Hallazgos!A:F,""SELECT B WHERE E CONTAINS '""&amp;B53&amp;""' LABEL B ''"")))"),"#N/A")</f>
        <v>#N/A</v>
      </c>
    </row>
    <row r="54" customFormat="false" ht="15.75" hidden="false" customHeight="true" outlineLevel="0" collapsed="false">
      <c r="A54" s="7" t="s">
        <v>139</v>
      </c>
      <c r="B54" s="8" t="s">
        <v>140</v>
      </c>
      <c r="C54" s="9" t="s">
        <v>38</v>
      </c>
      <c r="D54" s="9" t="s">
        <v>131</v>
      </c>
      <c r="E54" s="9" t="s">
        <v>81</v>
      </c>
      <c r="F54" s="9" t="s">
        <v>44</v>
      </c>
      <c r="G54" s="10" t="s">
        <v>17</v>
      </c>
      <c r="H54" s="10" t="s">
        <v>17</v>
      </c>
      <c r="I54" s="10" t="s">
        <v>17</v>
      </c>
      <c r="J54" s="11" t="str">
        <f aca="false">IF(IFERROR(K54,7)=7,"",RIGHT(K54,LEN(K54)-2)&amp;".")</f>
        <v>/A.</v>
      </c>
      <c r="K54" s="10" t="str">
        <f aca="false">IFERROR(__xludf.dummyfunction("CONCATENATE(ArrayFormula(""; ""&amp;QUERY(Hallazgos!A:F,""SELECT B WHERE E CONTAINS '""&amp;B54&amp;""' LABEL B ''"")))"),"#N/A")</f>
        <v>#N/A</v>
      </c>
    </row>
    <row r="55" customFormat="false" ht="15.75" hidden="false" customHeight="true" outlineLevel="0" collapsed="false">
      <c r="A55" s="7" t="s">
        <v>141</v>
      </c>
      <c r="B55" s="8" t="s">
        <v>142</v>
      </c>
      <c r="C55" s="9" t="s">
        <v>38</v>
      </c>
      <c r="D55" s="9" t="s">
        <v>131</v>
      </c>
      <c r="E55" s="9" t="s">
        <v>15</v>
      </c>
      <c r="F55" s="9" t="s">
        <v>44</v>
      </c>
      <c r="G55" s="10" t="s">
        <v>17</v>
      </c>
      <c r="H55" s="10" t="s">
        <v>17</v>
      </c>
      <c r="I55" s="10" t="s">
        <v>17</v>
      </c>
      <c r="J55" s="11" t="str">
        <f aca="false">IF(IFERROR(K55,7)=7,"",RIGHT(K55,LEN(K55)-2)&amp;".")</f>
        <v>/A.</v>
      </c>
      <c r="K55" s="10" t="str">
        <f aca="false">IFERROR(__xludf.dummyfunction("CONCATENATE(ArrayFormula(""; ""&amp;QUERY(Hallazgos!A:F,""SELECT B WHERE E CONTAINS '""&amp;B55&amp;""' LABEL B ''"")))"),"#N/A")</f>
        <v>#N/A</v>
      </c>
    </row>
    <row r="56" customFormat="false" ht="15.75" hidden="false" customHeight="true" outlineLevel="0" collapsed="false">
      <c r="A56" s="7" t="s">
        <v>143</v>
      </c>
      <c r="B56" s="8" t="s">
        <v>144</v>
      </c>
      <c r="C56" s="9" t="s">
        <v>38</v>
      </c>
      <c r="D56" s="9" t="s">
        <v>131</v>
      </c>
      <c r="E56" s="9" t="s">
        <v>15</v>
      </c>
      <c r="F56" s="9" t="s">
        <v>44</v>
      </c>
      <c r="G56" s="10" t="s">
        <v>17</v>
      </c>
      <c r="H56" s="10" t="s">
        <v>17</v>
      </c>
      <c r="I56" s="10" t="s">
        <v>17</v>
      </c>
      <c r="J56" s="11" t="str">
        <f aca="false">IF(IFERROR(K56,7)=7,"",RIGHT(K56,LEN(K56)-2)&amp;".")</f>
        <v>/A.</v>
      </c>
      <c r="K56" s="10" t="str">
        <f aca="false">IFERROR(__xludf.dummyfunction("CONCATENATE(ArrayFormula(""; ""&amp;QUERY(Hallazgos!A:F,""SELECT B WHERE E CONTAINS '""&amp;B56&amp;""' LABEL B ''"")))"),"#N/A")</f>
        <v>#N/A</v>
      </c>
    </row>
    <row r="57" customFormat="false" ht="15.75" hidden="false" customHeight="true" outlineLevel="0" collapsed="false">
      <c r="A57" s="7" t="s">
        <v>145</v>
      </c>
      <c r="B57" s="8" t="s">
        <v>146</v>
      </c>
      <c r="C57" s="9" t="s">
        <v>38</v>
      </c>
      <c r="D57" s="9" t="s">
        <v>131</v>
      </c>
      <c r="E57" s="9" t="s">
        <v>15</v>
      </c>
      <c r="F57" s="9" t="s">
        <v>44</v>
      </c>
      <c r="G57" s="10" t="s">
        <v>17</v>
      </c>
      <c r="H57" s="10" t="s">
        <v>17</v>
      </c>
      <c r="I57" s="10" t="s">
        <v>17</v>
      </c>
      <c r="J57" s="11" t="str">
        <f aca="false">IF(IFERROR(K57,7)=7,"",RIGHT(K57,LEN(K57)-2)&amp;".")</f>
        <v>/A.</v>
      </c>
      <c r="K57" s="10" t="str">
        <f aca="false">IFERROR(__xludf.dummyfunction("CONCATENATE(ArrayFormula(""; ""&amp;QUERY(Hallazgos!A:F,""SELECT B WHERE E CONTAINS '""&amp;B57&amp;""' LABEL B ''"")))"),"#N/A")</f>
        <v>#N/A</v>
      </c>
    </row>
    <row r="58" customFormat="false" ht="15.75" hidden="false" customHeight="true" outlineLevel="0" collapsed="false">
      <c r="A58" s="7" t="s">
        <v>147</v>
      </c>
      <c r="B58" s="8" t="s">
        <v>148</v>
      </c>
      <c r="C58" s="9" t="s">
        <v>38</v>
      </c>
      <c r="D58" s="9" t="s">
        <v>131</v>
      </c>
      <c r="E58" s="9" t="s">
        <v>15</v>
      </c>
      <c r="F58" s="9" t="s">
        <v>44</v>
      </c>
      <c r="G58" s="10" t="s">
        <v>17</v>
      </c>
      <c r="H58" s="10" t="s">
        <v>17</v>
      </c>
      <c r="I58" s="10" t="s">
        <v>17</v>
      </c>
      <c r="J58" s="11" t="str">
        <f aca="false">IF(IFERROR(K58,7)=7,"",RIGHT(K58,LEN(K58)-2)&amp;".")</f>
        <v>/A.</v>
      </c>
      <c r="K58" s="10" t="str">
        <f aca="false">IFERROR(__xludf.dummyfunction("CONCATENATE(ArrayFormula(""; ""&amp;QUERY(Hallazgos!A:F,""SELECT B WHERE E CONTAINS '""&amp;B58&amp;""' LABEL B ''"")))"),"#N/A")</f>
        <v>#N/A</v>
      </c>
    </row>
    <row r="59" customFormat="false" ht="15.75" hidden="false" customHeight="true" outlineLevel="0" collapsed="false">
      <c r="A59" s="7" t="s">
        <v>149</v>
      </c>
      <c r="B59" s="8" t="s">
        <v>150</v>
      </c>
      <c r="C59" s="9" t="s">
        <v>38</v>
      </c>
      <c r="D59" s="9" t="s">
        <v>131</v>
      </c>
      <c r="E59" s="9" t="s">
        <v>15</v>
      </c>
      <c r="F59" s="9" t="s">
        <v>44</v>
      </c>
      <c r="G59" s="10" t="s">
        <v>17</v>
      </c>
      <c r="H59" s="10" t="s">
        <v>17</v>
      </c>
      <c r="I59" s="10" t="s">
        <v>17</v>
      </c>
      <c r="J59" s="11" t="str">
        <f aca="false">IF(IFERROR(K59,7)=7,"",RIGHT(K59,LEN(K59)-2)&amp;".")</f>
        <v>/A.</v>
      </c>
      <c r="K59" s="10" t="str">
        <f aca="false">IFERROR(__xludf.dummyfunction("CONCATENATE(ArrayFormula(""; ""&amp;QUERY(Hallazgos!A:F,""SELECT B WHERE E CONTAINS '""&amp;B59&amp;""' LABEL B ''"")))"),"#N/A")</f>
        <v>#N/A</v>
      </c>
    </row>
    <row r="60" customFormat="false" ht="15.75" hidden="false" customHeight="true" outlineLevel="0" collapsed="false">
      <c r="A60" s="7" t="s">
        <v>151</v>
      </c>
      <c r="B60" s="8" t="s">
        <v>152</v>
      </c>
      <c r="C60" s="9" t="s">
        <v>38</v>
      </c>
      <c r="D60" s="9" t="s">
        <v>131</v>
      </c>
      <c r="E60" s="9" t="s">
        <v>15</v>
      </c>
      <c r="F60" s="9" t="s">
        <v>44</v>
      </c>
      <c r="G60" s="10" t="s">
        <v>17</v>
      </c>
      <c r="H60" s="10" t="s">
        <v>17</v>
      </c>
      <c r="I60" s="10" t="s">
        <v>17</v>
      </c>
      <c r="J60" s="11" t="str">
        <f aca="false">IF(IFERROR(K60,7)=7,"",RIGHT(K60,LEN(K60)-2)&amp;".")</f>
        <v>/A.</v>
      </c>
      <c r="K60" s="10" t="str">
        <f aca="false">IFERROR(__xludf.dummyfunction("CONCATENATE(ArrayFormula(""; ""&amp;QUERY(Hallazgos!A:F,""SELECT B WHERE E CONTAINS '""&amp;B60&amp;""' LABEL B ''"")))"),"#N/A")</f>
        <v>#N/A</v>
      </c>
    </row>
    <row r="61" customFormat="false" ht="15.75" hidden="false" customHeight="true" outlineLevel="0" collapsed="false">
      <c r="A61" s="7" t="s">
        <v>153</v>
      </c>
      <c r="B61" s="8" t="s">
        <v>154</v>
      </c>
      <c r="C61" s="9" t="s">
        <v>38</v>
      </c>
      <c r="D61" s="9" t="s">
        <v>131</v>
      </c>
      <c r="E61" s="9" t="s">
        <v>15</v>
      </c>
      <c r="F61" s="9" t="s">
        <v>44</v>
      </c>
      <c r="G61" s="10" t="s">
        <v>17</v>
      </c>
      <c r="H61" s="10" t="s">
        <v>17</v>
      </c>
      <c r="I61" s="10" t="s">
        <v>17</v>
      </c>
      <c r="J61" s="11" t="str">
        <f aca="false">IF(IFERROR(K61,7)=7,"",RIGHT(K61,LEN(K61)-2)&amp;".")</f>
        <v>/A.</v>
      </c>
      <c r="K61" s="10" t="str">
        <f aca="false">IFERROR(__xludf.dummyfunction("CONCATENATE(ArrayFormula(""; ""&amp;QUERY(Hallazgos!A:F,""SELECT B WHERE E CONTAINS '""&amp;B61&amp;""' LABEL B ''"")))"),"#N/A")</f>
        <v>#N/A</v>
      </c>
    </row>
    <row r="62" customFormat="false" ht="15.75" hidden="false" customHeight="true" outlineLevel="0" collapsed="false">
      <c r="A62" s="7" t="s">
        <v>155</v>
      </c>
      <c r="B62" s="8" t="s">
        <v>156</v>
      </c>
      <c r="C62" s="9" t="s">
        <v>38</v>
      </c>
      <c r="D62" s="9" t="s">
        <v>131</v>
      </c>
      <c r="E62" s="9" t="s">
        <v>15</v>
      </c>
      <c r="F62" s="9" t="s">
        <v>44</v>
      </c>
      <c r="G62" s="10" t="s">
        <v>17</v>
      </c>
      <c r="H62" s="10" t="s">
        <v>17</v>
      </c>
      <c r="I62" s="10" t="s">
        <v>17</v>
      </c>
      <c r="J62" s="11" t="str">
        <f aca="false">IF(IFERROR(K62,7)=7,"",RIGHT(K62,LEN(K62)-2)&amp;".")</f>
        <v>/A.</v>
      </c>
      <c r="K62" s="10" t="str">
        <f aca="false">IFERROR(__xludf.dummyfunction("CONCATENATE(ArrayFormula(""; ""&amp;QUERY(Hallazgos!A:F,""SELECT B WHERE E CONTAINS '""&amp;B62&amp;""' LABEL B ''"")))"),"#N/A")</f>
        <v>#N/A</v>
      </c>
    </row>
    <row r="63" customFormat="false" ht="15.75" hidden="false" customHeight="true" outlineLevel="0" collapsed="false">
      <c r="A63" s="7" t="s">
        <v>157</v>
      </c>
      <c r="B63" s="8" t="s">
        <v>158</v>
      </c>
      <c r="C63" s="9" t="s">
        <v>38</v>
      </c>
      <c r="D63" s="9" t="s">
        <v>131</v>
      </c>
      <c r="E63" s="9" t="s">
        <v>132</v>
      </c>
      <c r="F63" s="9" t="s">
        <v>55</v>
      </c>
      <c r="G63" s="10" t="s">
        <v>17</v>
      </c>
      <c r="H63" s="10" t="s">
        <v>17</v>
      </c>
      <c r="I63" s="10" t="s">
        <v>17</v>
      </c>
      <c r="J63" s="11" t="str">
        <f aca="false">IF(IFERROR(K63,7)=7,"",RIGHT(K63,LEN(K63)-2)&amp;".")</f>
        <v>/A.</v>
      </c>
      <c r="K63" s="10" t="str">
        <f aca="false">IFERROR(__xludf.dummyfunction("CONCATENATE(ArrayFormula(""; ""&amp;QUERY(Hallazgos!A:F,""SELECT B WHERE E CONTAINS '""&amp;B63&amp;""' LABEL B ''"")))"),"#N/A")</f>
        <v>#N/A</v>
      </c>
    </row>
    <row r="64" customFormat="false" ht="15.75" hidden="false" customHeight="true" outlineLevel="0" collapsed="false">
      <c r="A64" s="7" t="s">
        <v>159</v>
      </c>
      <c r="B64" s="8" t="s">
        <v>160</v>
      </c>
      <c r="C64" s="9" t="s">
        <v>38</v>
      </c>
      <c r="D64" s="9" t="s">
        <v>131</v>
      </c>
      <c r="E64" s="9" t="s">
        <v>15</v>
      </c>
      <c r="F64" s="9" t="s">
        <v>73</v>
      </c>
      <c r="G64" s="10" t="s">
        <v>17</v>
      </c>
      <c r="H64" s="10" t="s">
        <v>17</v>
      </c>
      <c r="I64" s="10" t="s">
        <v>17</v>
      </c>
      <c r="J64" s="11" t="str">
        <f aca="false">IF(IFERROR(K64,7)=7,"",RIGHT(K64,LEN(K64)-2)&amp;".")</f>
        <v>/A.</v>
      </c>
      <c r="K64" s="10" t="str">
        <f aca="false">IFERROR(__xludf.dummyfunction("CONCATENATE(ArrayFormula(""; ""&amp;QUERY(Hallazgos!A:F,""SELECT B WHERE E CONTAINS '""&amp;B64&amp;""' LABEL B ''"")))"),"#N/A")</f>
        <v>#N/A</v>
      </c>
    </row>
    <row r="65" customFormat="false" ht="15.75" hidden="false" customHeight="true" outlineLevel="0" collapsed="false">
      <c r="A65" s="7" t="s">
        <v>161</v>
      </c>
      <c r="B65" s="8" t="s">
        <v>162</v>
      </c>
      <c r="C65" s="9" t="s">
        <v>38</v>
      </c>
      <c r="D65" s="9" t="s">
        <v>131</v>
      </c>
      <c r="E65" s="9" t="s">
        <v>15</v>
      </c>
      <c r="F65" s="9" t="s">
        <v>49</v>
      </c>
      <c r="G65" s="10" t="s">
        <v>17</v>
      </c>
      <c r="H65" s="10" t="s">
        <v>17</v>
      </c>
      <c r="I65" s="10" t="s">
        <v>17</v>
      </c>
      <c r="J65" s="11" t="str">
        <f aca="false">IF(IFERROR(K65,7)=7,"",RIGHT(K65,LEN(K65)-2)&amp;".")</f>
        <v>/A.</v>
      </c>
      <c r="K65" s="10" t="str">
        <f aca="false">IFERROR(__xludf.dummyfunction("CONCATENATE(ArrayFormula(""; ""&amp;QUERY(Hallazgos!A:F,""SELECT B WHERE E CONTAINS '""&amp;B65&amp;""' LABEL B ''"")))"),"#N/A")</f>
        <v>#N/A</v>
      </c>
    </row>
    <row r="66" customFormat="false" ht="15.75" hidden="false" customHeight="true" outlineLevel="0" collapsed="false">
      <c r="A66" s="7" t="s">
        <v>163</v>
      </c>
      <c r="B66" s="8" t="s">
        <v>164</v>
      </c>
      <c r="C66" s="9" t="s">
        <v>38</v>
      </c>
      <c r="D66" s="9" t="s">
        <v>131</v>
      </c>
      <c r="E66" s="9" t="s">
        <v>15</v>
      </c>
      <c r="F66" s="9" t="s">
        <v>49</v>
      </c>
      <c r="G66" s="10" t="s">
        <v>17</v>
      </c>
      <c r="H66" s="10" t="s">
        <v>17</v>
      </c>
      <c r="I66" s="10" t="s">
        <v>17</v>
      </c>
      <c r="J66" s="11" t="str">
        <f aca="false">IF(IFERROR(K66,7)=7,"",RIGHT(K66,LEN(K66)-2)&amp;".")</f>
        <v>/A.</v>
      </c>
      <c r="K66" s="10" t="str">
        <f aca="false">IFERROR(__xludf.dummyfunction("CONCATENATE(ArrayFormula(""; ""&amp;QUERY(Hallazgos!A:F,""SELECT B WHERE E CONTAINS '""&amp;B66&amp;""' LABEL B ''"")))"),"#N/A")</f>
        <v>#N/A</v>
      </c>
    </row>
    <row r="67" customFormat="false" ht="15.75" hidden="false" customHeight="true" outlineLevel="0" collapsed="false">
      <c r="A67" s="7" t="s">
        <v>165</v>
      </c>
      <c r="B67" s="8" t="s">
        <v>166</v>
      </c>
      <c r="C67" s="9" t="s">
        <v>38</v>
      </c>
      <c r="D67" s="9" t="s">
        <v>131</v>
      </c>
      <c r="E67" s="9" t="s">
        <v>15</v>
      </c>
      <c r="F67" s="9" t="s">
        <v>49</v>
      </c>
      <c r="G67" s="10" t="s">
        <v>17</v>
      </c>
      <c r="H67" s="10" t="s">
        <v>17</v>
      </c>
      <c r="I67" s="10" t="s">
        <v>17</v>
      </c>
      <c r="J67" s="11" t="str">
        <f aca="false">IF(IFERROR(K67,7)=7,"",RIGHT(K67,LEN(K67)-2)&amp;".")</f>
        <v>/A.</v>
      </c>
      <c r="K67" s="10" t="str">
        <f aca="false">IFERROR(__xludf.dummyfunction("CONCATENATE(ArrayFormula(""; ""&amp;QUERY(Hallazgos!A:F,""SELECT B WHERE E CONTAINS '""&amp;B67&amp;""' LABEL B ''"")))"),"#N/A")</f>
        <v>#N/A</v>
      </c>
    </row>
    <row r="68" customFormat="false" ht="15.75" hidden="false" customHeight="true" outlineLevel="0" collapsed="false">
      <c r="A68" s="7" t="s">
        <v>167</v>
      </c>
      <c r="B68" s="8" t="s">
        <v>168</v>
      </c>
      <c r="C68" s="9" t="s">
        <v>38</v>
      </c>
      <c r="D68" s="9" t="s">
        <v>131</v>
      </c>
      <c r="E68" s="9" t="s">
        <v>15</v>
      </c>
      <c r="F68" s="9" t="s">
        <v>49</v>
      </c>
      <c r="G68" s="10" t="s">
        <v>17</v>
      </c>
      <c r="H68" s="10" t="s">
        <v>17</v>
      </c>
      <c r="I68" s="10" t="s">
        <v>17</v>
      </c>
      <c r="J68" s="11" t="str">
        <f aca="false">IF(IFERROR(K68,7)=7,"",RIGHT(K68,LEN(K68)-2)&amp;".")</f>
        <v>/A.</v>
      </c>
      <c r="K68" s="10" t="str">
        <f aca="false">IFERROR(__xludf.dummyfunction("CONCATENATE(ArrayFormula(""; ""&amp;QUERY(Hallazgos!A:F,""SELECT B WHERE E CONTAINS '""&amp;B68&amp;""' LABEL B ''"")))"),"#N/A")</f>
        <v>#N/A</v>
      </c>
    </row>
    <row r="69" customFormat="false" ht="15.75" hidden="false" customHeight="true" outlineLevel="0" collapsed="false">
      <c r="A69" s="7" t="s">
        <v>169</v>
      </c>
      <c r="B69" s="8" t="s">
        <v>170</v>
      </c>
      <c r="C69" s="9" t="s">
        <v>38</v>
      </c>
      <c r="D69" s="9" t="s">
        <v>131</v>
      </c>
      <c r="E69" s="9" t="s">
        <v>15</v>
      </c>
      <c r="F69" s="9" t="s">
        <v>49</v>
      </c>
      <c r="G69" s="10" t="s">
        <v>17</v>
      </c>
      <c r="H69" s="10" t="s">
        <v>17</v>
      </c>
      <c r="I69" s="10" t="s">
        <v>17</v>
      </c>
      <c r="J69" s="11" t="str">
        <f aca="false">IF(IFERROR(K69,7)=7,"",RIGHT(K69,LEN(K69)-2)&amp;".")</f>
        <v>/A.</v>
      </c>
      <c r="K69" s="10" t="str">
        <f aca="false">IFERROR(__xludf.dummyfunction("CONCATENATE(ArrayFormula(""; ""&amp;QUERY(Hallazgos!A:F,""SELECT B WHERE E CONTAINS '""&amp;B69&amp;""' LABEL B ''"")))"),"#N/A")</f>
        <v>#N/A</v>
      </c>
    </row>
    <row r="70" customFormat="false" ht="15.75" hidden="false" customHeight="true" outlineLevel="0" collapsed="false">
      <c r="A70" s="7" t="s">
        <v>171</v>
      </c>
      <c r="B70" s="8" t="s">
        <v>172</v>
      </c>
      <c r="C70" s="9" t="s">
        <v>38</v>
      </c>
      <c r="D70" s="9" t="s">
        <v>131</v>
      </c>
      <c r="E70" s="9" t="s">
        <v>15</v>
      </c>
      <c r="F70" s="9" t="s">
        <v>49</v>
      </c>
      <c r="G70" s="10" t="s">
        <v>17</v>
      </c>
      <c r="H70" s="10" t="s">
        <v>17</v>
      </c>
      <c r="I70" s="10" t="s">
        <v>17</v>
      </c>
      <c r="J70" s="11" t="str">
        <f aca="false">IF(IFERROR(K70,7)=7,"",RIGHT(K70,LEN(K70)-2)&amp;".")</f>
        <v>/A.</v>
      </c>
      <c r="K70" s="10" t="str">
        <f aca="false">IFERROR(__xludf.dummyfunction("CONCATENATE(ArrayFormula(""; ""&amp;QUERY(Hallazgos!A:F,""SELECT B WHERE E CONTAINS '""&amp;B70&amp;""' LABEL B ''"")))"),"#N/A")</f>
        <v>#N/A</v>
      </c>
    </row>
    <row r="71" customFormat="false" ht="15.75" hidden="false" customHeight="true" outlineLevel="0" collapsed="false">
      <c r="A71" s="7" t="s">
        <v>173</v>
      </c>
      <c r="B71" s="8" t="s">
        <v>174</v>
      </c>
      <c r="C71" s="9" t="s">
        <v>38</v>
      </c>
      <c r="D71" s="9" t="s">
        <v>131</v>
      </c>
      <c r="E71" s="9" t="s">
        <v>54</v>
      </c>
      <c r="F71" s="9" t="s">
        <v>49</v>
      </c>
      <c r="G71" s="10" t="s">
        <v>17</v>
      </c>
      <c r="H71" s="10" t="s">
        <v>17</v>
      </c>
      <c r="I71" s="10" t="s">
        <v>17</v>
      </c>
      <c r="J71" s="11" t="str">
        <f aca="false">IF(IFERROR(K71,7)=7,"",RIGHT(K71,LEN(K71)-2)&amp;".")</f>
        <v>/A.</v>
      </c>
      <c r="K71" s="10" t="str">
        <f aca="false">IFERROR(__xludf.dummyfunction("CONCATENATE(ArrayFormula(""; ""&amp;QUERY(Hallazgos!A:F,""SELECT B WHERE E CONTAINS '""&amp;B71&amp;""' LABEL B ''"")))"),"#N/A")</f>
        <v>#N/A</v>
      </c>
    </row>
    <row r="72" customFormat="false" ht="15.75" hidden="false" customHeight="true" outlineLevel="0" collapsed="false">
      <c r="A72" s="7" t="s">
        <v>175</v>
      </c>
      <c r="B72" s="8" t="s">
        <v>176</v>
      </c>
      <c r="C72" s="9" t="s">
        <v>38</v>
      </c>
      <c r="D72" s="9" t="s">
        <v>131</v>
      </c>
      <c r="E72" s="9" t="s">
        <v>15</v>
      </c>
      <c r="F72" s="9" t="s">
        <v>49</v>
      </c>
      <c r="G72" s="10" t="s">
        <v>17</v>
      </c>
      <c r="H72" s="10" t="s">
        <v>17</v>
      </c>
      <c r="I72" s="10" t="s">
        <v>17</v>
      </c>
      <c r="J72" s="11" t="str">
        <f aca="false">IF(IFERROR(K72,7)=7,"",RIGHT(K72,LEN(K72)-2)&amp;".")</f>
        <v>/A.</v>
      </c>
      <c r="K72" s="10" t="str">
        <f aca="false">IFERROR(__xludf.dummyfunction("CONCATENATE(ArrayFormula(""; ""&amp;QUERY(Hallazgos!A:F,""SELECT B WHERE E CONTAINS '""&amp;B72&amp;""' LABEL B ''"")))"),"#N/A")</f>
        <v>#N/A</v>
      </c>
    </row>
    <row r="73" customFormat="false" ht="15.75" hidden="false" customHeight="true" outlineLevel="0" collapsed="false">
      <c r="A73" s="7" t="s">
        <v>177</v>
      </c>
      <c r="B73" s="8" t="s">
        <v>178</v>
      </c>
      <c r="C73" s="9" t="s">
        <v>38</v>
      </c>
      <c r="D73" s="9" t="s">
        <v>131</v>
      </c>
      <c r="E73" s="9" t="s">
        <v>132</v>
      </c>
      <c r="F73" s="9" t="s">
        <v>49</v>
      </c>
      <c r="G73" s="10" t="s">
        <v>17</v>
      </c>
      <c r="H73" s="10" t="s">
        <v>17</v>
      </c>
      <c r="I73" s="10" t="s">
        <v>17</v>
      </c>
      <c r="J73" s="11" t="str">
        <f aca="false">IF(IFERROR(K73,7)=7,"",RIGHT(K73,LEN(K73)-2)&amp;".")</f>
        <v>/A.</v>
      </c>
      <c r="K73" s="10" t="str">
        <f aca="false">IFERROR(__xludf.dummyfunction("CONCATENATE(ArrayFormula(""; ""&amp;QUERY(Hallazgos!A:F,""SELECT B WHERE E CONTAINS '""&amp;B73&amp;""' LABEL B ''"")))"),"#N/A")</f>
        <v>#N/A</v>
      </c>
    </row>
    <row r="74" customFormat="false" ht="15.75" hidden="false" customHeight="true" outlineLevel="0" collapsed="false">
      <c r="A74" s="7" t="s">
        <v>179</v>
      </c>
      <c r="B74" s="8" t="s">
        <v>180</v>
      </c>
      <c r="C74" s="9" t="s">
        <v>41</v>
      </c>
      <c r="D74" s="9" t="s">
        <v>131</v>
      </c>
      <c r="E74" s="9" t="s">
        <v>181</v>
      </c>
      <c r="F74" s="9" t="s">
        <v>44</v>
      </c>
      <c r="G74" s="10" t="s">
        <v>17</v>
      </c>
      <c r="H74" s="10" t="s">
        <v>17</v>
      </c>
      <c r="I74" s="10" t="s">
        <v>17</v>
      </c>
      <c r="J74" s="11" t="str">
        <f aca="false">IF(IFERROR(K74,7)=7,"",RIGHT(K74,LEN(K74)-2)&amp;".")</f>
        <v>/A.</v>
      </c>
      <c r="K74" s="10" t="str">
        <f aca="false">IFERROR(__xludf.dummyfunction("CONCATENATE(ArrayFormula(""; ""&amp;QUERY(Hallazgos!A:F,""SELECT B WHERE E CONTAINS '""&amp;B74&amp;""' LABEL B ''"")))"),"#N/A")</f>
        <v>#N/A</v>
      </c>
    </row>
    <row r="75" customFormat="false" ht="15.75" hidden="false" customHeight="true" outlineLevel="0" collapsed="false">
      <c r="A75" s="7" t="s">
        <v>182</v>
      </c>
      <c r="B75" s="8" t="s">
        <v>183</v>
      </c>
      <c r="C75" s="9" t="s">
        <v>41</v>
      </c>
      <c r="D75" s="9" t="s">
        <v>131</v>
      </c>
      <c r="E75" s="9" t="s">
        <v>184</v>
      </c>
      <c r="F75" s="9" t="s">
        <v>44</v>
      </c>
      <c r="G75" s="10" t="s">
        <v>17</v>
      </c>
      <c r="H75" s="10" t="s">
        <v>17</v>
      </c>
      <c r="I75" s="10" t="s">
        <v>17</v>
      </c>
      <c r="J75" s="11" t="str">
        <f aca="false">IF(IFERROR(K75,7)=7,"",RIGHT(K75,LEN(K75)-2)&amp;".")</f>
        <v>/A.</v>
      </c>
      <c r="K75" s="10" t="str">
        <f aca="false">IFERROR(__xludf.dummyfunction("CONCATENATE(ArrayFormula(""; ""&amp;QUERY(Hallazgos!A:F,""SELECT B WHERE E CONTAINS '""&amp;B75&amp;""' LABEL B ''"")))"),"#N/A")</f>
        <v>#N/A</v>
      </c>
    </row>
    <row r="76" customFormat="false" ht="15.75" hidden="false" customHeight="true" outlineLevel="0" collapsed="false">
      <c r="A76" s="7" t="s">
        <v>185</v>
      </c>
      <c r="B76" s="8" t="s">
        <v>186</v>
      </c>
      <c r="C76" s="9" t="s">
        <v>38</v>
      </c>
      <c r="D76" s="9" t="s">
        <v>131</v>
      </c>
      <c r="E76" s="9" t="s">
        <v>111</v>
      </c>
      <c r="F76" s="9" t="s">
        <v>55</v>
      </c>
      <c r="G76" s="10" t="s">
        <v>17</v>
      </c>
      <c r="H76" s="10" t="s">
        <v>17</v>
      </c>
      <c r="I76" s="10" t="s">
        <v>17</v>
      </c>
      <c r="J76" s="11" t="str">
        <f aca="false">IF(IFERROR(K76,7)=7,"",RIGHT(K76,LEN(K76)-2)&amp;".")</f>
        <v>/A.</v>
      </c>
      <c r="K76" s="10" t="str">
        <f aca="false">IFERROR(__xludf.dummyfunction("CONCATENATE(ArrayFormula(""; ""&amp;QUERY(Hallazgos!A:F,""SELECT B WHERE E CONTAINS '""&amp;B76&amp;""' LABEL B ''"")))"),"#N/A")</f>
        <v>#N/A</v>
      </c>
    </row>
    <row r="77" customFormat="false" ht="15.75" hidden="false" customHeight="true" outlineLevel="0" collapsed="false">
      <c r="A77" s="7" t="s">
        <v>187</v>
      </c>
      <c r="B77" s="8" t="s">
        <v>188</v>
      </c>
      <c r="C77" s="9" t="s">
        <v>41</v>
      </c>
      <c r="D77" s="9" t="s">
        <v>189</v>
      </c>
      <c r="E77" s="9" t="s">
        <v>54</v>
      </c>
      <c r="F77" s="9" t="s">
        <v>55</v>
      </c>
      <c r="G77" s="10" t="s">
        <v>17</v>
      </c>
      <c r="H77" s="10" t="s">
        <v>17</v>
      </c>
      <c r="I77" s="10" t="s">
        <v>17</v>
      </c>
      <c r="J77" s="11" t="str">
        <f aca="false">IF(IFERROR(K77,7)=7,"",RIGHT(K77,LEN(K77)-2)&amp;".")</f>
        <v>/A.</v>
      </c>
      <c r="K77" s="10" t="str">
        <f aca="false">IFERROR(__xludf.dummyfunction("CONCATENATE(ArrayFormula(""; ""&amp;QUERY(Hallazgos!A:F,""SELECT B WHERE E CONTAINS '""&amp;B77&amp;""' LABEL B ''"")))"),"#N/A")</f>
        <v>#N/A</v>
      </c>
    </row>
    <row r="78" customFormat="false" ht="15.75" hidden="false" customHeight="true" outlineLevel="0" collapsed="false">
      <c r="A78" s="7" t="s">
        <v>190</v>
      </c>
      <c r="B78" s="8" t="s">
        <v>191</v>
      </c>
      <c r="C78" s="9" t="s">
        <v>41</v>
      </c>
      <c r="D78" s="9" t="s">
        <v>189</v>
      </c>
      <c r="E78" s="9" t="s">
        <v>192</v>
      </c>
      <c r="F78" s="9" t="s">
        <v>55</v>
      </c>
      <c r="G78" s="10" t="s">
        <v>17</v>
      </c>
      <c r="H78" s="10" t="s">
        <v>17</v>
      </c>
      <c r="I78" s="10" t="s">
        <v>17</v>
      </c>
      <c r="J78" s="11" t="str">
        <f aca="false">IF(IFERROR(K78,7)=7,"",RIGHT(K78,LEN(K78)-2)&amp;".")</f>
        <v>/A.</v>
      </c>
      <c r="K78" s="10" t="str">
        <f aca="false">IFERROR(__xludf.dummyfunction("CONCATENATE(ArrayFormula(""; ""&amp;QUERY(Hallazgos!A:F,""SELECT B WHERE E CONTAINS '""&amp;B78&amp;""' LABEL B ''"")))"),"#N/A")</f>
        <v>#N/A</v>
      </c>
    </row>
    <row r="79" customFormat="false" ht="15.75" hidden="false" customHeight="true" outlineLevel="0" collapsed="false">
      <c r="A79" s="7" t="s">
        <v>193</v>
      </c>
      <c r="B79" s="8" t="s">
        <v>194</v>
      </c>
      <c r="C79" s="9" t="s">
        <v>41</v>
      </c>
      <c r="D79" s="9" t="s">
        <v>189</v>
      </c>
      <c r="E79" s="9" t="s">
        <v>81</v>
      </c>
      <c r="F79" s="9" t="s">
        <v>55</v>
      </c>
      <c r="G79" s="10" t="s">
        <v>17</v>
      </c>
      <c r="H79" s="10" t="s">
        <v>17</v>
      </c>
      <c r="I79" s="10" t="s">
        <v>17</v>
      </c>
      <c r="J79" s="11" t="str">
        <f aca="false">IF(IFERROR(K79,7)=7,"",RIGHT(K79,LEN(K79)-2)&amp;".")</f>
        <v>/A.</v>
      </c>
      <c r="K79" s="10" t="str">
        <f aca="false">IFERROR(__xludf.dummyfunction("CONCATENATE(ArrayFormula(""; ""&amp;QUERY(Hallazgos!A:F,""SELECT B WHERE E CONTAINS '""&amp;B79&amp;""' LABEL B ''"")))"),"#N/A")</f>
        <v>#N/A</v>
      </c>
    </row>
    <row r="80" customFormat="false" ht="15.75" hidden="false" customHeight="true" outlineLevel="0" collapsed="false">
      <c r="A80" s="7" t="s">
        <v>195</v>
      </c>
      <c r="B80" s="8" t="s">
        <v>196</v>
      </c>
      <c r="C80" s="9" t="s">
        <v>41</v>
      </c>
      <c r="D80" s="9" t="s">
        <v>189</v>
      </c>
      <c r="E80" s="9" t="s">
        <v>81</v>
      </c>
      <c r="F80" s="9" t="s">
        <v>55</v>
      </c>
      <c r="G80" s="10" t="s">
        <v>17</v>
      </c>
      <c r="H80" s="10" t="s">
        <v>17</v>
      </c>
      <c r="I80" s="10" t="s">
        <v>17</v>
      </c>
      <c r="J80" s="11" t="str">
        <f aca="false">IF(IFERROR(K80,7)=7,"",RIGHT(K80,LEN(K80)-2)&amp;".")</f>
        <v>/A.</v>
      </c>
      <c r="K80" s="10" t="str">
        <f aca="false">IFERROR(__xludf.dummyfunction("CONCATENATE(ArrayFormula(""; ""&amp;QUERY(Hallazgos!A:F,""SELECT B WHERE E CONTAINS '""&amp;B80&amp;""' LABEL B ''"")))"),"#N/A")</f>
        <v>#N/A</v>
      </c>
    </row>
    <row r="81" customFormat="false" ht="15.75" hidden="false" customHeight="true" outlineLevel="0" collapsed="false">
      <c r="A81" s="7" t="s">
        <v>197</v>
      </c>
      <c r="B81" s="8" t="s">
        <v>198</v>
      </c>
      <c r="C81" s="9" t="s">
        <v>41</v>
      </c>
      <c r="D81" s="9" t="s">
        <v>189</v>
      </c>
      <c r="E81" s="9" t="s">
        <v>54</v>
      </c>
      <c r="F81" s="9" t="s">
        <v>55</v>
      </c>
      <c r="G81" s="10" t="s">
        <v>17</v>
      </c>
      <c r="H81" s="10" t="s">
        <v>17</v>
      </c>
      <c r="I81" s="10" t="s">
        <v>17</v>
      </c>
      <c r="J81" s="11" t="str">
        <f aca="false">IF(IFERROR(K81,7)=7,"",RIGHT(K81,LEN(K81)-2)&amp;".")</f>
        <v>/A.</v>
      </c>
      <c r="K81" s="10" t="str">
        <f aca="false">IFERROR(__xludf.dummyfunction("CONCATENATE(ArrayFormula(""; ""&amp;QUERY(Hallazgos!A:F,""SELECT B WHERE E CONTAINS '""&amp;B81&amp;""' LABEL B ''"")))"),"#N/A")</f>
        <v>#N/A</v>
      </c>
    </row>
    <row r="82" customFormat="false" ht="15.75" hidden="false" customHeight="true" outlineLevel="0" collapsed="false">
      <c r="A82" s="7" t="s">
        <v>199</v>
      </c>
      <c r="B82" s="8" t="s">
        <v>200</v>
      </c>
      <c r="C82" s="9" t="s">
        <v>41</v>
      </c>
      <c r="D82" s="9" t="s">
        <v>189</v>
      </c>
      <c r="E82" s="9" t="s">
        <v>76</v>
      </c>
      <c r="F82" s="9" t="s">
        <v>55</v>
      </c>
      <c r="G82" s="10" t="s">
        <v>17</v>
      </c>
      <c r="H82" s="10" t="s">
        <v>17</v>
      </c>
      <c r="I82" s="10" t="s">
        <v>17</v>
      </c>
      <c r="J82" s="11" t="str">
        <f aca="false">IF(IFERROR(K82,7)=7,"",RIGHT(K82,LEN(K82)-2)&amp;".")</f>
        <v>/A.</v>
      </c>
      <c r="K82" s="10" t="str">
        <f aca="false">IFERROR(__xludf.dummyfunction("CONCATENATE(ArrayFormula(""; ""&amp;QUERY(Hallazgos!A:F,""SELECT B WHERE E CONTAINS '""&amp;B82&amp;""' LABEL B ''"")))"),"#N/A")</f>
        <v>#N/A</v>
      </c>
    </row>
    <row r="83" customFormat="false" ht="15.75" hidden="false" customHeight="true" outlineLevel="0" collapsed="false">
      <c r="A83" s="7" t="s">
        <v>201</v>
      </c>
      <c r="B83" s="8" t="s">
        <v>202</v>
      </c>
      <c r="C83" s="9" t="s">
        <v>38</v>
      </c>
      <c r="D83" s="9" t="s">
        <v>189</v>
      </c>
      <c r="E83" s="9" t="s">
        <v>54</v>
      </c>
      <c r="F83" s="9" t="s">
        <v>55</v>
      </c>
      <c r="G83" s="10" t="s">
        <v>17</v>
      </c>
      <c r="H83" s="10" t="s">
        <v>17</v>
      </c>
      <c r="I83" s="10" t="s">
        <v>17</v>
      </c>
      <c r="J83" s="11" t="str">
        <f aca="false">IF(IFERROR(K83,7)=7,"",RIGHT(K83,LEN(K83)-2)&amp;".")</f>
        <v>/A.</v>
      </c>
      <c r="K83" s="10" t="str">
        <f aca="false">IFERROR(__xludf.dummyfunction("CONCATENATE(ArrayFormula(""; ""&amp;QUERY(Hallazgos!A:F,""SELECT B WHERE E CONTAINS '""&amp;B83&amp;""' LABEL B ''"")))"),"#N/A")</f>
        <v>#N/A</v>
      </c>
    </row>
    <row r="84" customFormat="false" ht="15.75" hidden="false" customHeight="true" outlineLevel="0" collapsed="false">
      <c r="A84" s="7" t="s">
        <v>203</v>
      </c>
      <c r="B84" s="8" t="s">
        <v>204</v>
      </c>
      <c r="C84" s="9" t="s">
        <v>41</v>
      </c>
      <c r="D84" s="9" t="s">
        <v>189</v>
      </c>
      <c r="E84" s="9" t="s">
        <v>76</v>
      </c>
      <c r="F84" s="9" t="s">
        <v>55</v>
      </c>
      <c r="G84" s="10" t="s">
        <v>17</v>
      </c>
      <c r="H84" s="10" t="s">
        <v>17</v>
      </c>
      <c r="I84" s="10" t="s">
        <v>17</v>
      </c>
      <c r="J84" s="11" t="str">
        <f aca="false">IF(IFERROR(K84,7)=7,"",RIGHT(K84,LEN(K84)-2)&amp;".")</f>
        <v>/A.</v>
      </c>
      <c r="K84" s="10" t="str">
        <f aca="false">IFERROR(__xludf.dummyfunction("CONCATENATE(ArrayFormula(""; ""&amp;QUERY(Hallazgos!A:F,""SELECT B WHERE E CONTAINS '""&amp;B84&amp;""' LABEL B ''"")))"),"#N/A")</f>
        <v>#N/A</v>
      </c>
    </row>
    <row r="85" customFormat="false" ht="15.75" hidden="false" customHeight="true" outlineLevel="0" collapsed="false">
      <c r="A85" s="7" t="s">
        <v>205</v>
      </c>
      <c r="B85" s="8" t="s">
        <v>206</v>
      </c>
      <c r="C85" s="9" t="s">
        <v>41</v>
      </c>
      <c r="D85" s="9" t="s">
        <v>189</v>
      </c>
      <c r="E85" s="9" t="s">
        <v>81</v>
      </c>
      <c r="F85" s="9" t="s">
        <v>55</v>
      </c>
      <c r="G85" s="10" t="s">
        <v>17</v>
      </c>
      <c r="H85" s="10" t="s">
        <v>17</v>
      </c>
      <c r="I85" s="10" t="s">
        <v>17</v>
      </c>
      <c r="J85" s="11" t="str">
        <f aca="false">IF(IFERROR(K85,7)=7,"",RIGHT(K85,LEN(K85)-2)&amp;".")</f>
        <v>/A.</v>
      </c>
      <c r="K85" s="10" t="str">
        <f aca="false">IFERROR(__xludf.dummyfunction("CONCATENATE(ArrayFormula(""; ""&amp;QUERY(Hallazgos!A:F,""SELECT B WHERE E CONTAINS '""&amp;B85&amp;""' LABEL B ''"")))"),"#N/A")</f>
        <v>#N/A</v>
      </c>
    </row>
    <row r="86" customFormat="false" ht="15.75" hidden="false" customHeight="true" outlineLevel="0" collapsed="false">
      <c r="A86" s="7" t="s">
        <v>207</v>
      </c>
      <c r="B86" s="8" t="s">
        <v>208</v>
      </c>
      <c r="C86" s="9" t="s">
        <v>41</v>
      </c>
      <c r="D86" s="9" t="s">
        <v>189</v>
      </c>
      <c r="E86" s="9" t="s">
        <v>54</v>
      </c>
      <c r="F86" s="9" t="s">
        <v>55</v>
      </c>
      <c r="G86" s="10" t="s">
        <v>17</v>
      </c>
      <c r="H86" s="10" t="s">
        <v>17</v>
      </c>
      <c r="I86" s="10" t="s">
        <v>17</v>
      </c>
      <c r="J86" s="11" t="str">
        <f aca="false">IF(IFERROR(K86,7)=7,"",RIGHT(K86,LEN(K86)-2)&amp;".")</f>
        <v>/A.</v>
      </c>
      <c r="K86" s="10" t="str">
        <f aca="false">IFERROR(__xludf.dummyfunction("CONCATENATE(ArrayFormula(""; ""&amp;QUERY(Hallazgos!A:F,""SELECT B WHERE E CONTAINS '""&amp;B86&amp;""' LABEL B ''"")))"),"#N/A")</f>
        <v>#N/A</v>
      </c>
    </row>
    <row r="87" customFormat="false" ht="15.75" hidden="false" customHeight="true" outlineLevel="0" collapsed="false">
      <c r="A87" s="7" t="s">
        <v>209</v>
      </c>
      <c r="B87" s="8" t="s">
        <v>210</v>
      </c>
      <c r="C87" s="9" t="s">
        <v>41</v>
      </c>
      <c r="D87" s="9" t="s">
        <v>189</v>
      </c>
      <c r="E87" s="9" t="s">
        <v>54</v>
      </c>
      <c r="F87" s="9" t="s">
        <v>55</v>
      </c>
      <c r="G87" s="10" t="s">
        <v>17</v>
      </c>
      <c r="H87" s="10" t="s">
        <v>17</v>
      </c>
      <c r="I87" s="10" t="s">
        <v>17</v>
      </c>
      <c r="J87" s="11" t="str">
        <f aca="false">IF(IFERROR(K87,7)=7,"",RIGHT(K87,LEN(K87)-2)&amp;".")</f>
        <v>/A.</v>
      </c>
      <c r="K87" s="10" t="str">
        <f aca="false">IFERROR(__xludf.dummyfunction("CONCATENATE(ArrayFormula(""; ""&amp;QUERY(Hallazgos!A:F,""SELECT B WHERE E CONTAINS '""&amp;B87&amp;""' LABEL B ''"")))"),"#N/A")</f>
        <v>#N/A</v>
      </c>
    </row>
    <row r="88" customFormat="false" ht="15.75" hidden="false" customHeight="true" outlineLevel="0" collapsed="false">
      <c r="A88" s="7" t="s">
        <v>211</v>
      </c>
      <c r="B88" s="8" t="s">
        <v>212</v>
      </c>
      <c r="C88" s="9" t="s">
        <v>41</v>
      </c>
      <c r="D88" s="9" t="s">
        <v>189</v>
      </c>
      <c r="E88" s="9" t="s">
        <v>54</v>
      </c>
      <c r="F88" s="9" t="s">
        <v>55</v>
      </c>
      <c r="G88" s="10" t="s">
        <v>17</v>
      </c>
      <c r="H88" s="10" t="s">
        <v>17</v>
      </c>
      <c r="I88" s="10" t="s">
        <v>17</v>
      </c>
      <c r="J88" s="11" t="str">
        <f aca="false">IF(IFERROR(K88,7)=7,"",RIGHT(K88,LEN(K88)-2)&amp;".")</f>
        <v>/A.</v>
      </c>
      <c r="K88" s="10" t="str">
        <f aca="false">IFERROR(__xludf.dummyfunction("CONCATENATE(ArrayFormula(""; ""&amp;QUERY(Hallazgos!A:F,""SELECT B WHERE E CONTAINS '""&amp;B88&amp;""' LABEL B ''"")))"),"#N/A")</f>
        <v>#N/A</v>
      </c>
    </row>
    <row r="89" customFormat="false" ht="15.75" hidden="false" customHeight="true" outlineLevel="0" collapsed="false">
      <c r="A89" s="7" t="s">
        <v>213</v>
      </c>
      <c r="B89" s="8" t="s">
        <v>214</v>
      </c>
      <c r="C89" s="9" t="s">
        <v>38</v>
      </c>
      <c r="D89" s="9" t="s">
        <v>189</v>
      </c>
      <c r="E89" s="9" t="s">
        <v>54</v>
      </c>
      <c r="F89" s="9" t="s">
        <v>55</v>
      </c>
      <c r="G89" s="10" t="s">
        <v>17</v>
      </c>
      <c r="H89" s="10" t="s">
        <v>17</v>
      </c>
      <c r="I89" s="10" t="s">
        <v>17</v>
      </c>
      <c r="J89" s="11" t="str">
        <f aca="false">IF(IFERROR(K89,7)=7,"",RIGHT(K89,LEN(K89)-2)&amp;".")</f>
        <v>/A.</v>
      </c>
      <c r="K89" s="10" t="str">
        <f aca="false">IFERROR(__xludf.dummyfunction("CONCATENATE(ArrayFormula(""; ""&amp;QUERY(Hallazgos!A:F,""SELECT B WHERE E CONTAINS '""&amp;B89&amp;""' LABEL B ''"")))"),"#N/A")</f>
        <v>#N/A</v>
      </c>
    </row>
    <row r="90" customFormat="false" ht="15.75" hidden="false" customHeight="true" outlineLevel="0" collapsed="false">
      <c r="A90" s="7" t="s">
        <v>215</v>
      </c>
      <c r="B90" s="8" t="s">
        <v>216</v>
      </c>
      <c r="C90" s="9" t="s">
        <v>41</v>
      </c>
      <c r="D90" s="9" t="s">
        <v>217</v>
      </c>
      <c r="E90" s="9" t="s">
        <v>88</v>
      </c>
      <c r="F90" s="9" t="s">
        <v>55</v>
      </c>
      <c r="G90" s="10" t="s">
        <v>17</v>
      </c>
      <c r="H90" s="10" t="s">
        <v>17</v>
      </c>
      <c r="I90" s="10" t="s">
        <v>17</v>
      </c>
      <c r="J90" s="11" t="str">
        <f aca="false">IF(IFERROR(K90,7)=7,"",RIGHT(K90,LEN(K90)-2)&amp;".")</f>
        <v>/A.</v>
      </c>
      <c r="K90" s="10" t="str">
        <f aca="false">IFERROR(__xludf.dummyfunction("CONCATENATE(ArrayFormula(""; ""&amp;QUERY(Hallazgos!A:F,""SELECT B WHERE E CONTAINS '""&amp;B90&amp;""' LABEL B ''"")))"),"#N/A")</f>
        <v>#N/A</v>
      </c>
    </row>
    <row r="91" customFormat="false" ht="15.75" hidden="false" customHeight="true" outlineLevel="0" collapsed="false">
      <c r="A91" s="7" t="s">
        <v>218</v>
      </c>
      <c r="B91" s="8" t="s">
        <v>219</v>
      </c>
      <c r="C91" s="9" t="s">
        <v>38</v>
      </c>
      <c r="D91" s="9" t="s">
        <v>217</v>
      </c>
      <c r="E91" s="9" t="s">
        <v>81</v>
      </c>
      <c r="F91" s="9" t="s">
        <v>55</v>
      </c>
      <c r="G91" s="10" t="s">
        <v>17</v>
      </c>
      <c r="H91" s="10" t="s">
        <v>17</v>
      </c>
      <c r="I91" s="10" t="s">
        <v>17</v>
      </c>
      <c r="J91" s="11" t="str">
        <f aca="false">IF(IFERROR(K91,7)=7,"",RIGHT(K91,LEN(K91)-2)&amp;".")</f>
        <v>/A.</v>
      </c>
      <c r="K91" s="10" t="str">
        <f aca="false">IFERROR(__xludf.dummyfunction("CONCATENATE(ArrayFormula(""; ""&amp;QUERY(Hallazgos!A:F,""SELECT B WHERE E CONTAINS '""&amp;B91&amp;""' LABEL B ''"")))"),"#N/A")</f>
        <v>#N/A</v>
      </c>
    </row>
    <row r="92" customFormat="false" ht="15.75" hidden="false" customHeight="true" outlineLevel="0" collapsed="false">
      <c r="A92" s="7" t="s">
        <v>220</v>
      </c>
      <c r="B92" s="8" t="s">
        <v>221</v>
      </c>
      <c r="C92" s="9" t="s">
        <v>41</v>
      </c>
      <c r="D92" s="9" t="s">
        <v>217</v>
      </c>
      <c r="E92" s="9" t="s">
        <v>88</v>
      </c>
      <c r="F92" s="9" t="s">
        <v>55</v>
      </c>
      <c r="G92" s="10" t="s">
        <v>17</v>
      </c>
      <c r="H92" s="10" t="s">
        <v>17</v>
      </c>
      <c r="I92" s="10" t="s">
        <v>17</v>
      </c>
      <c r="J92" s="11" t="str">
        <f aca="false">IF(IFERROR(K92,7)=7,"",RIGHT(K92,LEN(K92)-2)&amp;".")</f>
        <v>/A.</v>
      </c>
      <c r="K92" s="10" t="str">
        <f aca="false">IFERROR(__xludf.dummyfunction("CONCATENATE(ArrayFormula(""; ""&amp;QUERY(Hallazgos!A:F,""SELECT B WHERE E CONTAINS '""&amp;B92&amp;""' LABEL B ''"")))"),"#N/A")</f>
        <v>#N/A</v>
      </c>
    </row>
    <row r="93" customFormat="false" ht="15.75" hidden="false" customHeight="true" outlineLevel="0" collapsed="false">
      <c r="A93" s="7" t="s">
        <v>222</v>
      </c>
      <c r="B93" s="8" t="s">
        <v>223</v>
      </c>
      <c r="C93" s="9" t="s">
        <v>41</v>
      </c>
      <c r="D93" s="9" t="s">
        <v>217</v>
      </c>
      <c r="E93" s="9" t="s">
        <v>88</v>
      </c>
      <c r="F93" s="9" t="s">
        <v>55</v>
      </c>
      <c r="G93" s="10" t="s">
        <v>17</v>
      </c>
      <c r="H93" s="10" t="s">
        <v>17</v>
      </c>
      <c r="I93" s="10" t="s">
        <v>17</v>
      </c>
      <c r="J93" s="11" t="str">
        <f aca="false">IF(IFERROR(K93,7)=7,"",RIGHT(K93,LEN(K93)-2)&amp;".")</f>
        <v>/A.</v>
      </c>
      <c r="K93" s="10" t="str">
        <f aca="false">IFERROR(__xludf.dummyfunction("CONCATENATE(ArrayFormula(""; ""&amp;QUERY(Hallazgos!A:F,""SELECT B WHERE E CONTAINS '""&amp;B93&amp;""' LABEL B ''"")))"),"#N/A")</f>
        <v>#N/A</v>
      </c>
    </row>
    <row r="94" customFormat="false" ht="15.75" hidden="false" customHeight="true" outlineLevel="0" collapsed="false">
      <c r="A94" s="7" t="s">
        <v>224</v>
      </c>
      <c r="B94" s="8" t="s">
        <v>225</v>
      </c>
      <c r="C94" s="9" t="s">
        <v>41</v>
      </c>
      <c r="D94" s="9" t="s">
        <v>217</v>
      </c>
      <c r="E94" s="9" t="s">
        <v>88</v>
      </c>
      <c r="F94" s="9" t="s">
        <v>55</v>
      </c>
      <c r="G94" s="10" t="s">
        <v>17</v>
      </c>
      <c r="H94" s="10" t="s">
        <v>17</v>
      </c>
      <c r="I94" s="10" t="s">
        <v>17</v>
      </c>
      <c r="J94" s="11" t="str">
        <f aca="false">IF(IFERROR(K94,7)=7,"",RIGHT(K94,LEN(K94)-2)&amp;".")</f>
        <v>/A.</v>
      </c>
      <c r="K94" s="10" t="str">
        <f aca="false">IFERROR(__xludf.dummyfunction("CONCATENATE(ArrayFormula(""; ""&amp;QUERY(Hallazgos!A:F,""SELECT B WHERE E CONTAINS '""&amp;B94&amp;""' LABEL B ''"")))"),"#N/A")</f>
        <v>#N/A</v>
      </c>
    </row>
    <row r="95" customFormat="false" ht="15.75" hidden="false" customHeight="true" outlineLevel="0" collapsed="false">
      <c r="A95" s="7" t="s">
        <v>226</v>
      </c>
      <c r="B95" s="8" t="s">
        <v>227</v>
      </c>
      <c r="C95" s="9" t="s">
        <v>41</v>
      </c>
      <c r="D95" s="9" t="s">
        <v>217</v>
      </c>
      <c r="E95" s="9" t="s">
        <v>88</v>
      </c>
      <c r="F95" s="9" t="s">
        <v>55</v>
      </c>
      <c r="G95" s="10" t="s">
        <v>17</v>
      </c>
      <c r="H95" s="10" t="s">
        <v>17</v>
      </c>
      <c r="I95" s="10" t="s">
        <v>17</v>
      </c>
      <c r="J95" s="11" t="str">
        <f aca="false">IF(IFERROR(K95,7)=7,"",RIGHT(K95,LEN(K95)-2)&amp;".")</f>
        <v>/A.</v>
      </c>
      <c r="K95" s="10" t="str">
        <f aca="false">IFERROR(__xludf.dummyfunction("CONCATENATE(ArrayFormula(""; ""&amp;QUERY(Hallazgos!A:F,""SELECT B WHERE E CONTAINS '""&amp;B95&amp;""' LABEL B ''"")))"),"#N/A")</f>
        <v>#N/A</v>
      </c>
    </row>
    <row r="96" customFormat="false" ht="15.75" hidden="false" customHeight="true" outlineLevel="0" collapsed="false">
      <c r="A96" s="7" t="s">
        <v>228</v>
      </c>
      <c r="B96" s="8" t="s">
        <v>229</v>
      </c>
      <c r="C96" s="9" t="s">
        <v>41</v>
      </c>
      <c r="D96" s="9" t="s">
        <v>230</v>
      </c>
      <c r="E96" s="9" t="s">
        <v>98</v>
      </c>
      <c r="F96" s="9" t="s">
        <v>55</v>
      </c>
      <c r="G96" s="10" t="s">
        <v>17</v>
      </c>
      <c r="H96" s="10" t="s">
        <v>17</v>
      </c>
      <c r="I96" s="10" t="s">
        <v>17</v>
      </c>
      <c r="J96" s="11" t="str">
        <f aca="false">IF(IFERROR(K96,7)=7,"",RIGHT(K96,LEN(K96)-2)&amp;".")</f>
        <v>/A.</v>
      </c>
      <c r="K96" s="10" t="str">
        <f aca="false">IFERROR(__xludf.dummyfunction("CONCATENATE(ArrayFormula(""; ""&amp;QUERY(Hallazgos!A:F,""SELECT B WHERE E CONTAINS '""&amp;B96&amp;""' LABEL B ''"")))"),"#N/A")</f>
        <v>#N/A</v>
      </c>
    </row>
    <row r="97" customFormat="false" ht="15.75" hidden="false" customHeight="true" outlineLevel="0" collapsed="false">
      <c r="A97" s="7" t="s">
        <v>231</v>
      </c>
      <c r="B97" s="8" t="s">
        <v>232</v>
      </c>
      <c r="C97" s="9" t="s">
        <v>38</v>
      </c>
      <c r="D97" s="9" t="s">
        <v>230</v>
      </c>
      <c r="E97" s="9" t="s">
        <v>88</v>
      </c>
      <c r="F97" s="9" t="s">
        <v>44</v>
      </c>
      <c r="G97" s="10" t="s">
        <v>17</v>
      </c>
      <c r="H97" s="10" t="s">
        <v>17</v>
      </c>
      <c r="I97" s="10" t="s">
        <v>17</v>
      </c>
      <c r="J97" s="11" t="str">
        <f aca="false">IF(IFERROR(K97,7)=7,"",RIGHT(K97,LEN(K97)-2)&amp;".")</f>
        <v>/A.</v>
      </c>
      <c r="K97" s="10" t="str">
        <f aca="false">IFERROR(__xludf.dummyfunction("CONCATENATE(ArrayFormula(""; ""&amp;QUERY(Hallazgos!A:F,""SELECT B WHERE E CONTAINS '""&amp;B97&amp;""' LABEL B ''"")))"),"#N/A")</f>
        <v>#N/A</v>
      </c>
    </row>
    <row r="98" customFormat="false" ht="15.75" hidden="false" customHeight="true" outlineLevel="0" collapsed="false">
      <c r="A98" s="7" t="s">
        <v>233</v>
      </c>
      <c r="B98" s="8" t="s">
        <v>234</v>
      </c>
      <c r="C98" s="9" t="s">
        <v>38</v>
      </c>
      <c r="D98" s="9" t="s">
        <v>230</v>
      </c>
      <c r="E98" s="9" t="s">
        <v>98</v>
      </c>
      <c r="F98" s="9" t="s">
        <v>44</v>
      </c>
      <c r="G98" s="10" t="s">
        <v>17</v>
      </c>
      <c r="H98" s="10" t="s">
        <v>17</v>
      </c>
      <c r="I98" s="10" t="s">
        <v>17</v>
      </c>
      <c r="J98" s="11" t="str">
        <f aca="false">IF(IFERROR(K98,7)=7,"",RIGHT(K98,LEN(K98)-2)&amp;".")</f>
        <v>/A.</v>
      </c>
      <c r="K98" s="10" t="str">
        <f aca="false">IFERROR(__xludf.dummyfunction("CONCATENATE(ArrayFormula(""; ""&amp;QUERY(Hallazgos!A:F,""SELECT B WHERE E CONTAINS '""&amp;B98&amp;""' LABEL B ''"")))"),"#N/A")</f>
        <v>#N/A</v>
      </c>
    </row>
    <row r="99" customFormat="false" ht="15.75" hidden="false" customHeight="true" outlineLevel="0" collapsed="false">
      <c r="A99" s="7" t="s">
        <v>235</v>
      </c>
      <c r="B99" s="8" t="s">
        <v>236</v>
      </c>
      <c r="C99" s="9" t="s">
        <v>13</v>
      </c>
      <c r="D99" s="9" t="s">
        <v>230</v>
      </c>
      <c r="E99" s="9" t="s">
        <v>15</v>
      </c>
      <c r="F99" s="9" t="s">
        <v>44</v>
      </c>
      <c r="G99" s="10" t="s">
        <v>17</v>
      </c>
      <c r="H99" s="10" t="s">
        <v>17</v>
      </c>
      <c r="I99" s="10" t="s">
        <v>17</v>
      </c>
      <c r="J99" s="11" t="str">
        <f aca="false">IF(IFERROR(K99,7)=7,"",RIGHT(K99,LEN(K99)-2)&amp;".")</f>
        <v>/A.</v>
      </c>
      <c r="K99" s="10" t="str">
        <f aca="false">IFERROR(__xludf.dummyfunction("CONCATENATE(ArrayFormula(""; ""&amp;QUERY(Hallazgos!A:F,""SELECT B WHERE E CONTAINS '""&amp;B99&amp;""' LABEL B ''"")))"),"#N/A")</f>
        <v>#N/A</v>
      </c>
    </row>
    <row r="100" customFormat="false" ht="15.75" hidden="false" customHeight="true" outlineLevel="0" collapsed="false">
      <c r="A100" s="7" t="s">
        <v>237</v>
      </c>
      <c r="B100" s="8" t="s">
        <v>238</v>
      </c>
      <c r="C100" s="9" t="s">
        <v>239</v>
      </c>
      <c r="D100" s="9" t="s">
        <v>230</v>
      </c>
      <c r="E100" s="9" t="s">
        <v>98</v>
      </c>
      <c r="F100" s="9" t="s">
        <v>55</v>
      </c>
      <c r="G100" s="10" t="s">
        <v>17</v>
      </c>
      <c r="H100" s="10" t="s">
        <v>17</v>
      </c>
      <c r="I100" s="10" t="s">
        <v>17</v>
      </c>
      <c r="J100" s="11" t="str">
        <f aca="false">IF(IFERROR(K100,7)=7,"",RIGHT(K100,LEN(K100)-2)&amp;".")</f>
        <v>/A.</v>
      </c>
      <c r="K100" s="10" t="str">
        <f aca="false">IFERROR(__xludf.dummyfunction("CONCATENATE(ArrayFormula(""; ""&amp;QUERY(Hallazgos!A:F,""SELECT B WHERE E CONTAINS '""&amp;B100&amp;""' LABEL B ''"")))"),"#N/A")</f>
        <v>#N/A</v>
      </c>
    </row>
    <row r="101" customFormat="false" ht="15.75" hidden="false" customHeight="true" outlineLevel="0" collapsed="false">
      <c r="A101" s="7" t="s">
        <v>240</v>
      </c>
      <c r="B101" s="8" t="s">
        <v>241</v>
      </c>
      <c r="C101" s="9" t="s">
        <v>239</v>
      </c>
      <c r="D101" s="9" t="s">
        <v>230</v>
      </c>
      <c r="E101" s="9" t="s">
        <v>88</v>
      </c>
      <c r="F101" s="9" t="s">
        <v>55</v>
      </c>
      <c r="G101" s="10" t="s">
        <v>17</v>
      </c>
      <c r="H101" s="10" t="s">
        <v>17</v>
      </c>
      <c r="I101" s="10" t="s">
        <v>17</v>
      </c>
      <c r="J101" s="11" t="str">
        <f aca="false">IF(IFERROR(K101,7)=7,"",RIGHT(K101,LEN(K101)-2)&amp;".")</f>
        <v>/A.</v>
      </c>
      <c r="K101" s="10" t="str">
        <f aca="false">IFERROR(__xludf.dummyfunction("CONCATENATE(ArrayFormula(""; ""&amp;QUERY(Hallazgos!A:F,""SELECT B WHERE E CONTAINS '""&amp;B101&amp;""' LABEL B ''"")))"),"#N/A")</f>
        <v>#N/A</v>
      </c>
    </row>
    <row r="102" customFormat="false" ht="15.75" hidden="false" customHeight="true" outlineLevel="0" collapsed="false">
      <c r="A102" s="7" t="s">
        <v>242</v>
      </c>
      <c r="B102" s="8" t="s">
        <v>243</v>
      </c>
      <c r="C102" s="9" t="s">
        <v>239</v>
      </c>
      <c r="D102" s="9" t="s">
        <v>230</v>
      </c>
      <c r="E102" s="9" t="s">
        <v>98</v>
      </c>
      <c r="F102" s="9" t="s">
        <v>55</v>
      </c>
      <c r="G102" s="10" t="s">
        <v>17</v>
      </c>
      <c r="H102" s="10" t="s">
        <v>17</v>
      </c>
      <c r="I102" s="10" t="s">
        <v>17</v>
      </c>
      <c r="J102" s="11" t="str">
        <f aca="false">IF(IFERROR(K102,7)=7,"",RIGHT(K102,LEN(K102)-2)&amp;".")</f>
        <v>/A.</v>
      </c>
      <c r="K102" s="10" t="str">
        <f aca="false">IFERROR(__xludf.dummyfunction("CONCATENATE(ArrayFormula(""; ""&amp;QUERY(Hallazgos!A:F,""SELECT B WHERE E CONTAINS '""&amp;B102&amp;""' LABEL B ''"")))"),"#N/A")</f>
        <v>#N/A</v>
      </c>
    </row>
    <row r="103" customFormat="false" ht="15.75" hidden="false" customHeight="true" outlineLevel="0" collapsed="false">
      <c r="A103" s="7" t="s">
        <v>244</v>
      </c>
      <c r="B103" s="8" t="s">
        <v>245</v>
      </c>
      <c r="C103" s="9" t="s">
        <v>38</v>
      </c>
      <c r="D103" s="9" t="s">
        <v>230</v>
      </c>
      <c r="E103" s="9" t="s">
        <v>88</v>
      </c>
      <c r="F103" s="9" t="s">
        <v>55</v>
      </c>
      <c r="G103" s="10" t="s">
        <v>17</v>
      </c>
      <c r="H103" s="10" t="s">
        <v>17</v>
      </c>
      <c r="I103" s="10" t="s">
        <v>17</v>
      </c>
      <c r="J103" s="11" t="str">
        <f aca="false">IF(IFERROR(K103,7)=7,"",RIGHT(K103,LEN(K103)-2)&amp;".")</f>
        <v>/A.</v>
      </c>
      <c r="K103" s="10" t="str">
        <f aca="false">IFERROR(__xludf.dummyfunction("CONCATENATE(ArrayFormula(""; ""&amp;QUERY(Hallazgos!A:F,""SELECT B WHERE E CONTAINS '""&amp;B103&amp;""' LABEL B ''"")))"),"#N/A")</f>
        <v>#N/A</v>
      </c>
    </row>
    <row r="104" customFormat="false" ht="15.75" hidden="false" customHeight="true" outlineLevel="0" collapsed="false">
      <c r="A104" s="7" t="s">
        <v>246</v>
      </c>
      <c r="B104" s="8" t="s">
        <v>247</v>
      </c>
      <c r="C104" s="9" t="s">
        <v>38</v>
      </c>
      <c r="D104" s="9" t="s">
        <v>230</v>
      </c>
      <c r="E104" s="9" t="s">
        <v>54</v>
      </c>
      <c r="F104" s="9" t="s">
        <v>55</v>
      </c>
      <c r="G104" s="10" t="s">
        <v>17</v>
      </c>
      <c r="H104" s="10" t="s">
        <v>17</v>
      </c>
      <c r="I104" s="10" t="s">
        <v>17</v>
      </c>
      <c r="J104" s="11" t="str">
        <f aca="false">IF(IFERROR(K104,7)=7,"",RIGHT(K104,LEN(K104)-2)&amp;".")</f>
        <v>/A.</v>
      </c>
      <c r="K104" s="10" t="str">
        <f aca="false">IFERROR(__xludf.dummyfunction("CONCATENATE(ArrayFormula(""; ""&amp;QUERY(Hallazgos!A:F,""SELECT B WHERE E CONTAINS '""&amp;B104&amp;""' LABEL B ''"")))"),"#N/A")</f>
        <v>#N/A</v>
      </c>
    </row>
    <row r="105" customFormat="false" ht="15.75" hidden="false" customHeight="true" outlineLevel="0" collapsed="false">
      <c r="A105" s="7" t="s">
        <v>248</v>
      </c>
      <c r="B105" s="8" t="s">
        <v>249</v>
      </c>
      <c r="C105" s="9" t="s">
        <v>38</v>
      </c>
      <c r="D105" s="9" t="s">
        <v>230</v>
      </c>
      <c r="E105" s="9" t="s">
        <v>98</v>
      </c>
      <c r="F105" s="9" t="s">
        <v>55</v>
      </c>
      <c r="G105" s="10" t="s">
        <v>17</v>
      </c>
      <c r="H105" s="10" t="s">
        <v>17</v>
      </c>
      <c r="I105" s="10" t="s">
        <v>17</v>
      </c>
      <c r="J105" s="11" t="str">
        <f aca="false">IF(IFERROR(K105,7)=7,"",RIGHT(K105,LEN(K105)-2)&amp;".")</f>
        <v>/A.</v>
      </c>
      <c r="K105" s="10" t="str">
        <f aca="false">IFERROR(__xludf.dummyfunction("CONCATENATE(ArrayFormula(""; ""&amp;QUERY(Hallazgos!A:F,""SELECT B WHERE E CONTAINS '""&amp;B105&amp;""' LABEL B ''"")))"),"#N/A")</f>
        <v>#N/A</v>
      </c>
    </row>
    <row r="106" customFormat="false" ht="15.75" hidden="false" customHeight="true" outlineLevel="0" collapsed="false">
      <c r="A106" s="7" t="s">
        <v>250</v>
      </c>
      <c r="B106" s="8" t="s">
        <v>251</v>
      </c>
      <c r="C106" s="9" t="s">
        <v>38</v>
      </c>
      <c r="D106" s="9" t="s">
        <v>230</v>
      </c>
      <c r="E106" s="9" t="s">
        <v>15</v>
      </c>
      <c r="F106" s="9" t="s">
        <v>55</v>
      </c>
      <c r="G106" s="10" t="s">
        <v>17</v>
      </c>
      <c r="H106" s="10" t="s">
        <v>17</v>
      </c>
      <c r="I106" s="10" t="s">
        <v>17</v>
      </c>
      <c r="J106" s="11" t="str">
        <f aca="false">IF(IFERROR(K106,7)=7,"",RIGHT(K106,LEN(K106)-2)&amp;".")</f>
        <v>/A.</v>
      </c>
      <c r="K106" s="10" t="str">
        <f aca="false">IFERROR(__xludf.dummyfunction("CONCATENATE(ArrayFormula(""; ""&amp;QUERY(Hallazgos!A:F,""SELECT B WHERE E CONTAINS '""&amp;B106&amp;""' LABEL B ''"")))"),"#N/A")</f>
        <v>#N/A</v>
      </c>
    </row>
    <row r="107" customFormat="false" ht="15.75" hidden="false" customHeight="true" outlineLevel="0" collapsed="false">
      <c r="A107" s="7" t="s">
        <v>252</v>
      </c>
      <c r="B107" s="8" t="s">
        <v>253</v>
      </c>
      <c r="C107" s="9" t="s">
        <v>38</v>
      </c>
      <c r="D107" s="9" t="s">
        <v>230</v>
      </c>
      <c r="E107" s="9" t="s">
        <v>184</v>
      </c>
      <c r="F107" s="9" t="s">
        <v>55</v>
      </c>
      <c r="G107" s="10" t="s">
        <v>17</v>
      </c>
      <c r="H107" s="10" t="s">
        <v>17</v>
      </c>
      <c r="I107" s="10" t="s">
        <v>17</v>
      </c>
      <c r="J107" s="11" t="str">
        <f aca="false">IF(IFERROR(K107,7)=7,"",RIGHT(K107,LEN(K107)-2)&amp;".")</f>
        <v>/A.</v>
      </c>
      <c r="K107" s="10" t="str">
        <f aca="false">IFERROR(__xludf.dummyfunction("CONCATENATE(ArrayFormula(""; ""&amp;QUERY(Hallazgos!A:F,""SELECT B WHERE E CONTAINS '""&amp;B107&amp;""' LABEL B ''"")))"),"#N/A")</f>
        <v>#N/A</v>
      </c>
    </row>
    <row r="108" customFormat="false" ht="15.75" hidden="false" customHeight="true" outlineLevel="0" collapsed="false">
      <c r="A108" s="7" t="s">
        <v>254</v>
      </c>
      <c r="B108" s="8" t="s">
        <v>255</v>
      </c>
      <c r="C108" s="9" t="s">
        <v>239</v>
      </c>
      <c r="D108" s="9" t="s">
        <v>230</v>
      </c>
      <c r="E108" s="9" t="s">
        <v>88</v>
      </c>
      <c r="F108" s="9" t="s">
        <v>55</v>
      </c>
      <c r="G108" s="10" t="s">
        <v>17</v>
      </c>
      <c r="H108" s="10" t="s">
        <v>17</v>
      </c>
      <c r="I108" s="10" t="s">
        <v>17</v>
      </c>
      <c r="J108" s="11" t="str">
        <f aca="false">IF(IFERROR(K108,7)=7,"",RIGHT(K108,LEN(K108)-2)&amp;".")</f>
        <v>/A.</v>
      </c>
      <c r="K108" s="10" t="str">
        <f aca="false">IFERROR(__xludf.dummyfunction("CONCATENATE(ArrayFormula(""; ""&amp;QUERY(Hallazgos!A:F,""SELECT B WHERE E CONTAINS '""&amp;B108&amp;""' LABEL B ''"")))"),"#N/A")</f>
        <v>#N/A</v>
      </c>
    </row>
    <row r="109" customFormat="false" ht="15.75" hidden="false" customHeight="true" outlineLevel="0" collapsed="false">
      <c r="A109" s="7" t="s">
        <v>256</v>
      </c>
      <c r="B109" s="8" t="s">
        <v>257</v>
      </c>
      <c r="C109" s="9" t="s">
        <v>38</v>
      </c>
      <c r="D109" s="9" t="s">
        <v>230</v>
      </c>
      <c r="E109" s="9" t="s">
        <v>184</v>
      </c>
      <c r="F109" s="9" t="s">
        <v>55</v>
      </c>
      <c r="G109" s="10" t="s">
        <v>17</v>
      </c>
      <c r="H109" s="10" t="s">
        <v>17</v>
      </c>
      <c r="I109" s="10" t="s">
        <v>17</v>
      </c>
      <c r="J109" s="11" t="str">
        <f aca="false">IF(IFERROR(K109,7)=7,"",RIGHT(K109,LEN(K109)-2)&amp;".")</f>
        <v>/A.</v>
      </c>
      <c r="K109" s="10" t="str">
        <f aca="false">IFERROR(__xludf.dummyfunction("CONCATENATE(ArrayFormula(""; ""&amp;QUERY(Hallazgos!A:F,""SELECT B WHERE E CONTAINS '""&amp;B109&amp;""' LABEL B ''"")))"),"#N/A")</f>
        <v>#N/A</v>
      </c>
    </row>
    <row r="110" customFormat="false" ht="15.75" hidden="false" customHeight="true" outlineLevel="0" collapsed="false">
      <c r="A110" s="7" t="s">
        <v>258</v>
      </c>
      <c r="B110" s="8" t="s">
        <v>259</v>
      </c>
      <c r="C110" s="9" t="s">
        <v>239</v>
      </c>
      <c r="D110" s="9" t="s">
        <v>230</v>
      </c>
      <c r="E110" s="9" t="s">
        <v>184</v>
      </c>
      <c r="F110" s="9" t="s">
        <v>55</v>
      </c>
      <c r="G110" s="10" t="s">
        <v>17</v>
      </c>
      <c r="H110" s="10" t="s">
        <v>17</v>
      </c>
      <c r="I110" s="10" t="s">
        <v>17</v>
      </c>
      <c r="J110" s="11" t="str">
        <f aca="false">IF(IFERROR(K110,7)=7,"",RIGHT(K110,LEN(K110)-2)&amp;".")</f>
        <v>/A.</v>
      </c>
      <c r="K110" s="10" t="str">
        <f aca="false">IFERROR(__xludf.dummyfunction("CONCATENATE(ArrayFormula(""; ""&amp;QUERY(Hallazgos!A:F,""SELECT B WHERE E CONTAINS '""&amp;B110&amp;""' LABEL B ''"")))"),"#N/A")</f>
        <v>#N/A</v>
      </c>
    </row>
    <row r="111" customFormat="false" ht="15.75" hidden="false" customHeight="true" outlineLevel="0" collapsed="false">
      <c r="A111" s="7" t="s">
        <v>260</v>
      </c>
      <c r="B111" s="8" t="s">
        <v>261</v>
      </c>
      <c r="C111" s="9" t="s">
        <v>239</v>
      </c>
      <c r="D111" s="9" t="s">
        <v>230</v>
      </c>
      <c r="E111" s="9" t="s">
        <v>54</v>
      </c>
      <c r="F111" s="9" t="s">
        <v>55</v>
      </c>
      <c r="G111" s="10" t="s">
        <v>17</v>
      </c>
      <c r="H111" s="10" t="s">
        <v>17</v>
      </c>
      <c r="I111" s="10" t="s">
        <v>17</v>
      </c>
      <c r="J111" s="11" t="str">
        <f aca="false">IF(IFERROR(K111,7)=7,"",RIGHT(K111,LEN(K111)-2)&amp;".")</f>
        <v>/A.</v>
      </c>
      <c r="K111" s="10" t="str">
        <f aca="false">IFERROR(__xludf.dummyfunction("CONCATENATE(ArrayFormula(""; ""&amp;QUERY(Hallazgos!A:F,""SELECT B WHERE E CONTAINS '""&amp;B111&amp;""' LABEL B ''"")))"),"#N/A")</f>
        <v>#N/A</v>
      </c>
    </row>
    <row r="112" customFormat="false" ht="15.75" hidden="false" customHeight="true" outlineLevel="0" collapsed="false">
      <c r="A112" s="7" t="s">
        <v>262</v>
      </c>
      <c r="B112" s="8" t="s">
        <v>263</v>
      </c>
      <c r="C112" s="9" t="s">
        <v>239</v>
      </c>
      <c r="D112" s="9" t="s">
        <v>230</v>
      </c>
      <c r="E112" s="9" t="s">
        <v>98</v>
      </c>
      <c r="F112" s="9" t="s">
        <v>55</v>
      </c>
      <c r="G112" s="10" t="s">
        <v>17</v>
      </c>
      <c r="H112" s="10" t="s">
        <v>17</v>
      </c>
      <c r="I112" s="10" t="s">
        <v>17</v>
      </c>
      <c r="J112" s="11" t="str">
        <f aca="false">IF(IFERROR(K112,7)=7,"",RIGHT(K112,LEN(K112)-2)&amp;".")</f>
        <v>/A.</v>
      </c>
      <c r="K112" s="10" t="str">
        <f aca="false">IFERROR(__xludf.dummyfunction("CONCATENATE(ArrayFormula(""; ""&amp;QUERY(Hallazgos!A:F,""SELECT B WHERE E CONTAINS '""&amp;B112&amp;""' LABEL B ''"")))"),"#N/A")</f>
        <v>#N/A</v>
      </c>
    </row>
    <row r="113" customFormat="false" ht="15.75" hidden="false" customHeight="true" outlineLevel="0" collapsed="false">
      <c r="A113" s="7" t="s">
        <v>264</v>
      </c>
      <c r="B113" s="8" t="s">
        <v>265</v>
      </c>
      <c r="C113" s="9" t="s">
        <v>239</v>
      </c>
      <c r="D113" s="9" t="s">
        <v>230</v>
      </c>
      <c r="E113" s="9" t="s">
        <v>98</v>
      </c>
      <c r="F113" s="9" t="s">
        <v>55</v>
      </c>
      <c r="G113" s="10" t="s">
        <v>17</v>
      </c>
      <c r="H113" s="10" t="s">
        <v>17</v>
      </c>
      <c r="I113" s="10" t="s">
        <v>17</v>
      </c>
      <c r="J113" s="11" t="str">
        <f aca="false">IF(IFERROR(K113,7)=7,"",RIGHT(K113,LEN(K113)-2)&amp;".")</f>
        <v>/A.</v>
      </c>
      <c r="K113" s="10" t="str">
        <f aca="false">IFERROR(__xludf.dummyfunction("CONCATENATE(ArrayFormula(""; ""&amp;QUERY(Hallazgos!A:F,""SELECT B WHERE E CONTAINS '""&amp;B113&amp;""' LABEL B ''"")))"),"#N/A")</f>
        <v>#N/A</v>
      </c>
    </row>
    <row r="114" customFormat="false" ht="15.75" hidden="false" customHeight="true" outlineLevel="0" collapsed="false">
      <c r="A114" s="7" t="s">
        <v>266</v>
      </c>
      <c r="B114" s="8" t="s">
        <v>267</v>
      </c>
      <c r="C114" s="9" t="s">
        <v>239</v>
      </c>
      <c r="D114" s="9" t="s">
        <v>230</v>
      </c>
      <c r="E114" s="9" t="s">
        <v>76</v>
      </c>
      <c r="F114" s="9" t="s">
        <v>55</v>
      </c>
      <c r="G114" s="10" t="s">
        <v>17</v>
      </c>
      <c r="H114" s="10" t="s">
        <v>17</v>
      </c>
      <c r="I114" s="10" t="s">
        <v>17</v>
      </c>
      <c r="J114" s="11" t="str">
        <f aca="false">IF(IFERROR(K114,7)=7,"",RIGHT(K114,LEN(K114)-2)&amp;".")</f>
        <v>/A.</v>
      </c>
      <c r="K114" s="10" t="str">
        <f aca="false">IFERROR(__xludf.dummyfunction("CONCATENATE(ArrayFormula(""; ""&amp;QUERY(Hallazgos!A:F,""SELECT B WHERE E CONTAINS '""&amp;B114&amp;""' LABEL B ''"")))"),"#N/A")</f>
        <v>#N/A</v>
      </c>
    </row>
    <row r="115" customFormat="false" ht="15.75" hidden="false" customHeight="true" outlineLevel="0" collapsed="false">
      <c r="A115" s="7" t="s">
        <v>268</v>
      </c>
      <c r="B115" s="8" t="s">
        <v>269</v>
      </c>
      <c r="C115" s="9" t="s">
        <v>239</v>
      </c>
      <c r="D115" s="9" t="s">
        <v>230</v>
      </c>
      <c r="E115" s="9" t="s">
        <v>98</v>
      </c>
      <c r="F115" s="9" t="s">
        <v>55</v>
      </c>
      <c r="G115" s="10" t="s">
        <v>17</v>
      </c>
      <c r="H115" s="10" t="s">
        <v>17</v>
      </c>
      <c r="I115" s="10" t="s">
        <v>17</v>
      </c>
      <c r="J115" s="11" t="str">
        <f aca="false">IF(IFERROR(K115,7)=7,"",RIGHT(K115,LEN(K115)-2)&amp;".")</f>
        <v>/A.</v>
      </c>
      <c r="K115" s="10" t="str">
        <f aca="false">IFERROR(__xludf.dummyfunction("CONCATENATE(ArrayFormula(""; ""&amp;QUERY(Hallazgos!A:F,""SELECT B WHERE E CONTAINS '""&amp;B115&amp;""' LABEL B ''"")))"),"#N/A")</f>
        <v>#N/A</v>
      </c>
    </row>
    <row r="116" customFormat="false" ht="15.75" hidden="false" customHeight="true" outlineLevel="0" collapsed="false">
      <c r="A116" s="7" t="s">
        <v>270</v>
      </c>
      <c r="B116" s="8" t="s">
        <v>271</v>
      </c>
      <c r="C116" s="9" t="s">
        <v>41</v>
      </c>
      <c r="D116" s="9" t="s">
        <v>230</v>
      </c>
      <c r="E116" s="9" t="s">
        <v>88</v>
      </c>
      <c r="F116" s="9" t="s">
        <v>55</v>
      </c>
      <c r="G116" s="10" t="s">
        <v>17</v>
      </c>
      <c r="H116" s="10" t="s">
        <v>17</v>
      </c>
      <c r="I116" s="10" t="s">
        <v>17</v>
      </c>
      <c r="J116" s="11" t="str">
        <f aca="false">IF(IFERROR(K116,7)=7,"",RIGHT(K116,LEN(K116)-2)&amp;".")</f>
        <v>/A.</v>
      </c>
      <c r="K116" s="10" t="str">
        <f aca="false">IFERROR(__xludf.dummyfunction("CONCATENATE(ArrayFormula(""; ""&amp;QUERY(Hallazgos!A:F,""SELECT B WHERE E CONTAINS '""&amp;B116&amp;""' LABEL B ''"")))"),"#N/A")</f>
        <v>#N/A</v>
      </c>
    </row>
    <row r="117" customFormat="false" ht="15.75" hidden="false" customHeight="true" outlineLevel="0" collapsed="false">
      <c r="A117" s="7" t="s">
        <v>272</v>
      </c>
      <c r="B117" s="8" t="s">
        <v>273</v>
      </c>
      <c r="C117" s="9" t="s">
        <v>13</v>
      </c>
      <c r="D117" s="9" t="s">
        <v>274</v>
      </c>
      <c r="E117" s="9" t="s">
        <v>116</v>
      </c>
      <c r="F117" s="9" t="s">
        <v>55</v>
      </c>
      <c r="G117" s="10" t="s">
        <v>17</v>
      </c>
      <c r="H117" s="10" t="s">
        <v>17</v>
      </c>
      <c r="I117" s="10" t="s">
        <v>17</v>
      </c>
      <c r="J117" s="11" t="str">
        <f aca="false">IF(IFERROR(K117,7)=7,"",RIGHT(K117,LEN(K117)-2)&amp;".")</f>
        <v>/A.</v>
      </c>
      <c r="K117" s="10" t="str">
        <f aca="false">IFERROR(__xludf.dummyfunction("CONCATENATE(ArrayFormula(""; ""&amp;QUERY(Hallazgos!A:F,""SELECT B WHERE E CONTAINS '""&amp;B117&amp;""' LABEL B ''"")))"),"#N/A")</f>
        <v>#N/A</v>
      </c>
    </row>
    <row r="118" customFormat="false" ht="15.75" hidden="false" customHeight="true" outlineLevel="0" collapsed="false">
      <c r="A118" s="7" t="s">
        <v>275</v>
      </c>
      <c r="B118" s="8" t="s">
        <v>276</v>
      </c>
      <c r="C118" s="9" t="s">
        <v>13</v>
      </c>
      <c r="D118" s="9" t="s">
        <v>274</v>
      </c>
      <c r="E118" s="9" t="s">
        <v>116</v>
      </c>
      <c r="F118" s="9" t="s">
        <v>55</v>
      </c>
      <c r="G118" s="10" t="s">
        <v>17</v>
      </c>
      <c r="H118" s="10" t="s">
        <v>17</v>
      </c>
      <c r="I118" s="10" t="s">
        <v>17</v>
      </c>
      <c r="J118" s="11" t="str">
        <f aca="false">IF(IFERROR(K118,7)=7,"",RIGHT(K118,LEN(K118)-2)&amp;".")</f>
        <v>/A.</v>
      </c>
      <c r="K118" s="10" t="str">
        <f aca="false">IFERROR(__xludf.dummyfunction("CONCATENATE(ArrayFormula(""; ""&amp;QUERY(Hallazgos!A:F,""SELECT B WHERE E CONTAINS '""&amp;B118&amp;""' LABEL B ''"")))"),"#N/A")</f>
        <v>#N/A</v>
      </c>
    </row>
    <row r="119" customFormat="false" ht="15.75" hidden="false" customHeight="true" outlineLevel="0" collapsed="false">
      <c r="A119" s="7" t="s">
        <v>277</v>
      </c>
      <c r="B119" s="8" t="s">
        <v>278</v>
      </c>
      <c r="C119" s="9" t="s">
        <v>13</v>
      </c>
      <c r="D119" s="9" t="s">
        <v>274</v>
      </c>
      <c r="E119" s="9" t="s">
        <v>116</v>
      </c>
      <c r="F119" s="9" t="s">
        <v>55</v>
      </c>
      <c r="G119" s="10" t="s">
        <v>17</v>
      </c>
      <c r="H119" s="10" t="s">
        <v>17</v>
      </c>
      <c r="I119" s="10" t="s">
        <v>17</v>
      </c>
      <c r="J119" s="11" t="str">
        <f aca="false">IF(IFERROR(K119,7)=7,"",RIGHT(K119,LEN(K119)-2)&amp;".")</f>
        <v>/A.</v>
      </c>
      <c r="K119" s="10" t="str">
        <f aca="false">IFERROR(__xludf.dummyfunction("CONCATENATE(ArrayFormula(""; ""&amp;QUERY(Hallazgos!A:F,""SELECT B WHERE E CONTAINS '""&amp;B119&amp;""' LABEL B ''"")))"),"#N/A")</f>
        <v>#N/A</v>
      </c>
    </row>
    <row r="120" customFormat="false" ht="15.75" hidden="false" customHeight="true" outlineLevel="0" collapsed="false">
      <c r="A120" s="7" t="s">
        <v>279</v>
      </c>
      <c r="B120" s="8" t="s">
        <v>280</v>
      </c>
      <c r="C120" s="9" t="s">
        <v>13</v>
      </c>
      <c r="D120" s="9" t="s">
        <v>274</v>
      </c>
      <c r="E120" s="9" t="s">
        <v>116</v>
      </c>
      <c r="F120" s="9" t="s">
        <v>55</v>
      </c>
      <c r="G120" s="10" t="s">
        <v>17</v>
      </c>
      <c r="H120" s="10" t="s">
        <v>17</v>
      </c>
      <c r="I120" s="10" t="s">
        <v>17</v>
      </c>
      <c r="J120" s="11" t="str">
        <f aca="false">IF(IFERROR(K120,7)=7,"",RIGHT(K120,LEN(K120)-2)&amp;".")</f>
        <v>/A.</v>
      </c>
      <c r="K120" s="10" t="str">
        <f aca="false">IFERROR(__xludf.dummyfunction("CONCATENATE(ArrayFormula(""; ""&amp;QUERY(Hallazgos!A:F,""SELECT B WHERE E CONTAINS '""&amp;B120&amp;""' LABEL B ''"")))"),"#N/A")</f>
        <v>#N/A</v>
      </c>
    </row>
    <row r="121" customFormat="false" ht="15.75" hidden="false" customHeight="true" outlineLevel="0" collapsed="false">
      <c r="A121" s="7" t="s">
        <v>281</v>
      </c>
      <c r="B121" s="8" t="s">
        <v>282</v>
      </c>
      <c r="C121" s="9" t="s">
        <v>41</v>
      </c>
      <c r="D121" s="9" t="s">
        <v>274</v>
      </c>
      <c r="E121" s="9" t="s">
        <v>81</v>
      </c>
      <c r="F121" s="9" t="s">
        <v>55</v>
      </c>
      <c r="G121" s="10" t="s">
        <v>17</v>
      </c>
      <c r="H121" s="10" t="s">
        <v>17</v>
      </c>
      <c r="I121" s="10" t="s">
        <v>17</v>
      </c>
      <c r="J121" s="11" t="str">
        <f aca="false">IF(IFERROR(K121,7)=7,"",RIGHT(K121,LEN(K121)-2)&amp;".")</f>
        <v>/A.</v>
      </c>
      <c r="K121" s="10" t="str">
        <f aca="false">IFERROR(__xludf.dummyfunction("CONCATENATE(ArrayFormula(""; ""&amp;QUERY(Hallazgos!A:F,""SELECT B WHERE E CONTAINS '""&amp;B121&amp;""' LABEL B ''"")))"),"#N/A")</f>
        <v>#N/A</v>
      </c>
    </row>
    <row r="122" customFormat="false" ht="15.75" hidden="false" customHeight="true" outlineLevel="0" collapsed="false">
      <c r="A122" s="7" t="s">
        <v>283</v>
      </c>
      <c r="B122" s="8" t="s">
        <v>284</v>
      </c>
      <c r="C122" s="9" t="s">
        <v>41</v>
      </c>
      <c r="D122" s="9" t="s">
        <v>274</v>
      </c>
      <c r="E122" s="9" t="s">
        <v>285</v>
      </c>
      <c r="F122" s="9" t="s">
        <v>55</v>
      </c>
      <c r="G122" s="10" t="s">
        <v>17</v>
      </c>
      <c r="H122" s="10" t="s">
        <v>17</v>
      </c>
      <c r="I122" s="10" t="s">
        <v>17</v>
      </c>
      <c r="J122" s="11" t="str">
        <f aca="false">IF(IFERROR(K122,7)=7,"",RIGHT(K122,LEN(K122)-2)&amp;".")</f>
        <v>/A.</v>
      </c>
      <c r="K122" s="10" t="str">
        <f aca="false">IFERROR(__xludf.dummyfunction("CONCATENATE(ArrayFormula(""; ""&amp;QUERY(Hallazgos!A:F,""SELECT B WHERE E CONTAINS '""&amp;B122&amp;""' LABEL B ''"")))"),"#N/A")</f>
        <v>#N/A</v>
      </c>
    </row>
    <row r="123" customFormat="false" ht="15.75" hidden="false" customHeight="true" outlineLevel="0" collapsed="false">
      <c r="A123" s="7" t="s">
        <v>286</v>
      </c>
      <c r="B123" s="8" t="s">
        <v>287</v>
      </c>
      <c r="C123" s="9" t="s">
        <v>41</v>
      </c>
      <c r="D123" s="9" t="s">
        <v>274</v>
      </c>
      <c r="E123" s="9" t="s">
        <v>76</v>
      </c>
      <c r="F123" s="9" t="s">
        <v>73</v>
      </c>
      <c r="G123" s="10" t="s">
        <v>17</v>
      </c>
      <c r="H123" s="10" t="s">
        <v>17</v>
      </c>
      <c r="I123" s="10" t="s">
        <v>17</v>
      </c>
      <c r="J123" s="11" t="str">
        <f aca="false">IF(IFERROR(K123,7)=7,"",RIGHT(K123,LEN(K123)-2)&amp;".")</f>
        <v>/A.</v>
      </c>
      <c r="K123" s="10" t="str">
        <f aca="false">IFERROR(__xludf.dummyfunction("CONCATENATE(ArrayFormula(""; ""&amp;QUERY(Hallazgos!A:F,""SELECT B WHERE E CONTAINS '""&amp;B123&amp;""' LABEL B ''"")))"),"#N/A")</f>
        <v>#N/A</v>
      </c>
    </row>
    <row r="124" customFormat="false" ht="15.75" hidden="false" customHeight="true" outlineLevel="0" collapsed="false">
      <c r="A124" s="7" t="s">
        <v>288</v>
      </c>
      <c r="B124" s="8" t="s">
        <v>289</v>
      </c>
      <c r="C124" s="9" t="s">
        <v>41</v>
      </c>
      <c r="D124" s="9" t="s">
        <v>274</v>
      </c>
      <c r="E124" s="9" t="s">
        <v>54</v>
      </c>
      <c r="F124" s="9" t="s">
        <v>55</v>
      </c>
      <c r="G124" s="10" t="s">
        <v>17</v>
      </c>
      <c r="H124" s="10" t="s">
        <v>17</v>
      </c>
      <c r="I124" s="10" t="s">
        <v>17</v>
      </c>
      <c r="J124" s="11" t="str">
        <f aca="false">IF(IFERROR(K124,7)=7,"",RIGHT(K124,LEN(K124)-2)&amp;".")</f>
        <v>/A.</v>
      </c>
      <c r="K124" s="10" t="str">
        <f aca="false">IFERROR(__xludf.dummyfunction("CONCATENATE(ArrayFormula(""; ""&amp;QUERY(Hallazgos!A:F,""SELECT B WHERE E CONTAINS '""&amp;B124&amp;""' LABEL B ''"")))"),"#N/A")</f>
        <v>#N/A</v>
      </c>
    </row>
    <row r="125" customFormat="false" ht="15.75" hidden="false" customHeight="true" outlineLevel="0" collapsed="false">
      <c r="A125" s="7" t="s">
        <v>290</v>
      </c>
      <c r="B125" s="8" t="s">
        <v>291</v>
      </c>
      <c r="C125" s="9" t="s">
        <v>41</v>
      </c>
      <c r="D125" s="9" t="s">
        <v>274</v>
      </c>
      <c r="E125" s="9" t="s">
        <v>88</v>
      </c>
      <c r="F125" s="9" t="s">
        <v>55</v>
      </c>
      <c r="G125" s="10" t="s">
        <v>17</v>
      </c>
      <c r="H125" s="10" t="s">
        <v>17</v>
      </c>
      <c r="I125" s="10" t="s">
        <v>17</v>
      </c>
      <c r="J125" s="11" t="str">
        <f aca="false">IF(IFERROR(K125,7)=7,"",RIGHT(K125,LEN(K125)-2)&amp;".")</f>
        <v>/A.</v>
      </c>
      <c r="K125" s="10" t="str">
        <f aca="false">IFERROR(__xludf.dummyfunction("CONCATENATE(ArrayFormula(""; ""&amp;QUERY(Hallazgos!A:F,""SELECT B WHERE E CONTAINS '""&amp;B125&amp;""' LABEL B ''"")))"),"#N/A")</f>
        <v>#N/A</v>
      </c>
    </row>
    <row r="126" customFormat="false" ht="15.75" hidden="false" customHeight="true" outlineLevel="0" collapsed="false">
      <c r="A126" s="7" t="s">
        <v>292</v>
      </c>
      <c r="B126" s="8" t="s">
        <v>293</v>
      </c>
      <c r="C126" s="9" t="s">
        <v>41</v>
      </c>
      <c r="D126" s="9" t="s">
        <v>294</v>
      </c>
      <c r="E126" s="9" t="s">
        <v>111</v>
      </c>
      <c r="F126" s="9" t="s">
        <v>55</v>
      </c>
      <c r="G126" s="10" t="s">
        <v>17</v>
      </c>
      <c r="H126" s="10" t="s">
        <v>17</v>
      </c>
      <c r="I126" s="10" t="s">
        <v>17</v>
      </c>
      <c r="J126" s="11" t="str">
        <f aca="false">IF(IFERROR(K126,7)=7,"",RIGHT(K126,LEN(K126)-2)&amp;".")</f>
        <v>/A.</v>
      </c>
      <c r="K126" s="10" t="str">
        <f aca="false">IFERROR(__xludf.dummyfunction("CONCATENATE(ArrayFormula(""; ""&amp;QUERY(Hallazgos!A:F,""SELECT B WHERE E CONTAINS '""&amp;B126&amp;""' LABEL B ''"")))"),"#N/A")</f>
        <v>#N/A</v>
      </c>
    </row>
    <row r="127" customFormat="false" ht="15.75" hidden="false" customHeight="true" outlineLevel="0" collapsed="false">
      <c r="A127" s="7" t="s">
        <v>295</v>
      </c>
      <c r="B127" s="8" t="s">
        <v>296</v>
      </c>
      <c r="C127" s="9" t="s">
        <v>41</v>
      </c>
      <c r="D127" s="9" t="s">
        <v>294</v>
      </c>
      <c r="E127" s="9" t="s">
        <v>111</v>
      </c>
      <c r="F127" s="9" t="s">
        <v>55</v>
      </c>
      <c r="G127" s="10" t="s">
        <v>17</v>
      </c>
      <c r="H127" s="10" t="s">
        <v>17</v>
      </c>
      <c r="I127" s="10" t="s">
        <v>17</v>
      </c>
      <c r="J127" s="11" t="str">
        <f aca="false">IF(IFERROR(K127,7)=7,"",RIGHT(K127,LEN(K127)-2)&amp;".")</f>
        <v>/A.</v>
      </c>
      <c r="K127" s="10" t="str">
        <f aca="false">IFERROR(__xludf.dummyfunction("CONCATENATE(ArrayFormula(""; ""&amp;QUERY(Hallazgos!A:F,""SELECT B WHERE E CONTAINS '""&amp;B127&amp;""' LABEL B ''"")))"),"#N/A")</f>
        <v>#N/A</v>
      </c>
    </row>
    <row r="128" customFormat="false" ht="15.75" hidden="false" customHeight="true" outlineLevel="0" collapsed="false">
      <c r="A128" s="7" t="s">
        <v>297</v>
      </c>
      <c r="B128" s="8" t="s">
        <v>298</v>
      </c>
      <c r="C128" s="9" t="s">
        <v>41</v>
      </c>
      <c r="D128" s="9" t="s">
        <v>294</v>
      </c>
      <c r="E128" s="9" t="s">
        <v>111</v>
      </c>
      <c r="F128" s="9" t="s">
        <v>55</v>
      </c>
      <c r="G128" s="10" t="s">
        <v>17</v>
      </c>
      <c r="H128" s="10" t="s">
        <v>17</v>
      </c>
      <c r="I128" s="10" t="s">
        <v>17</v>
      </c>
      <c r="J128" s="11" t="str">
        <f aca="false">IF(IFERROR(K128,7)=7,"",RIGHT(K128,LEN(K128)-2)&amp;".")</f>
        <v>/A.</v>
      </c>
      <c r="K128" s="10" t="str">
        <f aca="false">IFERROR(__xludf.dummyfunction("CONCATENATE(ArrayFormula(""; ""&amp;QUERY(Hallazgos!A:F,""SELECT B WHERE E CONTAINS '""&amp;B128&amp;""' LABEL B ''"")))"),"#N/A")</f>
        <v>#N/A</v>
      </c>
    </row>
    <row r="129" customFormat="false" ht="15.75" hidden="false" customHeight="true" outlineLevel="0" collapsed="false">
      <c r="A129" s="7" t="s">
        <v>299</v>
      </c>
      <c r="B129" s="8" t="s">
        <v>300</v>
      </c>
      <c r="C129" s="9" t="s">
        <v>13</v>
      </c>
      <c r="D129" s="9" t="s">
        <v>294</v>
      </c>
      <c r="E129" s="9" t="s">
        <v>81</v>
      </c>
      <c r="F129" s="9" t="s">
        <v>55</v>
      </c>
      <c r="G129" s="10" t="s">
        <v>17</v>
      </c>
      <c r="H129" s="10" t="s">
        <v>17</v>
      </c>
      <c r="I129" s="10" t="s">
        <v>17</v>
      </c>
      <c r="J129" s="11" t="str">
        <f aca="false">IF(IFERROR(K129,7)=7,"",RIGHT(K129,LEN(K129)-2)&amp;".")</f>
        <v>/A.</v>
      </c>
      <c r="K129" s="10" t="str">
        <f aca="false">IFERROR(__xludf.dummyfunction("CONCATENATE(ArrayFormula(""; ""&amp;QUERY(Hallazgos!A:F,""SELECT B WHERE E CONTAINS '""&amp;B129&amp;""' LABEL B ''"")))"),"#N/A")</f>
        <v>#N/A</v>
      </c>
    </row>
    <row r="130" customFormat="false" ht="15.75" hidden="false" customHeight="true" outlineLevel="0" collapsed="false">
      <c r="A130" s="7" t="s">
        <v>301</v>
      </c>
      <c r="B130" s="8" t="s">
        <v>302</v>
      </c>
      <c r="C130" s="9" t="s">
        <v>41</v>
      </c>
      <c r="D130" s="9" t="s">
        <v>294</v>
      </c>
      <c r="E130" s="9" t="s">
        <v>76</v>
      </c>
      <c r="F130" s="9" t="s">
        <v>55</v>
      </c>
      <c r="G130" s="10" t="s">
        <v>17</v>
      </c>
      <c r="H130" s="10" t="s">
        <v>17</v>
      </c>
      <c r="I130" s="10" t="s">
        <v>17</v>
      </c>
      <c r="J130" s="11" t="str">
        <f aca="false">IF(IFERROR(K130,7)=7,"",RIGHT(K130,LEN(K130)-2)&amp;".")</f>
        <v>/A.</v>
      </c>
      <c r="K130" s="10" t="str">
        <f aca="false">IFERROR(__xludf.dummyfunction("CONCATENATE(ArrayFormula(""; ""&amp;QUERY(Hallazgos!A:F,""SELECT B WHERE E CONTAINS '""&amp;B130&amp;""' LABEL B ''"")))"),"#N/A")</f>
        <v>#N/A</v>
      </c>
    </row>
    <row r="131" customFormat="false" ht="15.75" hidden="false" customHeight="true" outlineLevel="0" collapsed="false">
      <c r="A131" s="7" t="s">
        <v>303</v>
      </c>
      <c r="B131" s="8" t="s">
        <v>304</v>
      </c>
      <c r="C131" s="9" t="s">
        <v>41</v>
      </c>
      <c r="D131" s="9" t="s">
        <v>294</v>
      </c>
      <c r="E131" s="9" t="s">
        <v>81</v>
      </c>
      <c r="F131" s="9" t="s">
        <v>55</v>
      </c>
      <c r="G131" s="10" t="s">
        <v>17</v>
      </c>
      <c r="H131" s="10" t="s">
        <v>17</v>
      </c>
      <c r="I131" s="10" t="s">
        <v>17</v>
      </c>
      <c r="J131" s="11" t="str">
        <f aca="false">IF(IFERROR(K131,7)=7,"",RIGHT(K131,LEN(K131)-2)&amp;".")</f>
        <v>/A.</v>
      </c>
      <c r="K131" s="10" t="str">
        <f aca="false">IFERROR(__xludf.dummyfunction("CONCATENATE(ArrayFormula(""; ""&amp;QUERY(Hallazgos!A:F,""SELECT B WHERE E CONTAINS '""&amp;B131&amp;""' LABEL B ''"")))"),"#N/A")</f>
        <v>#N/A</v>
      </c>
    </row>
    <row r="132" customFormat="false" ht="15.75" hidden="false" customHeight="true" outlineLevel="0" collapsed="false">
      <c r="A132" s="7" t="s">
        <v>305</v>
      </c>
      <c r="B132" s="8" t="s">
        <v>306</v>
      </c>
      <c r="C132" s="9" t="s">
        <v>41</v>
      </c>
      <c r="D132" s="9" t="s">
        <v>294</v>
      </c>
      <c r="E132" s="9" t="s">
        <v>81</v>
      </c>
      <c r="F132" s="9" t="s">
        <v>55</v>
      </c>
      <c r="G132" s="10" t="s">
        <v>17</v>
      </c>
      <c r="H132" s="10" t="s">
        <v>17</v>
      </c>
      <c r="I132" s="10" t="s">
        <v>17</v>
      </c>
      <c r="J132" s="11" t="str">
        <f aca="false">IF(IFERROR(K132,7)=7,"",RIGHT(K132,LEN(K132)-2)&amp;".")</f>
        <v>/A.</v>
      </c>
      <c r="K132" s="10" t="str">
        <f aca="false">IFERROR(__xludf.dummyfunction("CONCATENATE(ArrayFormula(""; ""&amp;QUERY(Hallazgos!A:F,""SELECT B WHERE E CONTAINS '""&amp;B132&amp;""' LABEL B ''"")))"),"#N/A")</f>
        <v>#N/A</v>
      </c>
    </row>
    <row r="133" customFormat="false" ht="15.75" hidden="false" customHeight="true" outlineLevel="0" collapsed="false">
      <c r="A133" s="7" t="s">
        <v>307</v>
      </c>
      <c r="B133" s="8" t="s">
        <v>308</v>
      </c>
      <c r="C133" s="9" t="s">
        <v>41</v>
      </c>
      <c r="D133" s="9" t="s">
        <v>294</v>
      </c>
      <c r="E133" s="9" t="s">
        <v>81</v>
      </c>
      <c r="F133" s="9" t="s">
        <v>55</v>
      </c>
      <c r="G133" s="10" t="s">
        <v>17</v>
      </c>
      <c r="H133" s="10" t="s">
        <v>17</v>
      </c>
      <c r="I133" s="10" t="s">
        <v>17</v>
      </c>
      <c r="J133" s="11" t="str">
        <f aca="false">IF(IFERROR(K133,7)=7,"",RIGHT(K133,LEN(K133)-2)&amp;".")</f>
        <v>/A.</v>
      </c>
      <c r="K133" s="10" t="str">
        <f aca="false">IFERROR(__xludf.dummyfunction("CONCATENATE(ArrayFormula(""; ""&amp;QUERY(Hallazgos!A:F,""SELECT B WHERE E CONTAINS '""&amp;B133&amp;""' LABEL B ''"")))"),"#N/A")</f>
        <v>#N/A</v>
      </c>
    </row>
    <row r="134" customFormat="false" ht="15.75" hidden="false" customHeight="true" outlineLevel="0" collapsed="false">
      <c r="A134" s="7" t="s">
        <v>309</v>
      </c>
      <c r="B134" s="8" t="s">
        <v>310</v>
      </c>
      <c r="C134" s="9" t="s">
        <v>13</v>
      </c>
      <c r="D134" s="9" t="s">
        <v>294</v>
      </c>
      <c r="E134" s="9" t="s">
        <v>15</v>
      </c>
      <c r="F134" s="9" t="s">
        <v>55</v>
      </c>
      <c r="G134" s="10" t="s">
        <v>17</v>
      </c>
      <c r="H134" s="10" t="s">
        <v>17</v>
      </c>
      <c r="I134" s="10" t="s">
        <v>17</v>
      </c>
      <c r="J134" s="11" t="str">
        <f aca="false">IF(IFERROR(K134,7)=7,"",RIGHT(K134,LEN(K134)-2)&amp;".")</f>
        <v>/A.</v>
      </c>
      <c r="K134" s="10" t="str">
        <f aca="false">IFERROR(__xludf.dummyfunction("CONCATENATE(ArrayFormula(""; ""&amp;QUERY(Hallazgos!A:F,""SELECT B WHERE E CONTAINS '""&amp;B134&amp;""' LABEL B ''"")))"),"#N/A")</f>
        <v>#N/A</v>
      </c>
    </row>
    <row r="135" customFormat="false" ht="15.75" hidden="false" customHeight="true" outlineLevel="0" collapsed="false">
      <c r="A135" s="7" t="s">
        <v>311</v>
      </c>
      <c r="B135" s="8" t="s">
        <v>312</v>
      </c>
      <c r="C135" s="9" t="s">
        <v>13</v>
      </c>
      <c r="D135" s="9" t="s">
        <v>294</v>
      </c>
      <c r="E135" s="9" t="s">
        <v>15</v>
      </c>
      <c r="F135" s="9" t="s">
        <v>55</v>
      </c>
      <c r="G135" s="10" t="s">
        <v>17</v>
      </c>
      <c r="H135" s="10" t="s">
        <v>17</v>
      </c>
      <c r="I135" s="10" t="s">
        <v>17</v>
      </c>
      <c r="J135" s="11" t="str">
        <f aca="false">IF(IFERROR(K135,7)=7,"",RIGHT(K135,LEN(K135)-2)&amp;".")</f>
        <v>/A.</v>
      </c>
      <c r="K135" s="10" t="str">
        <f aca="false">IFERROR(__xludf.dummyfunction("CONCATENATE(ArrayFormula(""; ""&amp;QUERY(Hallazgos!A:F,""SELECT B WHERE E CONTAINS '""&amp;B135&amp;""' LABEL B ''"")))"),"#N/A")</f>
        <v>#N/A</v>
      </c>
    </row>
    <row r="136" customFormat="false" ht="15.75" hidden="false" customHeight="true" outlineLevel="0" collapsed="false">
      <c r="A136" s="7" t="s">
        <v>313</v>
      </c>
      <c r="B136" s="8" t="s">
        <v>314</v>
      </c>
      <c r="C136" s="9" t="s">
        <v>13</v>
      </c>
      <c r="D136" s="9" t="s">
        <v>294</v>
      </c>
      <c r="E136" s="9" t="s">
        <v>15</v>
      </c>
      <c r="F136" s="9" t="s">
        <v>55</v>
      </c>
      <c r="G136" s="10" t="s">
        <v>17</v>
      </c>
      <c r="H136" s="10" t="s">
        <v>17</v>
      </c>
      <c r="I136" s="10" t="s">
        <v>17</v>
      </c>
      <c r="J136" s="11" t="str">
        <f aca="false">IF(IFERROR(K136,7)=7,"",RIGHT(K136,LEN(K136)-2)&amp;".")</f>
        <v>/A.</v>
      </c>
      <c r="K136" s="10" t="str">
        <f aca="false">IFERROR(__xludf.dummyfunction("CONCATENATE(ArrayFormula(""; ""&amp;QUERY(Hallazgos!A:F,""SELECT B WHERE E CONTAINS '""&amp;B136&amp;""' LABEL B ''"")))"),"#N/A")</f>
        <v>#N/A</v>
      </c>
    </row>
    <row r="137" customFormat="false" ht="15.75" hidden="false" customHeight="true" outlineLevel="0" collapsed="false">
      <c r="A137" s="7" t="s">
        <v>315</v>
      </c>
      <c r="B137" s="8" t="s">
        <v>316</v>
      </c>
      <c r="C137" s="9" t="s">
        <v>41</v>
      </c>
      <c r="D137" s="9" t="s">
        <v>294</v>
      </c>
      <c r="E137" s="9" t="s">
        <v>81</v>
      </c>
      <c r="F137" s="9" t="s">
        <v>55</v>
      </c>
      <c r="G137" s="10" t="s">
        <v>17</v>
      </c>
      <c r="H137" s="10" t="s">
        <v>17</v>
      </c>
      <c r="I137" s="10" t="s">
        <v>17</v>
      </c>
      <c r="J137" s="11" t="str">
        <f aca="false">IF(IFERROR(K137,7)=7,"",RIGHT(K137,LEN(K137)-2)&amp;".")</f>
        <v>/A.</v>
      </c>
      <c r="K137" s="10" t="str">
        <f aca="false">IFERROR(__xludf.dummyfunction("CONCATENATE(ArrayFormula(""; ""&amp;QUERY(Hallazgos!A:F,""SELECT B WHERE E CONTAINS '""&amp;B137&amp;""' LABEL B ''"")))"),"#N/A")</f>
        <v>#N/A</v>
      </c>
    </row>
    <row r="138" customFormat="false" ht="15.75" hidden="false" customHeight="true" outlineLevel="0" collapsed="false">
      <c r="A138" s="7" t="s">
        <v>317</v>
      </c>
      <c r="B138" s="8" t="s">
        <v>318</v>
      </c>
      <c r="C138" s="9" t="s">
        <v>41</v>
      </c>
      <c r="D138" s="9" t="s">
        <v>294</v>
      </c>
      <c r="E138" s="9" t="s">
        <v>88</v>
      </c>
      <c r="F138" s="9" t="s">
        <v>55</v>
      </c>
      <c r="G138" s="10" t="s">
        <v>17</v>
      </c>
      <c r="H138" s="10" t="s">
        <v>17</v>
      </c>
      <c r="I138" s="10" t="s">
        <v>17</v>
      </c>
      <c r="J138" s="11" t="str">
        <f aca="false">IF(IFERROR(K138,7)=7,"",RIGHT(K138,LEN(K138)-2)&amp;".")</f>
        <v>/A.</v>
      </c>
      <c r="K138" s="10" t="str">
        <f aca="false">IFERROR(__xludf.dummyfunction("CONCATENATE(ArrayFormula(""; ""&amp;QUERY(Hallazgos!A:F,""SELECT B WHERE E CONTAINS '""&amp;B138&amp;""' LABEL B ''"")))"),"#N/A")</f>
        <v>#N/A</v>
      </c>
    </row>
    <row r="139" customFormat="false" ht="15.75" hidden="false" customHeight="true" outlineLevel="0" collapsed="false">
      <c r="A139" s="7" t="s">
        <v>319</v>
      </c>
      <c r="B139" s="8" t="s">
        <v>320</v>
      </c>
      <c r="C139" s="9" t="s">
        <v>41</v>
      </c>
      <c r="D139" s="9" t="s">
        <v>294</v>
      </c>
      <c r="E139" s="9" t="s">
        <v>88</v>
      </c>
      <c r="F139" s="9" t="s">
        <v>55</v>
      </c>
      <c r="G139" s="10" t="s">
        <v>17</v>
      </c>
      <c r="H139" s="10" t="s">
        <v>17</v>
      </c>
      <c r="I139" s="10" t="s">
        <v>17</v>
      </c>
      <c r="J139" s="11" t="str">
        <f aca="false">IF(IFERROR(K139,7)=7,"",RIGHT(K139,LEN(K139)-2)&amp;".")</f>
        <v>/A.</v>
      </c>
      <c r="K139" s="10" t="str">
        <f aca="false">IFERROR(__xludf.dummyfunction("CONCATENATE(ArrayFormula(""; ""&amp;QUERY(Hallazgos!A:F,""SELECT B WHERE E CONTAINS '""&amp;B139&amp;""' LABEL B ''"")))"),"#N/A")</f>
        <v>#N/A</v>
      </c>
    </row>
    <row r="140" customFormat="false" ht="15.75" hidden="false" customHeight="true" outlineLevel="0" collapsed="false">
      <c r="A140" s="7" t="s">
        <v>321</v>
      </c>
      <c r="B140" s="8" t="s">
        <v>322</v>
      </c>
      <c r="C140" s="9" t="s">
        <v>41</v>
      </c>
      <c r="D140" s="9" t="s">
        <v>294</v>
      </c>
      <c r="E140" s="9" t="s">
        <v>88</v>
      </c>
      <c r="F140" s="9" t="s">
        <v>55</v>
      </c>
      <c r="G140" s="10" t="s">
        <v>17</v>
      </c>
      <c r="H140" s="10" t="s">
        <v>17</v>
      </c>
      <c r="I140" s="10" t="s">
        <v>17</v>
      </c>
      <c r="J140" s="11" t="str">
        <f aca="false">IF(IFERROR(K140,7)=7,"",RIGHT(K140,LEN(K140)-2)&amp;".")</f>
        <v>/A.</v>
      </c>
      <c r="K140" s="10" t="str">
        <f aca="false">IFERROR(__xludf.dummyfunction("CONCATENATE(ArrayFormula(""; ""&amp;QUERY(Hallazgos!A:F,""SELECT B WHERE E CONTAINS '""&amp;B140&amp;""' LABEL B ''"")))"),"#N/A")</f>
        <v>#N/A</v>
      </c>
    </row>
    <row r="141" customFormat="false" ht="15.75" hidden="false" customHeight="true" outlineLevel="0" collapsed="false">
      <c r="A141" s="7" t="s">
        <v>323</v>
      </c>
      <c r="B141" s="8" t="s">
        <v>324</v>
      </c>
      <c r="C141" s="9" t="s">
        <v>13</v>
      </c>
      <c r="D141" s="9" t="s">
        <v>294</v>
      </c>
      <c r="E141" s="9" t="s">
        <v>15</v>
      </c>
      <c r="F141" s="9" t="s">
        <v>55</v>
      </c>
      <c r="G141" s="10" t="s">
        <v>17</v>
      </c>
      <c r="H141" s="10" t="s">
        <v>17</v>
      </c>
      <c r="I141" s="10" t="s">
        <v>17</v>
      </c>
      <c r="J141" s="11" t="str">
        <f aca="false">IF(IFERROR(K141,7)=7,"",RIGHT(K141,LEN(K141)-2)&amp;".")</f>
        <v>/A.</v>
      </c>
      <c r="K141" s="10" t="str">
        <f aca="false">IFERROR(__xludf.dummyfunction("CONCATENATE(ArrayFormula(""; ""&amp;QUERY(Hallazgos!A:F,""SELECT B WHERE E CONTAINS '""&amp;B141&amp;""' LABEL B ''"")))"),"#N/A")</f>
        <v>#N/A</v>
      </c>
    </row>
    <row r="142" customFormat="false" ht="15.75" hidden="false" customHeight="true" outlineLevel="0" collapsed="false">
      <c r="A142" s="7" t="s">
        <v>325</v>
      </c>
      <c r="B142" s="8" t="s">
        <v>326</v>
      </c>
      <c r="C142" s="9" t="s">
        <v>13</v>
      </c>
      <c r="D142" s="9" t="s">
        <v>294</v>
      </c>
      <c r="E142" s="9" t="s">
        <v>15</v>
      </c>
      <c r="F142" s="9" t="s">
        <v>55</v>
      </c>
      <c r="G142" s="10" t="s">
        <v>17</v>
      </c>
      <c r="H142" s="10" t="s">
        <v>17</v>
      </c>
      <c r="I142" s="10" t="s">
        <v>17</v>
      </c>
      <c r="J142" s="11" t="str">
        <f aca="false">IF(IFERROR(K142,7)=7,"",RIGHT(K142,LEN(K142)-2)&amp;".")</f>
        <v>/A.</v>
      </c>
      <c r="K142" s="10" t="str">
        <f aca="false">IFERROR(__xludf.dummyfunction("CONCATENATE(ArrayFormula(""; ""&amp;QUERY(Hallazgos!A:F,""SELECT B WHERE E CONTAINS '""&amp;B142&amp;""' LABEL B ''"")))"),"#N/A")</f>
        <v>#N/A</v>
      </c>
    </row>
    <row r="143" customFormat="false" ht="15.75" hidden="false" customHeight="true" outlineLevel="0" collapsed="false">
      <c r="A143" s="7" t="s">
        <v>327</v>
      </c>
      <c r="B143" s="8" t="s">
        <v>328</v>
      </c>
      <c r="C143" s="9" t="s">
        <v>41</v>
      </c>
      <c r="D143" s="9" t="s">
        <v>294</v>
      </c>
      <c r="E143" s="9" t="s">
        <v>88</v>
      </c>
      <c r="F143" s="9" t="s">
        <v>55</v>
      </c>
      <c r="G143" s="10" t="s">
        <v>17</v>
      </c>
      <c r="H143" s="10" t="s">
        <v>17</v>
      </c>
      <c r="I143" s="10" t="s">
        <v>17</v>
      </c>
      <c r="J143" s="11" t="str">
        <f aca="false">IF(IFERROR(K143,7)=7,"",RIGHT(K143,LEN(K143)-2)&amp;".")</f>
        <v>/A.</v>
      </c>
      <c r="K143" s="10" t="str">
        <f aca="false">IFERROR(__xludf.dummyfunction("CONCATENATE(ArrayFormula(""; ""&amp;QUERY(Hallazgos!A:F,""SELECT B WHERE E CONTAINS '""&amp;B143&amp;""' LABEL B ''"")))"),"#N/A")</f>
        <v>#N/A</v>
      </c>
    </row>
    <row r="144" customFormat="false" ht="15.75" hidden="false" customHeight="true" outlineLevel="0" collapsed="false">
      <c r="A144" s="7" t="s">
        <v>329</v>
      </c>
      <c r="B144" s="8" t="s">
        <v>330</v>
      </c>
      <c r="C144" s="9" t="s">
        <v>38</v>
      </c>
      <c r="D144" s="9" t="s">
        <v>294</v>
      </c>
      <c r="E144" s="9" t="s">
        <v>81</v>
      </c>
      <c r="F144" s="9" t="s">
        <v>104</v>
      </c>
      <c r="G144" s="10" t="s">
        <v>17</v>
      </c>
      <c r="H144" s="10" t="s">
        <v>17</v>
      </c>
      <c r="I144" s="10" t="s">
        <v>17</v>
      </c>
      <c r="J144" s="11" t="str">
        <f aca="false">IF(IFERROR(K144,7)=7,"",RIGHT(K144,LEN(K144)-2)&amp;".")</f>
        <v>/A.</v>
      </c>
      <c r="K144" s="10" t="str">
        <f aca="false">IFERROR(__xludf.dummyfunction("CONCATENATE(ArrayFormula(""; ""&amp;QUERY(Hallazgos!A:F,""SELECT B WHERE E CONTAINS '""&amp;B144&amp;""' LABEL B ''"")))"),"#N/A")</f>
        <v>#N/A</v>
      </c>
    </row>
    <row r="145" customFormat="false" ht="15.75" hidden="false" customHeight="true" outlineLevel="0" collapsed="false">
      <c r="A145" s="7" t="s">
        <v>331</v>
      </c>
      <c r="B145" s="8" t="s">
        <v>332</v>
      </c>
      <c r="C145" s="9" t="s">
        <v>41</v>
      </c>
      <c r="D145" s="9" t="s">
        <v>294</v>
      </c>
      <c r="E145" s="9" t="s">
        <v>88</v>
      </c>
      <c r="F145" s="9" t="s">
        <v>55</v>
      </c>
      <c r="G145" s="10" t="s">
        <v>17</v>
      </c>
      <c r="H145" s="10" t="s">
        <v>17</v>
      </c>
      <c r="I145" s="10" t="s">
        <v>17</v>
      </c>
      <c r="J145" s="11" t="str">
        <f aca="false">IF(IFERROR(K145,7)=7,"",RIGHT(K145,LEN(K145)-2)&amp;".")</f>
        <v>/A.</v>
      </c>
      <c r="K145" s="10" t="str">
        <f aca="false">IFERROR(__xludf.dummyfunction("CONCATENATE(ArrayFormula(""; ""&amp;QUERY(Hallazgos!A:F,""SELECT B WHERE E CONTAINS '""&amp;B145&amp;""' LABEL B ''"")))"),"#N/A")</f>
        <v>#N/A</v>
      </c>
    </row>
    <row r="146" customFormat="false" ht="15.75" hidden="false" customHeight="true" outlineLevel="0" collapsed="false">
      <c r="A146" s="7" t="s">
        <v>333</v>
      </c>
      <c r="B146" s="8" t="s">
        <v>334</v>
      </c>
      <c r="C146" s="9" t="s">
        <v>38</v>
      </c>
      <c r="D146" s="9" t="s">
        <v>294</v>
      </c>
      <c r="E146" s="9" t="s">
        <v>15</v>
      </c>
      <c r="F146" s="9" t="s">
        <v>55</v>
      </c>
      <c r="G146" s="10" t="s">
        <v>17</v>
      </c>
      <c r="H146" s="10" t="s">
        <v>17</v>
      </c>
      <c r="I146" s="10" t="s">
        <v>17</v>
      </c>
      <c r="J146" s="11" t="str">
        <f aca="false">IF(IFERROR(K146,7)=7,"",RIGHT(K146,LEN(K146)-2)&amp;".")</f>
        <v>/A.</v>
      </c>
      <c r="K146" s="10" t="str">
        <f aca="false">IFERROR(__xludf.dummyfunction("CONCATENATE(ArrayFormula(""; ""&amp;QUERY(Hallazgos!A:F,""SELECT B WHERE E CONTAINS '""&amp;B146&amp;""' LABEL B ''"")))"),"#N/A")</f>
        <v>#N/A</v>
      </c>
    </row>
    <row r="147" customFormat="false" ht="15.75" hidden="false" customHeight="true" outlineLevel="0" collapsed="false">
      <c r="A147" s="7" t="s">
        <v>335</v>
      </c>
      <c r="B147" s="8" t="s">
        <v>336</v>
      </c>
      <c r="C147" s="9" t="s">
        <v>41</v>
      </c>
      <c r="D147" s="9" t="s">
        <v>337</v>
      </c>
      <c r="E147" s="9" t="s">
        <v>81</v>
      </c>
      <c r="F147" s="9" t="s">
        <v>104</v>
      </c>
      <c r="G147" s="10" t="s">
        <v>17</v>
      </c>
      <c r="H147" s="10" t="s">
        <v>17</v>
      </c>
      <c r="I147" s="10" t="s">
        <v>17</v>
      </c>
      <c r="J147" s="11" t="str">
        <f aca="false">IF(IFERROR(K147,7)=7,"",RIGHT(K147,LEN(K147)-2)&amp;".")</f>
        <v>/A.</v>
      </c>
      <c r="K147" s="10" t="str">
        <f aca="false">IFERROR(__xludf.dummyfunction("CONCATENATE(ArrayFormula(""; ""&amp;QUERY(Hallazgos!A:F,""SELECT B WHERE E CONTAINS '""&amp;B147&amp;""' LABEL B ''"")))"),"#N/A")</f>
        <v>#N/A</v>
      </c>
    </row>
    <row r="148" customFormat="false" ht="15.75" hidden="false" customHeight="true" outlineLevel="0" collapsed="false">
      <c r="A148" s="7" t="s">
        <v>338</v>
      </c>
      <c r="B148" s="8" t="s">
        <v>339</v>
      </c>
      <c r="C148" s="9" t="s">
        <v>41</v>
      </c>
      <c r="D148" s="9" t="s">
        <v>337</v>
      </c>
      <c r="E148" s="9" t="s">
        <v>81</v>
      </c>
      <c r="F148" s="9" t="s">
        <v>55</v>
      </c>
      <c r="G148" s="10" t="s">
        <v>17</v>
      </c>
      <c r="H148" s="10" t="s">
        <v>17</v>
      </c>
      <c r="I148" s="10" t="s">
        <v>17</v>
      </c>
      <c r="J148" s="11" t="str">
        <f aca="false">IF(IFERROR(K148,7)=7,"",RIGHT(K148,LEN(K148)-2)&amp;".")</f>
        <v>/A.</v>
      </c>
      <c r="K148" s="10" t="str">
        <f aca="false">IFERROR(__xludf.dummyfunction("CONCATENATE(ArrayFormula(""; ""&amp;QUERY(Hallazgos!A:F,""SELECT B WHERE E CONTAINS '""&amp;B148&amp;""' LABEL B ''"")))"),"#N/A")</f>
        <v>#N/A</v>
      </c>
    </row>
    <row r="149" customFormat="false" ht="15.75" hidden="false" customHeight="true" outlineLevel="0" collapsed="false">
      <c r="A149" s="7" t="s">
        <v>340</v>
      </c>
      <c r="B149" s="8" t="s">
        <v>341</v>
      </c>
      <c r="C149" s="9" t="s">
        <v>41</v>
      </c>
      <c r="D149" s="9" t="s">
        <v>337</v>
      </c>
      <c r="E149" s="9" t="s">
        <v>15</v>
      </c>
      <c r="F149" s="9" t="s">
        <v>73</v>
      </c>
      <c r="G149" s="10" t="s">
        <v>17</v>
      </c>
      <c r="H149" s="10" t="s">
        <v>17</v>
      </c>
      <c r="I149" s="10" t="s">
        <v>17</v>
      </c>
      <c r="J149" s="11" t="str">
        <f aca="false">IF(IFERROR(K149,7)=7,"",RIGHT(K149,LEN(K149)-2)&amp;".")</f>
        <v>/A.</v>
      </c>
      <c r="K149" s="10" t="str">
        <f aca="false">IFERROR(__xludf.dummyfunction("CONCATENATE(ArrayFormula(""; ""&amp;QUERY(Hallazgos!A:F,""SELECT B WHERE E CONTAINS '""&amp;B149&amp;""' LABEL B ''"")))"),"#N/A")</f>
        <v>#N/A</v>
      </c>
    </row>
    <row r="150" customFormat="false" ht="15.75" hidden="false" customHeight="true" outlineLevel="0" collapsed="false">
      <c r="A150" s="7" t="s">
        <v>342</v>
      </c>
      <c r="B150" s="8" t="s">
        <v>343</v>
      </c>
      <c r="C150" s="9" t="s">
        <v>41</v>
      </c>
      <c r="D150" s="9" t="s">
        <v>337</v>
      </c>
      <c r="E150" s="9" t="s">
        <v>81</v>
      </c>
      <c r="F150" s="9" t="s">
        <v>55</v>
      </c>
      <c r="G150" s="10" t="s">
        <v>17</v>
      </c>
      <c r="H150" s="10" t="s">
        <v>17</v>
      </c>
      <c r="I150" s="10" t="s">
        <v>17</v>
      </c>
      <c r="J150" s="11" t="str">
        <f aca="false">IF(IFERROR(K150,7)=7,"",RIGHT(K150,LEN(K150)-2)&amp;".")</f>
        <v>/A.</v>
      </c>
      <c r="K150" s="10" t="str">
        <f aca="false">IFERROR(__xludf.dummyfunction("CONCATENATE(ArrayFormula(""; ""&amp;QUERY(Hallazgos!A:F,""SELECT B WHERE E CONTAINS '""&amp;B150&amp;""' LABEL B ''"")))"),"#N/A")</f>
        <v>#N/A</v>
      </c>
    </row>
    <row r="151" customFormat="false" ht="15.75" hidden="false" customHeight="true" outlineLevel="0" collapsed="false">
      <c r="A151" s="7" t="s">
        <v>344</v>
      </c>
      <c r="B151" s="8" t="s">
        <v>345</v>
      </c>
      <c r="C151" s="9" t="s">
        <v>41</v>
      </c>
      <c r="D151" s="9" t="s">
        <v>337</v>
      </c>
      <c r="E151" s="9" t="s">
        <v>81</v>
      </c>
      <c r="F151" s="9" t="s">
        <v>55</v>
      </c>
      <c r="G151" s="10" t="s">
        <v>17</v>
      </c>
      <c r="H151" s="10" t="s">
        <v>17</v>
      </c>
      <c r="I151" s="10" t="s">
        <v>17</v>
      </c>
      <c r="J151" s="11" t="str">
        <f aca="false">IF(IFERROR(K151,7)=7,"",RIGHT(K151,LEN(K151)-2)&amp;".")</f>
        <v>/A.</v>
      </c>
      <c r="K151" s="10" t="str">
        <f aca="false">IFERROR(__xludf.dummyfunction("CONCATENATE(ArrayFormula(""; ""&amp;QUERY(Hallazgos!A:F,""SELECT B WHERE E CONTAINS '""&amp;B151&amp;""' LABEL B ''"")))"),"#N/A")</f>
        <v>#N/A</v>
      </c>
    </row>
    <row r="152" customFormat="false" ht="15.75" hidden="false" customHeight="true" outlineLevel="0" collapsed="false">
      <c r="A152" s="7" t="s">
        <v>346</v>
      </c>
      <c r="B152" s="8" t="s">
        <v>347</v>
      </c>
      <c r="C152" s="9" t="s">
        <v>41</v>
      </c>
      <c r="D152" s="9" t="s">
        <v>337</v>
      </c>
      <c r="E152" s="9" t="s">
        <v>76</v>
      </c>
      <c r="F152" s="9" t="s">
        <v>55</v>
      </c>
      <c r="G152" s="10" t="s">
        <v>17</v>
      </c>
      <c r="H152" s="10" t="s">
        <v>17</v>
      </c>
      <c r="I152" s="10" t="s">
        <v>17</v>
      </c>
      <c r="J152" s="11" t="str">
        <f aca="false">IF(IFERROR(K152,7)=7,"",RIGHT(K152,LEN(K152)-2)&amp;".")</f>
        <v>/A.</v>
      </c>
      <c r="K152" s="10" t="str">
        <f aca="false">IFERROR(__xludf.dummyfunction("CONCATENATE(ArrayFormula(""; ""&amp;QUERY(Hallazgos!A:F,""SELECT B WHERE E CONTAINS '""&amp;B152&amp;""' LABEL B ''"")))"),"#N/A")</f>
        <v>#N/A</v>
      </c>
    </row>
    <row r="153" customFormat="false" ht="15.75" hidden="false" customHeight="true" outlineLevel="0" collapsed="false">
      <c r="A153" s="7" t="s">
        <v>348</v>
      </c>
      <c r="B153" s="8" t="s">
        <v>349</v>
      </c>
      <c r="C153" s="9" t="s">
        <v>41</v>
      </c>
      <c r="D153" s="9" t="s">
        <v>337</v>
      </c>
      <c r="E153" s="9" t="s">
        <v>54</v>
      </c>
      <c r="F153" s="9" t="s">
        <v>55</v>
      </c>
      <c r="G153" s="10" t="s">
        <v>17</v>
      </c>
      <c r="H153" s="10" t="s">
        <v>17</v>
      </c>
      <c r="I153" s="10" t="s">
        <v>17</v>
      </c>
      <c r="J153" s="11" t="str">
        <f aca="false">IF(IFERROR(K153,7)=7,"",RIGHT(K153,LEN(K153)-2)&amp;".")</f>
        <v>/A.</v>
      </c>
      <c r="K153" s="10" t="str">
        <f aca="false">IFERROR(__xludf.dummyfunction("CONCATENATE(ArrayFormula(""; ""&amp;QUERY(Hallazgos!A:F,""SELECT B WHERE E CONTAINS '""&amp;B153&amp;""' LABEL B ''"")))"),"#N/A")</f>
        <v>#N/A</v>
      </c>
    </row>
    <row r="154" customFormat="false" ht="15.75" hidden="false" customHeight="true" outlineLevel="0" collapsed="false">
      <c r="A154" s="7" t="s">
        <v>350</v>
      </c>
      <c r="B154" s="8" t="s">
        <v>351</v>
      </c>
      <c r="C154" s="9" t="s">
        <v>41</v>
      </c>
      <c r="D154" s="9" t="s">
        <v>352</v>
      </c>
      <c r="E154" s="9" t="s">
        <v>181</v>
      </c>
      <c r="F154" s="9" t="s">
        <v>73</v>
      </c>
      <c r="G154" s="10" t="s">
        <v>17</v>
      </c>
      <c r="H154" s="10" t="s">
        <v>17</v>
      </c>
      <c r="I154" s="10" t="s">
        <v>17</v>
      </c>
      <c r="J154" s="11" t="str">
        <f aca="false">IF(IFERROR(K154,7)=7,"",RIGHT(K154,LEN(K154)-2)&amp;".")</f>
        <v>/A.</v>
      </c>
      <c r="K154" s="10" t="str">
        <f aca="false">IFERROR(__xludf.dummyfunction("CONCATENATE(ArrayFormula(""; ""&amp;QUERY(Hallazgos!A:F,""SELECT B WHERE E CONTAINS '""&amp;B154&amp;""' LABEL B ''"")))"),"#N/A")</f>
        <v>#N/A</v>
      </c>
    </row>
    <row r="155" customFormat="false" ht="15.75" hidden="false" customHeight="true" outlineLevel="0" collapsed="false">
      <c r="A155" s="7" t="s">
        <v>353</v>
      </c>
      <c r="B155" s="8" t="s">
        <v>354</v>
      </c>
      <c r="C155" s="9" t="s">
        <v>13</v>
      </c>
      <c r="D155" s="9" t="s">
        <v>352</v>
      </c>
      <c r="E155" s="9" t="s">
        <v>88</v>
      </c>
      <c r="F155" s="9" t="s">
        <v>55</v>
      </c>
      <c r="G155" s="10" t="s">
        <v>17</v>
      </c>
      <c r="H155" s="10" t="s">
        <v>17</v>
      </c>
      <c r="I155" s="10" t="s">
        <v>17</v>
      </c>
      <c r="J155" s="11" t="str">
        <f aca="false">IF(IFERROR(K155,7)=7,"",RIGHT(K155,LEN(K155)-2)&amp;".")</f>
        <v>/A.</v>
      </c>
      <c r="K155" s="10" t="str">
        <f aca="false">IFERROR(__xludf.dummyfunction("CONCATENATE(ArrayFormula(""; ""&amp;QUERY(Hallazgos!A:F,""SELECT B WHERE E CONTAINS '""&amp;B155&amp;""' LABEL B ''"")))"),"#N/A")</f>
        <v>#N/A</v>
      </c>
    </row>
    <row r="156" customFormat="false" ht="15.75" hidden="false" customHeight="true" outlineLevel="0" collapsed="false">
      <c r="A156" s="7" t="s">
        <v>355</v>
      </c>
      <c r="B156" s="8" t="s">
        <v>356</v>
      </c>
      <c r="C156" s="9" t="s">
        <v>38</v>
      </c>
      <c r="D156" s="9" t="s">
        <v>352</v>
      </c>
      <c r="E156" s="9" t="s">
        <v>15</v>
      </c>
      <c r="F156" s="9" t="s">
        <v>73</v>
      </c>
      <c r="G156" s="10" t="s">
        <v>17</v>
      </c>
      <c r="H156" s="10" t="s">
        <v>17</v>
      </c>
      <c r="I156" s="10" t="s">
        <v>17</v>
      </c>
      <c r="J156" s="11" t="str">
        <f aca="false">IF(IFERROR(K156,7)=7,"",RIGHT(K156,LEN(K156)-2)&amp;".")</f>
        <v>/A.</v>
      </c>
      <c r="K156" s="10" t="str">
        <f aca="false">IFERROR(__xludf.dummyfunction("CONCATENATE(ArrayFormula(""; ""&amp;QUERY(Hallazgos!A:F,""SELECT B WHERE E CONTAINS '""&amp;B156&amp;""' LABEL B ''"")))"),"#N/A")</f>
        <v>#N/A</v>
      </c>
    </row>
    <row r="157" customFormat="false" ht="15.75" hidden="false" customHeight="true" outlineLevel="0" collapsed="false">
      <c r="A157" s="7" t="s">
        <v>357</v>
      </c>
      <c r="B157" s="8" t="s">
        <v>358</v>
      </c>
      <c r="C157" s="9" t="s">
        <v>38</v>
      </c>
      <c r="D157" s="9" t="s">
        <v>352</v>
      </c>
      <c r="E157" s="9" t="s">
        <v>116</v>
      </c>
      <c r="F157" s="9" t="s">
        <v>73</v>
      </c>
      <c r="G157" s="10" t="s">
        <v>17</v>
      </c>
      <c r="H157" s="10" t="s">
        <v>17</v>
      </c>
      <c r="I157" s="10" t="s">
        <v>17</v>
      </c>
      <c r="J157" s="11" t="str">
        <f aca="false">IF(IFERROR(K157,7)=7,"",RIGHT(K157,LEN(K157)-2)&amp;".")</f>
        <v>/A.</v>
      </c>
      <c r="K157" s="10" t="str">
        <f aca="false">IFERROR(__xludf.dummyfunction("CONCATENATE(ArrayFormula(""; ""&amp;QUERY(Hallazgos!A:F,""SELECT B WHERE E CONTAINS '""&amp;B157&amp;""' LABEL B ''"")))"),"#N/A")</f>
        <v>#N/A</v>
      </c>
    </row>
    <row r="158" customFormat="false" ht="15.75" hidden="false" customHeight="true" outlineLevel="0" collapsed="false">
      <c r="A158" s="7" t="s">
        <v>359</v>
      </c>
      <c r="B158" s="8" t="s">
        <v>360</v>
      </c>
      <c r="C158" s="9" t="s">
        <v>41</v>
      </c>
      <c r="D158" s="9" t="s">
        <v>352</v>
      </c>
      <c r="E158" s="9" t="s">
        <v>81</v>
      </c>
      <c r="F158" s="9" t="s">
        <v>73</v>
      </c>
      <c r="G158" s="10" t="s">
        <v>17</v>
      </c>
      <c r="H158" s="10" t="s">
        <v>17</v>
      </c>
      <c r="I158" s="10" t="s">
        <v>17</v>
      </c>
      <c r="J158" s="11" t="str">
        <f aca="false">IF(IFERROR(K158,7)=7,"",RIGHT(K158,LEN(K158)-2)&amp;".")</f>
        <v>/A.</v>
      </c>
      <c r="K158" s="10" t="str">
        <f aca="false">IFERROR(__xludf.dummyfunction("CONCATENATE(ArrayFormula(""; ""&amp;QUERY(Hallazgos!A:F,""SELECT B WHERE E CONTAINS '""&amp;B158&amp;""' LABEL B ''"")))"),"#N/A")</f>
        <v>#N/A</v>
      </c>
    </row>
    <row r="159" customFormat="false" ht="15.75" hidden="false" customHeight="true" outlineLevel="0" collapsed="false">
      <c r="A159" s="7" t="s">
        <v>361</v>
      </c>
      <c r="B159" s="8" t="s">
        <v>362</v>
      </c>
      <c r="C159" s="9" t="s">
        <v>41</v>
      </c>
      <c r="D159" s="9" t="s">
        <v>352</v>
      </c>
      <c r="E159" s="9" t="s">
        <v>116</v>
      </c>
      <c r="F159" s="9" t="s">
        <v>73</v>
      </c>
      <c r="G159" s="10" t="s">
        <v>17</v>
      </c>
      <c r="H159" s="10" t="s">
        <v>17</v>
      </c>
      <c r="I159" s="10" t="s">
        <v>17</v>
      </c>
      <c r="J159" s="11" t="str">
        <f aca="false">IF(IFERROR(K159,7)=7,"",RIGHT(K159,LEN(K159)-2)&amp;".")</f>
        <v>/A.</v>
      </c>
      <c r="K159" s="10" t="str">
        <f aca="false">IFERROR(__xludf.dummyfunction("CONCATENATE(ArrayFormula(""; ""&amp;QUERY(Hallazgos!A:F,""SELECT B WHERE E CONTAINS '""&amp;B159&amp;""' LABEL B ''"")))"),"#N/A")</f>
        <v>#N/A</v>
      </c>
    </row>
    <row r="160" customFormat="false" ht="15.75" hidden="false" customHeight="true" outlineLevel="0" collapsed="false">
      <c r="A160" s="7" t="s">
        <v>363</v>
      </c>
      <c r="B160" s="8" t="s">
        <v>364</v>
      </c>
      <c r="C160" s="9" t="s">
        <v>13</v>
      </c>
      <c r="D160" s="9" t="s">
        <v>352</v>
      </c>
      <c r="E160" s="9" t="s">
        <v>116</v>
      </c>
      <c r="F160" s="9" t="s">
        <v>73</v>
      </c>
      <c r="G160" s="10" t="s">
        <v>17</v>
      </c>
      <c r="H160" s="10" t="s">
        <v>17</v>
      </c>
      <c r="I160" s="10" t="s">
        <v>17</v>
      </c>
      <c r="J160" s="11" t="str">
        <f aca="false">IF(IFERROR(K160,7)=7,"",RIGHT(K160,LEN(K160)-2)&amp;".")</f>
        <v>/A.</v>
      </c>
      <c r="K160" s="10" t="str">
        <f aca="false">IFERROR(__xludf.dummyfunction("CONCATENATE(ArrayFormula(""; ""&amp;QUERY(Hallazgos!A:F,""SELECT B WHERE E CONTAINS '""&amp;B160&amp;""' LABEL B ''"")))"),"#N/A")</f>
        <v>#N/A</v>
      </c>
    </row>
    <row r="161" customFormat="false" ht="15.75" hidden="false" customHeight="true" outlineLevel="0" collapsed="false">
      <c r="A161" s="7" t="s">
        <v>365</v>
      </c>
      <c r="B161" s="8" t="s">
        <v>366</v>
      </c>
      <c r="C161" s="9" t="s">
        <v>41</v>
      </c>
      <c r="D161" s="9" t="s">
        <v>352</v>
      </c>
      <c r="E161" s="9" t="s">
        <v>81</v>
      </c>
      <c r="F161" s="9" t="s">
        <v>104</v>
      </c>
      <c r="G161" s="10" t="s">
        <v>17</v>
      </c>
      <c r="H161" s="10" t="s">
        <v>17</v>
      </c>
      <c r="I161" s="10" t="s">
        <v>17</v>
      </c>
      <c r="J161" s="11" t="str">
        <f aca="false">IF(IFERROR(K161,7)=7,"",RIGHT(K161,LEN(K161)-2)&amp;".")</f>
        <v>/A.</v>
      </c>
      <c r="K161" s="10" t="str">
        <f aca="false">IFERROR(__xludf.dummyfunction("CONCATENATE(ArrayFormula(""; ""&amp;QUERY(Hallazgos!A:F,""SELECT B WHERE E CONTAINS '""&amp;B161&amp;""' LABEL B ''"")))"),"#N/A")</f>
        <v>#N/A</v>
      </c>
    </row>
    <row r="162" customFormat="false" ht="15.75" hidden="false" customHeight="true" outlineLevel="0" collapsed="false">
      <c r="A162" s="7" t="s">
        <v>367</v>
      </c>
      <c r="B162" s="8" t="s">
        <v>368</v>
      </c>
      <c r="C162" s="9" t="s">
        <v>41</v>
      </c>
      <c r="D162" s="9" t="s">
        <v>352</v>
      </c>
      <c r="E162" s="9" t="s">
        <v>116</v>
      </c>
      <c r="F162" s="9" t="s">
        <v>73</v>
      </c>
      <c r="G162" s="10" t="s">
        <v>17</v>
      </c>
      <c r="H162" s="10" t="s">
        <v>17</v>
      </c>
      <c r="I162" s="10" t="s">
        <v>17</v>
      </c>
      <c r="J162" s="11" t="str">
        <f aca="false">IF(IFERROR(K162,7)=7,"",RIGHT(K162,LEN(K162)-2)&amp;".")</f>
        <v>/A.</v>
      </c>
      <c r="K162" s="10" t="str">
        <f aca="false">IFERROR(__xludf.dummyfunction("CONCATENATE(ArrayFormula(""; ""&amp;QUERY(Hallazgos!A:F,""SELECT B WHERE E CONTAINS '""&amp;B162&amp;""' LABEL B ''"")))"),"#N/A")</f>
        <v>#N/A</v>
      </c>
    </row>
    <row r="163" customFormat="false" ht="15.75" hidden="false" customHeight="true" outlineLevel="0" collapsed="false">
      <c r="A163" s="7" t="s">
        <v>369</v>
      </c>
      <c r="B163" s="8" t="s">
        <v>370</v>
      </c>
      <c r="C163" s="9" t="s">
        <v>41</v>
      </c>
      <c r="D163" s="9" t="s">
        <v>352</v>
      </c>
      <c r="E163" s="9" t="s">
        <v>116</v>
      </c>
      <c r="F163" s="9" t="s">
        <v>73</v>
      </c>
      <c r="G163" s="10" t="s">
        <v>17</v>
      </c>
      <c r="H163" s="10" t="s">
        <v>17</v>
      </c>
      <c r="I163" s="10" t="s">
        <v>17</v>
      </c>
      <c r="J163" s="11" t="str">
        <f aca="false">IF(IFERROR(K163,7)=7,"",RIGHT(K163,LEN(K163)-2)&amp;".")</f>
        <v>/A.</v>
      </c>
      <c r="K163" s="10" t="str">
        <f aca="false">IFERROR(__xludf.dummyfunction("CONCATENATE(ArrayFormula(""; ""&amp;QUERY(Hallazgos!A:F,""SELECT B WHERE E CONTAINS '""&amp;B163&amp;""' LABEL B ''"")))"),"#N/A")</f>
        <v>#N/A</v>
      </c>
    </row>
    <row r="164" customFormat="false" ht="15.75" hidden="false" customHeight="true" outlineLevel="0" collapsed="false">
      <c r="A164" s="7" t="s">
        <v>371</v>
      </c>
      <c r="B164" s="8" t="s">
        <v>372</v>
      </c>
      <c r="C164" s="9" t="s">
        <v>41</v>
      </c>
      <c r="D164" s="9" t="s">
        <v>352</v>
      </c>
      <c r="E164" s="9" t="s">
        <v>132</v>
      </c>
      <c r="F164" s="9" t="s">
        <v>73</v>
      </c>
      <c r="G164" s="10" t="s">
        <v>17</v>
      </c>
      <c r="H164" s="10" t="s">
        <v>17</v>
      </c>
      <c r="I164" s="10" t="s">
        <v>17</v>
      </c>
      <c r="J164" s="11" t="str">
        <f aca="false">IF(IFERROR(K164,7)=7,"",RIGHT(K164,LEN(K164)-2)&amp;".")</f>
        <v>/A.</v>
      </c>
      <c r="K164" s="10" t="str">
        <f aca="false">IFERROR(__xludf.dummyfunction("CONCATENATE(ArrayFormula(""; ""&amp;QUERY(Hallazgos!A:F,""SELECT B WHERE E CONTAINS '""&amp;B164&amp;""' LABEL B ''"")))"),"#N/A")</f>
        <v>#N/A</v>
      </c>
    </row>
    <row r="165" customFormat="false" ht="15.75" hidden="false" customHeight="true" outlineLevel="0" collapsed="false">
      <c r="A165" s="7" t="s">
        <v>373</v>
      </c>
      <c r="B165" s="8" t="s">
        <v>374</v>
      </c>
      <c r="C165" s="9" t="s">
        <v>41</v>
      </c>
      <c r="D165" s="9" t="s">
        <v>352</v>
      </c>
      <c r="E165" s="9" t="s">
        <v>132</v>
      </c>
      <c r="F165" s="9" t="s">
        <v>73</v>
      </c>
      <c r="G165" s="10" t="s">
        <v>17</v>
      </c>
      <c r="H165" s="10" t="s">
        <v>17</v>
      </c>
      <c r="I165" s="10" t="s">
        <v>17</v>
      </c>
      <c r="J165" s="11" t="str">
        <f aca="false">IF(IFERROR(K165,7)=7,"",RIGHT(K165,LEN(K165)-2)&amp;".")</f>
        <v>/A.</v>
      </c>
      <c r="K165" s="10" t="str">
        <f aca="false">IFERROR(__xludf.dummyfunction("CONCATENATE(ArrayFormula(""; ""&amp;QUERY(Hallazgos!A:F,""SELECT B WHERE E CONTAINS '""&amp;B165&amp;""' LABEL B ''"")))"),"#N/A")</f>
        <v>#N/A</v>
      </c>
    </row>
    <row r="166" customFormat="false" ht="15.75" hidden="false" customHeight="true" outlineLevel="0" collapsed="false">
      <c r="A166" s="7" t="s">
        <v>375</v>
      </c>
      <c r="B166" s="8" t="s">
        <v>376</v>
      </c>
      <c r="C166" s="9" t="s">
        <v>41</v>
      </c>
      <c r="D166" s="9" t="s">
        <v>352</v>
      </c>
      <c r="E166" s="9" t="s">
        <v>181</v>
      </c>
      <c r="F166" s="9" t="s">
        <v>73</v>
      </c>
      <c r="G166" s="10" t="s">
        <v>17</v>
      </c>
      <c r="H166" s="10" t="s">
        <v>17</v>
      </c>
      <c r="I166" s="10" t="s">
        <v>17</v>
      </c>
      <c r="J166" s="11" t="str">
        <f aca="false">IF(IFERROR(K166,7)=7,"",RIGHT(K166,LEN(K166)-2)&amp;".")</f>
        <v>/A.</v>
      </c>
      <c r="K166" s="10" t="str">
        <f aca="false">IFERROR(__xludf.dummyfunction("CONCATENATE(ArrayFormula(""; ""&amp;QUERY(Hallazgos!A:F,""SELECT B WHERE E CONTAINS '""&amp;B166&amp;""' LABEL B ''"")))"),"#N/A")</f>
        <v>#N/A</v>
      </c>
    </row>
    <row r="167" customFormat="false" ht="15.75" hidden="false" customHeight="true" outlineLevel="0" collapsed="false">
      <c r="A167" s="7" t="s">
        <v>377</v>
      </c>
      <c r="B167" s="8" t="s">
        <v>378</v>
      </c>
      <c r="C167" s="9" t="s">
        <v>41</v>
      </c>
      <c r="D167" s="9" t="s">
        <v>352</v>
      </c>
      <c r="E167" s="9" t="s">
        <v>132</v>
      </c>
      <c r="F167" s="9" t="s">
        <v>73</v>
      </c>
      <c r="G167" s="10" t="s">
        <v>17</v>
      </c>
      <c r="H167" s="10" t="s">
        <v>17</v>
      </c>
      <c r="I167" s="10" t="s">
        <v>17</v>
      </c>
      <c r="J167" s="11" t="str">
        <f aca="false">IF(IFERROR(K167,7)=7,"",RIGHT(K167,LEN(K167)-2)&amp;".")</f>
        <v>/A.</v>
      </c>
      <c r="K167" s="10" t="str">
        <f aca="false">IFERROR(__xludf.dummyfunction("CONCATENATE(ArrayFormula(""; ""&amp;QUERY(Hallazgos!A:F,""SELECT B WHERE E CONTAINS '""&amp;B167&amp;""' LABEL B ''"")))"),"#N/A")</f>
        <v>#N/A</v>
      </c>
    </row>
    <row r="168" customFormat="false" ht="15.75" hidden="false" customHeight="true" outlineLevel="0" collapsed="false">
      <c r="A168" s="7" t="s">
        <v>379</v>
      </c>
      <c r="B168" s="8" t="s">
        <v>380</v>
      </c>
      <c r="C168" s="9" t="s">
        <v>41</v>
      </c>
      <c r="D168" s="9" t="s">
        <v>352</v>
      </c>
      <c r="E168" s="9" t="s">
        <v>181</v>
      </c>
      <c r="F168" s="9" t="s">
        <v>73</v>
      </c>
      <c r="G168" s="10" t="s">
        <v>17</v>
      </c>
      <c r="H168" s="10" t="s">
        <v>17</v>
      </c>
      <c r="I168" s="10" t="s">
        <v>17</v>
      </c>
      <c r="J168" s="11" t="str">
        <f aca="false">IF(IFERROR(K168,7)=7,"",RIGHT(K168,LEN(K168)-2)&amp;".")</f>
        <v>/A.</v>
      </c>
      <c r="K168" s="10" t="str">
        <f aca="false">IFERROR(__xludf.dummyfunction("CONCATENATE(ArrayFormula(""; ""&amp;QUERY(Hallazgos!A:F,""SELECT B WHERE E CONTAINS '""&amp;B168&amp;""' LABEL B ''"")))"),"#N/A")</f>
        <v>#N/A</v>
      </c>
    </row>
    <row r="169" customFormat="false" ht="15.75" hidden="false" customHeight="true" outlineLevel="0" collapsed="false">
      <c r="A169" s="7" t="s">
        <v>381</v>
      </c>
      <c r="B169" s="8" t="s">
        <v>382</v>
      </c>
      <c r="C169" s="9" t="s">
        <v>41</v>
      </c>
      <c r="D169" s="9" t="s">
        <v>352</v>
      </c>
      <c r="E169" s="9" t="s">
        <v>132</v>
      </c>
      <c r="F169" s="9" t="s">
        <v>73</v>
      </c>
      <c r="G169" s="10" t="s">
        <v>17</v>
      </c>
      <c r="H169" s="10" t="s">
        <v>17</v>
      </c>
      <c r="I169" s="10" t="s">
        <v>17</v>
      </c>
      <c r="J169" s="11" t="str">
        <f aca="false">IF(IFERROR(K169,7)=7,"",RIGHT(K169,LEN(K169)-2)&amp;".")</f>
        <v>/A.</v>
      </c>
      <c r="K169" s="10" t="str">
        <f aca="false">IFERROR(__xludf.dummyfunction("CONCATENATE(ArrayFormula(""; ""&amp;QUERY(Hallazgos!A:F,""SELECT B WHERE E CONTAINS '""&amp;B169&amp;""' LABEL B ''"")))"),"#N/A")</f>
        <v>#N/A</v>
      </c>
    </row>
    <row r="170" customFormat="false" ht="15.75" hidden="false" customHeight="true" outlineLevel="0" collapsed="false">
      <c r="A170" s="7" t="s">
        <v>383</v>
      </c>
      <c r="B170" s="8" t="s">
        <v>384</v>
      </c>
      <c r="C170" s="9" t="s">
        <v>41</v>
      </c>
      <c r="D170" s="9" t="s">
        <v>352</v>
      </c>
      <c r="E170" s="9" t="s">
        <v>116</v>
      </c>
      <c r="F170" s="9" t="s">
        <v>73</v>
      </c>
      <c r="G170" s="10" t="s">
        <v>17</v>
      </c>
      <c r="H170" s="10" t="s">
        <v>17</v>
      </c>
      <c r="I170" s="10" t="s">
        <v>17</v>
      </c>
      <c r="J170" s="11" t="str">
        <f aca="false">IF(IFERROR(K170,7)=7,"",RIGHT(K170,LEN(K170)-2)&amp;".")</f>
        <v>/A.</v>
      </c>
      <c r="K170" s="10" t="str">
        <f aca="false">IFERROR(__xludf.dummyfunction("CONCATENATE(ArrayFormula(""; ""&amp;QUERY(Hallazgos!A:F,""SELECT B WHERE E CONTAINS '""&amp;B170&amp;""' LABEL B ''"")))"),"#N/A")</f>
        <v>#N/A</v>
      </c>
    </row>
    <row r="171" customFormat="false" ht="15.75" hidden="false" customHeight="true" outlineLevel="0" collapsed="false">
      <c r="A171" s="7" t="s">
        <v>385</v>
      </c>
      <c r="B171" s="8" t="s">
        <v>386</v>
      </c>
      <c r="C171" s="9" t="s">
        <v>41</v>
      </c>
      <c r="D171" s="9" t="s">
        <v>352</v>
      </c>
      <c r="E171" s="9" t="s">
        <v>132</v>
      </c>
      <c r="F171" s="9" t="s">
        <v>73</v>
      </c>
      <c r="G171" s="10" t="s">
        <v>17</v>
      </c>
      <c r="H171" s="10" t="s">
        <v>17</v>
      </c>
      <c r="I171" s="10" t="s">
        <v>17</v>
      </c>
      <c r="J171" s="11" t="str">
        <f aca="false">IF(IFERROR(K171,7)=7,"",RIGHT(K171,LEN(K171)-2)&amp;".")</f>
        <v>/A.</v>
      </c>
      <c r="K171" s="10" t="str">
        <f aca="false">IFERROR(__xludf.dummyfunction("CONCATENATE(ArrayFormula(""; ""&amp;QUERY(Hallazgos!A:F,""SELECT B WHERE E CONTAINS '""&amp;B171&amp;""' LABEL B ''"")))"),"#N/A")</f>
        <v>#N/A</v>
      </c>
    </row>
    <row r="172" customFormat="false" ht="15.75" hidden="false" customHeight="true" outlineLevel="0" collapsed="false">
      <c r="A172" s="7" t="s">
        <v>387</v>
      </c>
      <c r="B172" s="8" t="s">
        <v>388</v>
      </c>
      <c r="C172" s="9" t="s">
        <v>41</v>
      </c>
      <c r="D172" s="9" t="s">
        <v>352</v>
      </c>
      <c r="E172" s="9" t="s">
        <v>81</v>
      </c>
      <c r="F172" s="9" t="s">
        <v>104</v>
      </c>
      <c r="G172" s="10" t="s">
        <v>17</v>
      </c>
      <c r="H172" s="10" t="s">
        <v>17</v>
      </c>
      <c r="I172" s="10" t="s">
        <v>17</v>
      </c>
      <c r="J172" s="11" t="str">
        <f aca="false">IF(IFERROR(K172,7)=7,"",RIGHT(K172,LEN(K172)-2)&amp;".")</f>
        <v>/A.</v>
      </c>
      <c r="K172" s="10" t="str">
        <f aca="false">IFERROR(__xludf.dummyfunction("CONCATENATE(ArrayFormula(""; ""&amp;QUERY(Hallazgos!A:F,""SELECT B WHERE E CONTAINS '""&amp;B172&amp;""' LABEL B ''"")))"),"#N/A")</f>
        <v>#N/A</v>
      </c>
    </row>
    <row r="173" customFormat="false" ht="15.75" hidden="false" customHeight="true" outlineLevel="0" collapsed="false">
      <c r="A173" s="7" t="s">
        <v>389</v>
      </c>
      <c r="B173" s="8" t="s">
        <v>390</v>
      </c>
      <c r="C173" s="9" t="s">
        <v>41</v>
      </c>
      <c r="D173" s="9" t="s">
        <v>352</v>
      </c>
      <c r="E173" s="9" t="s">
        <v>81</v>
      </c>
      <c r="F173" s="9" t="s">
        <v>73</v>
      </c>
      <c r="G173" s="10" t="s">
        <v>17</v>
      </c>
      <c r="H173" s="10" t="s">
        <v>17</v>
      </c>
      <c r="I173" s="10" t="s">
        <v>17</v>
      </c>
      <c r="J173" s="11" t="str">
        <f aca="false">IF(IFERROR(K173,7)=7,"",RIGHT(K173,LEN(K173)-2)&amp;".")</f>
        <v>/A.</v>
      </c>
      <c r="K173" s="10" t="str">
        <f aca="false">IFERROR(__xludf.dummyfunction("CONCATENATE(ArrayFormula(""; ""&amp;QUERY(Hallazgos!A:F,""SELECT B WHERE E CONTAINS '""&amp;B173&amp;""' LABEL B ''"")))"),"#N/A")</f>
        <v>#N/A</v>
      </c>
    </row>
    <row r="174" customFormat="false" ht="15.75" hidden="false" customHeight="true" outlineLevel="0" collapsed="false">
      <c r="A174" s="7" t="s">
        <v>391</v>
      </c>
      <c r="B174" s="8" t="s">
        <v>392</v>
      </c>
      <c r="C174" s="9" t="s">
        <v>41</v>
      </c>
      <c r="D174" s="9" t="s">
        <v>352</v>
      </c>
      <c r="E174" s="9" t="s">
        <v>116</v>
      </c>
      <c r="F174" s="9" t="s">
        <v>73</v>
      </c>
      <c r="G174" s="10" t="s">
        <v>17</v>
      </c>
      <c r="H174" s="10" t="s">
        <v>17</v>
      </c>
      <c r="I174" s="10" t="s">
        <v>17</v>
      </c>
      <c r="J174" s="11" t="str">
        <f aca="false">IF(IFERROR(K174,7)=7,"",RIGHT(K174,LEN(K174)-2)&amp;".")</f>
        <v>/A.</v>
      </c>
      <c r="K174" s="10" t="str">
        <f aca="false">IFERROR(__xludf.dummyfunction("CONCATENATE(ArrayFormula(""; ""&amp;QUERY(Hallazgos!A:F,""SELECT B WHERE E CONTAINS '""&amp;B174&amp;""' LABEL B ''"")))"),"#N/A")</f>
        <v>#N/A</v>
      </c>
    </row>
    <row r="175" customFormat="false" ht="15.75" hidden="false" customHeight="true" outlineLevel="0" collapsed="false">
      <c r="A175" s="7" t="s">
        <v>393</v>
      </c>
      <c r="B175" s="8" t="s">
        <v>394</v>
      </c>
      <c r="C175" s="9" t="s">
        <v>41</v>
      </c>
      <c r="D175" s="9" t="s">
        <v>352</v>
      </c>
      <c r="E175" s="9" t="s">
        <v>116</v>
      </c>
      <c r="F175" s="9" t="s">
        <v>73</v>
      </c>
      <c r="G175" s="10" t="s">
        <v>17</v>
      </c>
      <c r="H175" s="10" t="s">
        <v>17</v>
      </c>
      <c r="I175" s="10" t="s">
        <v>17</v>
      </c>
      <c r="J175" s="11" t="str">
        <f aca="false">IF(IFERROR(K175,7)=7,"",RIGHT(K175,LEN(K175)-2)&amp;".")</f>
        <v>/A.</v>
      </c>
      <c r="K175" s="10" t="str">
        <f aca="false">IFERROR(__xludf.dummyfunction("CONCATENATE(ArrayFormula(""; ""&amp;QUERY(Hallazgos!A:F,""SELECT B WHERE E CONTAINS '""&amp;B175&amp;""' LABEL B ''"")))"),"#N/A")</f>
        <v>#N/A</v>
      </c>
    </row>
    <row r="176" customFormat="false" ht="15.75" hidden="false" customHeight="true" outlineLevel="0" collapsed="false">
      <c r="A176" s="7" t="s">
        <v>395</v>
      </c>
      <c r="B176" s="8" t="s">
        <v>396</v>
      </c>
      <c r="C176" s="9" t="s">
        <v>41</v>
      </c>
      <c r="D176" s="9" t="s">
        <v>352</v>
      </c>
      <c r="E176" s="9" t="s">
        <v>116</v>
      </c>
      <c r="F176" s="9" t="s">
        <v>73</v>
      </c>
      <c r="G176" s="10" t="s">
        <v>17</v>
      </c>
      <c r="H176" s="10" t="s">
        <v>17</v>
      </c>
      <c r="I176" s="10" t="s">
        <v>17</v>
      </c>
      <c r="J176" s="11" t="str">
        <f aca="false">IF(IFERROR(K176,7)=7,"",RIGHT(K176,LEN(K176)-2)&amp;".")</f>
        <v>/A.</v>
      </c>
      <c r="K176" s="10" t="str">
        <f aca="false">IFERROR(__xludf.dummyfunction("CONCATENATE(ArrayFormula(""; ""&amp;QUERY(Hallazgos!A:F,""SELECT B WHERE E CONTAINS '""&amp;B176&amp;""' LABEL B ''"")))"),"#N/A")</f>
        <v>#N/A</v>
      </c>
    </row>
    <row r="177" customFormat="false" ht="15.75" hidden="false" customHeight="true" outlineLevel="0" collapsed="false">
      <c r="A177" s="7" t="s">
        <v>397</v>
      </c>
      <c r="B177" s="8" t="s">
        <v>398</v>
      </c>
      <c r="C177" s="9" t="s">
        <v>41</v>
      </c>
      <c r="D177" s="9" t="s">
        <v>399</v>
      </c>
      <c r="E177" s="9" t="s">
        <v>98</v>
      </c>
      <c r="F177" s="9" t="s">
        <v>55</v>
      </c>
      <c r="G177" s="10" t="s">
        <v>17</v>
      </c>
      <c r="H177" s="10" t="s">
        <v>17</v>
      </c>
      <c r="I177" s="10" t="s">
        <v>17</v>
      </c>
      <c r="J177" s="11" t="str">
        <f aca="false">IF(IFERROR(K177,7)=7,"",RIGHT(K177,LEN(K177)-2)&amp;".")</f>
        <v>/A.</v>
      </c>
      <c r="K177" s="10" t="str">
        <f aca="false">IFERROR(__xludf.dummyfunction("CONCATENATE(ArrayFormula(""; ""&amp;QUERY(Hallazgos!A:F,""SELECT B WHERE E CONTAINS '""&amp;B177&amp;""' LABEL B ''"")))"),"#N/A")</f>
        <v>#N/A</v>
      </c>
    </row>
    <row r="178" customFormat="false" ht="15.75" hidden="false" customHeight="true" outlineLevel="0" collapsed="false">
      <c r="A178" s="7" t="s">
        <v>400</v>
      </c>
      <c r="B178" s="12" t="s">
        <v>401</v>
      </c>
      <c r="C178" s="9" t="s">
        <v>41</v>
      </c>
      <c r="D178" s="9" t="s">
        <v>399</v>
      </c>
      <c r="E178" s="9" t="s">
        <v>81</v>
      </c>
      <c r="F178" s="9" t="s">
        <v>55</v>
      </c>
      <c r="G178" s="10" t="s">
        <v>17</v>
      </c>
      <c r="H178" s="10" t="s">
        <v>17</v>
      </c>
      <c r="I178" s="10" t="s">
        <v>17</v>
      </c>
      <c r="J178" s="11" t="str">
        <f aca="false">IF(IFERROR(K178,7)=7,"",RIGHT(K178,LEN(K178)-2)&amp;".")</f>
        <v>/A.</v>
      </c>
      <c r="K178" s="10" t="str">
        <f aca="false">IFERROR(__xludf.dummyfunction("CONCATENATE(ArrayFormula(""; ""&amp;QUERY(Hallazgos!A:F,""SELECT B WHERE E CONTAINS '""&amp;B178&amp;""' LABEL B ''"")))"),"#N/A")</f>
        <v>#N/A</v>
      </c>
    </row>
    <row r="179" customFormat="false" ht="15.75" hidden="false" customHeight="true" outlineLevel="0" collapsed="false">
      <c r="A179" s="7" t="s">
        <v>402</v>
      </c>
      <c r="B179" s="8" t="s">
        <v>403</v>
      </c>
      <c r="C179" s="9" t="s">
        <v>41</v>
      </c>
      <c r="D179" s="9" t="s">
        <v>399</v>
      </c>
      <c r="E179" s="9" t="s">
        <v>88</v>
      </c>
      <c r="F179" s="9" t="s">
        <v>55</v>
      </c>
      <c r="G179" s="10" t="s">
        <v>17</v>
      </c>
      <c r="H179" s="10" t="s">
        <v>17</v>
      </c>
      <c r="I179" s="10" t="s">
        <v>17</v>
      </c>
      <c r="J179" s="11" t="str">
        <f aca="false">IF(IFERROR(K179,7)=7,"",RIGHT(K179,LEN(K179)-2)&amp;".")</f>
        <v>/A.</v>
      </c>
      <c r="K179" s="10" t="str">
        <f aca="false">IFERROR(__xludf.dummyfunction("CONCATENATE(ArrayFormula(""; ""&amp;QUERY(Hallazgos!A:F,""SELECT B WHERE E CONTAINS '""&amp;B179&amp;""' LABEL B ''"")))"),"#N/A")</f>
        <v>#N/A</v>
      </c>
    </row>
    <row r="180" customFormat="false" ht="15.75" hidden="false" customHeight="true" outlineLevel="0" collapsed="false">
      <c r="A180" s="7" t="s">
        <v>404</v>
      </c>
      <c r="B180" s="8" t="s">
        <v>405</v>
      </c>
      <c r="C180" s="9" t="s">
        <v>38</v>
      </c>
      <c r="D180" s="9" t="s">
        <v>399</v>
      </c>
      <c r="E180" s="9" t="s">
        <v>406</v>
      </c>
      <c r="F180" s="9" t="s">
        <v>55</v>
      </c>
      <c r="G180" s="10" t="s">
        <v>17</v>
      </c>
      <c r="H180" s="10" t="s">
        <v>17</v>
      </c>
      <c r="I180" s="10" t="s">
        <v>17</v>
      </c>
      <c r="J180" s="11" t="str">
        <f aca="false">IF(IFERROR(K180,7)=7,"",RIGHT(K180,LEN(K180)-2)&amp;".")</f>
        <v>/A.</v>
      </c>
      <c r="K180" s="10" t="str">
        <f aca="false">IFERROR(__xludf.dummyfunction("CONCATENATE(ArrayFormula(""; ""&amp;QUERY(Hallazgos!A:F,""SELECT B WHERE E CONTAINS '""&amp;B180&amp;""' LABEL B ''"")))"),"#N/A")</f>
        <v>#N/A</v>
      </c>
    </row>
    <row r="181" customFormat="false" ht="15.75" hidden="false" customHeight="true" outlineLevel="0" collapsed="false">
      <c r="A181" s="7" t="s">
        <v>407</v>
      </c>
      <c r="B181" s="8" t="s">
        <v>408</v>
      </c>
      <c r="C181" s="9" t="s">
        <v>13</v>
      </c>
      <c r="D181" s="9" t="s">
        <v>399</v>
      </c>
      <c r="E181" s="9" t="s">
        <v>81</v>
      </c>
      <c r="F181" s="9" t="s">
        <v>55</v>
      </c>
      <c r="G181" s="10" t="s">
        <v>17</v>
      </c>
      <c r="H181" s="10" t="s">
        <v>17</v>
      </c>
      <c r="I181" s="10" t="s">
        <v>17</v>
      </c>
      <c r="J181" s="11" t="str">
        <f aca="false">IF(IFERROR(K181,7)=7,"",RIGHT(K181,LEN(K181)-2)&amp;".")</f>
        <v>/A.</v>
      </c>
      <c r="K181" s="10" t="str">
        <f aca="false">IFERROR(__xludf.dummyfunction("CONCATENATE(ArrayFormula(""; ""&amp;QUERY(Hallazgos!A:F,""SELECT B WHERE E CONTAINS '""&amp;B181&amp;""' LABEL B ''"")))"),"#N/A")</f>
        <v>#N/A</v>
      </c>
    </row>
    <row r="182" customFormat="false" ht="15.75" hidden="false" customHeight="true" outlineLevel="0" collapsed="false">
      <c r="A182" s="7" t="s">
        <v>409</v>
      </c>
      <c r="B182" s="8" t="s">
        <v>410</v>
      </c>
      <c r="C182" s="9" t="s">
        <v>13</v>
      </c>
      <c r="D182" s="9" t="s">
        <v>399</v>
      </c>
      <c r="E182" s="9" t="s">
        <v>81</v>
      </c>
      <c r="F182" s="9" t="s">
        <v>55</v>
      </c>
      <c r="G182" s="10" t="s">
        <v>17</v>
      </c>
      <c r="H182" s="10" t="s">
        <v>17</v>
      </c>
      <c r="I182" s="10" t="s">
        <v>17</v>
      </c>
      <c r="J182" s="11" t="str">
        <f aca="false">IF(IFERROR(K182,7)=7,"",RIGHT(K182,LEN(K182)-2)&amp;".")</f>
        <v>/A.</v>
      </c>
      <c r="K182" s="10" t="str">
        <f aca="false">IFERROR(__xludf.dummyfunction("CONCATENATE(ArrayFormula(""; ""&amp;QUERY(Hallazgos!A:F,""SELECT B WHERE E CONTAINS '""&amp;B182&amp;""' LABEL B ''"")))"),"#N/A")</f>
        <v>#N/A</v>
      </c>
    </row>
    <row r="183" customFormat="false" ht="15.75" hidden="false" customHeight="true" outlineLevel="0" collapsed="false">
      <c r="A183" s="7" t="s">
        <v>411</v>
      </c>
      <c r="B183" s="8" t="s">
        <v>412</v>
      </c>
      <c r="C183" s="9" t="s">
        <v>13</v>
      </c>
      <c r="D183" s="9" t="s">
        <v>399</v>
      </c>
      <c r="E183" s="9" t="s">
        <v>406</v>
      </c>
      <c r="F183" s="9" t="s">
        <v>55</v>
      </c>
      <c r="G183" s="10" t="s">
        <v>17</v>
      </c>
      <c r="H183" s="10" t="s">
        <v>17</v>
      </c>
      <c r="I183" s="10" t="s">
        <v>17</v>
      </c>
      <c r="J183" s="11" t="str">
        <f aca="false">IF(IFERROR(K183,7)=7,"",RIGHT(K183,LEN(K183)-2)&amp;".")</f>
        <v>/A.</v>
      </c>
      <c r="K183" s="10" t="str">
        <f aca="false">IFERROR(__xludf.dummyfunction("CONCATENATE(ArrayFormula(""; ""&amp;QUERY(Hallazgos!A:F,""SELECT B WHERE E CONTAINS '""&amp;B183&amp;""' LABEL B ''"")))"),"#N/A")</f>
        <v>#N/A</v>
      </c>
    </row>
    <row r="184" customFormat="false" ht="15.75" hidden="false" customHeight="true" outlineLevel="0" collapsed="false">
      <c r="A184" s="7" t="s">
        <v>413</v>
      </c>
      <c r="B184" s="8" t="s">
        <v>414</v>
      </c>
      <c r="C184" s="9" t="s">
        <v>41</v>
      </c>
      <c r="D184" s="9" t="s">
        <v>399</v>
      </c>
      <c r="E184" s="9" t="s">
        <v>81</v>
      </c>
      <c r="F184" s="9" t="s">
        <v>55</v>
      </c>
      <c r="G184" s="10" t="s">
        <v>17</v>
      </c>
      <c r="H184" s="10" t="s">
        <v>17</v>
      </c>
      <c r="I184" s="10" t="s">
        <v>17</v>
      </c>
      <c r="J184" s="11" t="str">
        <f aca="false">IF(IFERROR(K184,7)=7,"",RIGHT(K184,LEN(K184)-2)&amp;".")</f>
        <v>/A.</v>
      </c>
      <c r="K184" s="10" t="str">
        <f aca="false">IFERROR(__xludf.dummyfunction("CONCATENATE(ArrayFormula(""; ""&amp;QUERY(Hallazgos!A:F,""SELECT B WHERE E CONTAINS '""&amp;B184&amp;""' LABEL B ''"")))"),"#N/A")</f>
        <v>#N/A</v>
      </c>
    </row>
    <row r="185" customFormat="false" ht="15.75" hidden="false" customHeight="true" outlineLevel="0" collapsed="false">
      <c r="A185" s="7" t="s">
        <v>415</v>
      </c>
      <c r="B185" s="8" t="s">
        <v>416</v>
      </c>
      <c r="C185" s="9" t="s">
        <v>41</v>
      </c>
      <c r="D185" s="9" t="s">
        <v>399</v>
      </c>
      <c r="E185" s="9" t="s">
        <v>81</v>
      </c>
      <c r="F185" s="9" t="s">
        <v>55</v>
      </c>
      <c r="G185" s="10" t="s">
        <v>17</v>
      </c>
      <c r="H185" s="10" t="s">
        <v>17</v>
      </c>
      <c r="I185" s="10" t="s">
        <v>17</v>
      </c>
      <c r="J185" s="11" t="str">
        <f aca="false">IF(IFERROR(K185,7)=7,"",RIGHT(K185,LEN(K185)-2)&amp;".")</f>
        <v>/A.</v>
      </c>
      <c r="K185" s="10" t="str">
        <f aca="false">IFERROR(__xludf.dummyfunction("CONCATENATE(ArrayFormula(""; ""&amp;QUERY(Hallazgos!A:F,""SELECT B WHERE E CONTAINS '""&amp;B185&amp;""' LABEL B ''"")))"),"#N/A")</f>
        <v>#N/A</v>
      </c>
    </row>
    <row r="186" customFormat="false" ht="15.75" hidden="false" customHeight="true" outlineLevel="0" collapsed="false">
      <c r="A186" s="7" t="s">
        <v>417</v>
      </c>
      <c r="B186" s="8" t="s">
        <v>418</v>
      </c>
      <c r="C186" s="9" t="s">
        <v>13</v>
      </c>
      <c r="D186" s="9" t="s">
        <v>399</v>
      </c>
      <c r="E186" s="9" t="s">
        <v>81</v>
      </c>
      <c r="F186" s="9" t="s">
        <v>55</v>
      </c>
      <c r="G186" s="10" t="s">
        <v>17</v>
      </c>
      <c r="H186" s="10" t="s">
        <v>17</v>
      </c>
      <c r="I186" s="10" t="s">
        <v>17</v>
      </c>
      <c r="J186" s="11" t="str">
        <f aca="false">IF(IFERROR(K186,7)=7,"",RIGHT(K186,LEN(K186)-2)&amp;".")</f>
        <v>/A.</v>
      </c>
      <c r="K186" s="10" t="str">
        <f aca="false">IFERROR(__xludf.dummyfunction("CONCATENATE(ArrayFormula(""; ""&amp;QUERY(Hallazgos!A:F,""SELECT B WHERE E CONTAINS '""&amp;B186&amp;""' LABEL B ''"")))"),"#N/A")</f>
        <v>#N/A</v>
      </c>
    </row>
    <row r="187" customFormat="false" ht="15.75" hidden="false" customHeight="true" outlineLevel="0" collapsed="false">
      <c r="A187" s="7" t="s">
        <v>419</v>
      </c>
      <c r="B187" s="8" t="s">
        <v>420</v>
      </c>
      <c r="C187" s="9" t="s">
        <v>13</v>
      </c>
      <c r="D187" s="9" t="s">
        <v>399</v>
      </c>
      <c r="E187" s="9" t="s">
        <v>81</v>
      </c>
      <c r="F187" s="9" t="s">
        <v>55</v>
      </c>
      <c r="G187" s="10" t="s">
        <v>17</v>
      </c>
      <c r="H187" s="10" t="s">
        <v>17</v>
      </c>
      <c r="I187" s="10" t="s">
        <v>17</v>
      </c>
      <c r="J187" s="11" t="str">
        <f aca="false">IF(IFERROR(K187,7)=7,"",RIGHT(K187,LEN(K187)-2)&amp;".")</f>
        <v>/A.</v>
      </c>
      <c r="K187" s="10" t="str">
        <f aca="false">IFERROR(__xludf.dummyfunction("CONCATENATE(ArrayFormula(""; ""&amp;QUERY(Hallazgos!A:F,""SELECT B WHERE E CONTAINS '""&amp;B187&amp;""' LABEL B ''"")))"),"#N/A")</f>
        <v>#N/A</v>
      </c>
    </row>
    <row r="188" customFormat="false" ht="15.75" hidden="false" customHeight="true" outlineLevel="0" collapsed="false">
      <c r="A188" s="7" t="s">
        <v>421</v>
      </c>
      <c r="B188" s="8" t="s">
        <v>422</v>
      </c>
      <c r="C188" s="9" t="s">
        <v>13</v>
      </c>
      <c r="D188" s="9" t="s">
        <v>399</v>
      </c>
      <c r="E188" s="9" t="s">
        <v>81</v>
      </c>
      <c r="F188" s="9" t="s">
        <v>16</v>
      </c>
      <c r="G188" s="10" t="s">
        <v>17</v>
      </c>
      <c r="H188" s="10" t="s">
        <v>17</v>
      </c>
      <c r="I188" s="10" t="s">
        <v>17</v>
      </c>
      <c r="J188" s="11" t="str">
        <f aca="false">IF(IFERROR(K188,7)=7,"",RIGHT(K188,LEN(K188)-2)&amp;".")</f>
        <v>/A.</v>
      </c>
      <c r="K188" s="10" t="str">
        <f aca="false">IFERROR(__xludf.dummyfunction("CONCATENATE(ArrayFormula(""; ""&amp;QUERY(Hallazgos!A:F,""SELECT B WHERE E CONTAINS '""&amp;B188&amp;""' LABEL B ''"")))"),"#N/A")</f>
        <v>#N/A</v>
      </c>
    </row>
    <row r="189" customFormat="false" ht="15.75" hidden="false" customHeight="true" outlineLevel="0" collapsed="false">
      <c r="A189" s="7" t="s">
        <v>423</v>
      </c>
      <c r="B189" s="8" t="s">
        <v>424</v>
      </c>
      <c r="C189" s="9" t="s">
        <v>13</v>
      </c>
      <c r="D189" s="9" t="s">
        <v>399</v>
      </c>
      <c r="E189" s="9" t="s">
        <v>81</v>
      </c>
      <c r="F189" s="9" t="s">
        <v>16</v>
      </c>
      <c r="G189" s="10" t="s">
        <v>17</v>
      </c>
      <c r="H189" s="10" t="s">
        <v>17</v>
      </c>
      <c r="I189" s="10" t="s">
        <v>17</v>
      </c>
      <c r="J189" s="11" t="str">
        <f aca="false">IF(IFERROR(K189,7)=7,"",RIGHT(K189,LEN(K189)-2)&amp;".")</f>
        <v>/A.</v>
      </c>
      <c r="K189" s="10" t="str">
        <f aca="false">IFERROR(__xludf.dummyfunction("CONCATENATE(ArrayFormula(""; ""&amp;QUERY(Hallazgos!A:F,""SELECT B WHERE E CONTAINS '""&amp;B189&amp;""' LABEL B ''"")))"),"#N/A")</f>
        <v>#N/A</v>
      </c>
    </row>
    <row r="190" customFormat="false" ht="15.75" hidden="false" customHeight="true" outlineLevel="0" collapsed="false">
      <c r="A190" s="7" t="s">
        <v>425</v>
      </c>
      <c r="B190" s="8" t="s">
        <v>426</v>
      </c>
      <c r="C190" s="9" t="s">
        <v>13</v>
      </c>
      <c r="D190" s="9" t="s">
        <v>399</v>
      </c>
      <c r="E190" s="9" t="s">
        <v>81</v>
      </c>
      <c r="F190" s="9" t="s">
        <v>44</v>
      </c>
      <c r="G190" s="10" t="s">
        <v>17</v>
      </c>
      <c r="H190" s="10" t="s">
        <v>17</v>
      </c>
      <c r="I190" s="10" t="s">
        <v>17</v>
      </c>
      <c r="J190" s="11" t="str">
        <f aca="false">IF(IFERROR(K190,7)=7,"",RIGHT(K190,LEN(K190)-2)&amp;".")</f>
        <v>/A.</v>
      </c>
      <c r="K190" s="10" t="str">
        <f aca="false">IFERROR(__xludf.dummyfunction("CONCATENATE(ArrayFormula(""; ""&amp;QUERY(Hallazgos!A:F,""SELECT B WHERE E CONTAINS '""&amp;B190&amp;""' LABEL B ''"")))"),"#N/A")</f>
        <v>#N/A</v>
      </c>
    </row>
    <row r="191" customFormat="false" ht="15.75" hidden="false" customHeight="true" outlineLevel="0" collapsed="false">
      <c r="A191" s="7" t="s">
        <v>427</v>
      </c>
      <c r="B191" s="8" t="s">
        <v>428</v>
      </c>
      <c r="C191" s="9" t="s">
        <v>13</v>
      </c>
      <c r="D191" s="9" t="s">
        <v>399</v>
      </c>
      <c r="E191" s="9" t="s">
        <v>81</v>
      </c>
      <c r="F191" s="9" t="s">
        <v>73</v>
      </c>
      <c r="G191" s="10" t="s">
        <v>17</v>
      </c>
      <c r="H191" s="10" t="s">
        <v>17</v>
      </c>
      <c r="I191" s="10" t="s">
        <v>17</v>
      </c>
      <c r="J191" s="11" t="str">
        <f aca="false">IF(IFERROR(K191,7)=7,"",RIGHT(K191,LEN(K191)-2)&amp;".")</f>
        <v>/A.</v>
      </c>
      <c r="K191" s="10" t="str">
        <f aca="false">IFERROR(__xludf.dummyfunction("CONCATENATE(ArrayFormula(""; ""&amp;QUERY(Hallazgos!A:F,""SELECT B WHERE E CONTAINS '""&amp;B191&amp;""' LABEL B ''"")))"),"#N/A")</f>
        <v>#N/A</v>
      </c>
    </row>
    <row r="192" customFormat="false" ht="15.75" hidden="false" customHeight="true" outlineLevel="0" collapsed="false">
      <c r="A192" s="7" t="s">
        <v>429</v>
      </c>
      <c r="B192" s="8" t="s">
        <v>430</v>
      </c>
      <c r="C192" s="9" t="s">
        <v>13</v>
      </c>
      <c r="D192" s="9" t="s">
        <v>399</v>
      </c>
      <c r="E192" s="9" t="s">
        <v>81</v>
      </c>
      <c r="F192" s="9" t="s">
        <v>55</v>
      </c>
      <c r="G192" s="10" t="s">
        <v>17</v>
      </c>
      <c r="H192" s="10" t="s">
        <v>17</v>
      </c>
      <c r="I192" s="10" t="s">
        <v>17</v>
      </c>
      <c r="J192" s="11" t="str">
        <f aca="false">IF(IFERROR(K192,7)=7,"",RIGHT(K192,LEN(K192)-2)&amp;".")</f>
        <v>/A.</v>
      </c>
      <c r="K192" s="10" t="str">
        <f aca="false">IFERROR(__xludf.dummyfunction("CONCATENATE(ArrayFormula(""; ""&amp;QUERY(Hallazgos!A:F,""SELECT B WHERE E CONTAINS '""&amp;B192&amp;""' LABEL B ''"")))"),"#N/A")</f>
        <v>#N/A</v>
      </c>
    </row>
    <row r="193" customFormat="false" ht="15.75" hidden="false" customHeight="true" outlineLevel="0" collapsed="false">
      <c r="A193" s="7" t="s">
        <v>431</v>
      </c>
      <c r="B193" s="8" t="s">
        <v>432</v>
      </c>
      <c r="C193" s="9" t="s">
        <v>41</v>
      </c>
      <c r="D193" s="9" t="s">
        <v>399</v>
      </c>
      <c r="E193" s="9" t="s">
        <v>81</v>
      </c>
      <c r="F193" s="9" t="s">
        <v>55</v>
      </c>
      <c r="G193" s="10" t="s">
        <v>17</v>
      </c>
      <c r="H193" s="10" t="s">
        <v>17</v>
      </c>
      <c r="I193" s="10" t="s">
        <v>17</v>
      </c>
      <c r="J193" s="11" t="str">
        <f aca="false">IF(IFERROR(K193,7)=7,"",RIGHT(K193,LEN(K193)-2)&amp;".")</f>
        <v>/A.</v>
      </c>
      <c r="K193" s="10" t="str">
        <f aca="false">IFERROR(__xludf.dummyfunction("CONCATENATE(ArrayFormula(""; ""&amp;QUERY(Hallazgos!A:F,""SELECT B WHERE E CONTAINS '""&amp;B193&amp;""' LABEL B ''"")))"),"#N/A")</f>
        <v>#N/A</v>
      </c>
    </row>
    <row r="194" customFormat="false" ht="15.75" hidden="false" customHeight="true" outlineLevel="0" collapsed="false">
      <c r="A194" s="7" t="s">
        <v>433</v>
      </c>
      <c r="B194" s="8" t="s">
        <v>434</v>
      </c>
      <c r="C194" s="9" t="s">
        <v>41</v>
      </c>
      <c r="D194" s="9" t="s">
        <v>399</v>
      </c>
      <c r="E194" s="9" t="s">
        <v>406</v>
      </c>
      <c r="F194" s="9" t="s">
        <v>55</v>
      </c>
      <c r="G194" s="10" t="s">
        <v>17</v>
      </c>
      <c r="H194" s="10" t="s">
        <v>17</v>
      </c>
      <c r="I194" s="10" t="s">
        <v>17</v>
      </c>
      <c r="J194" s="11" t="str">
        <f aca="false">IF(IFERROR(K194,7)=7,"",RIGHT(K194,LEN(K194)-2)&amp;".")</f>
        <v>/A.</v>
      </c>
      <c r="K194" s="10" t="str">
        <f aca="false">IFERROR(__xludf.dummyfunction("CONCATENATE(ArrayFormula(""; ""&amp;QUERY(Hallazgos!A:F,""SELECT B WHERE E CONTAINS '""&amp;B194&amp;""' LABEL B ''"")))"),"#N/A")</f>
        <v>#N/A</v>
      </c>
    </row>
    <row r="195" customFormat="false" ht="15.75" hidden="false" customHeight="true" outlineLevel="0" collapsed="false">
      <c r="A195" s="7" t="s">
        <v>435</v>
      </c>
      <c r="B195" s="8" t="s">
        <v>436</v>
      </c>
      <c r="C195" s="9" t="s">
        <v>13</v>
      </c>
      <c r="D195" s="9" t="s">
        <v>437</v>
      </c>
      <c r="E195" s="9" t="s">
        <v>98</v>
      </c>
      <c r="F195" s="9" t="s">
        <v>55</v>
      </c>
      <c r="G195" s="10" t="s">
        <v>17</v>
      </c>
      <c r="H195" s="10" t="s">
        <v>17</v>
      </c>
      <c r="I195" s="10" t="s">
        <v>17</v>
      </c>
      <c r="J195" s="11" t="str">
        <f aca="false">IF(IFERROR(K195,7)=7,"",RIGHT(K195,LEN(K195)-2)&amp;".")</f>
        <v>/A.</v>
      </c>
      <c r="K195" s="10" t="str">
        <f aca="false">IFERROR(__xludf.dummyfunction("CONCATENATE(ArrayFormula(""; ""&amp;QUERY(Hallazgos!A:F,""SELECT B WHERE E CONTAINS '""&amp;B195&amp;""' LABEL B ''"")))"),"#N/A")</f>
        <v>#N/A</v>
      </c>
    </row>
    <row r="196" customFormat="false" ht="15.75" hidden="false" customHeight="true" outlineLevel="0" collapsed="false">
      <c r="A196" s="7" t="s">
        <v>438</v>
      </c>
      <c r="B196" s="8" t="s">
        <v>439</v>
      </c>
      <c r="C196" s="9" t="s">
        <v>13</v>
      </c>
      <c r="D196" s="9" t="s">
        <v>437</v>
      </c>
      <c r="E196" s="9" t="s">
        <v>98</v>
      </c>
      <c r="F196" s="9" t="s">
        <v>55</v>
      </c>
      <c r="G196" s="10" t="s">
        <v>17</v>
      </c>
      <c r="H196" s="10" t="s">
        <v>17</v>
      </c>
      <c r="I196" s="10" t="s">
        <v>17</v>
      </c>
      <c r="J196" s="11" t="str">
        <f aca="false">IF(IFERROR(K196,7)=7,"",RIGHT(K196,LEN(K196)-2)&amp;".")</f>
        <v>/A.</v>
      </c>
      <c r="K196" s="10" t="str">
        <f aca="false">IFERROR(__xludf.dummyfunction("CONCATENATE(ArrayFormula(""; ""&amp;QUERY(Hallazgos!A:F,""SELECT B WHERE E CONTAINS '""&amp;B196&amp;""' LABEL B ''"")))"),"#N/A")</f>
        <v>#N/A</v>
      </c>
    </row>
    <row r="197" customFormat="false" ht="15.75" hidden="false" customHeight="true" outlineLevel="0" collapsed="false">
      <c r="A197" s="7" t="s">
        <v>440</v>
      </c>
      <c r="B197" s="8" t="s">
        <v>441</v>
      </c>
      <c r="C197" s="9" t="s">
        <v>13</v>
      </c>
      <c r="D197" s="9" t="s">
        <v>437</v>
      </c>
      <c r="E197" s="9" t="s">
        <v>98</v>
      </c>
      <c r="F197" s="9" t="s">
        <v>55</v>
      </c>
      <c r="G197" s="10" t="s">
        <v>17</v>
      </c>
      <c r="H197" s="10" t="s">
        <v>17</v>
      </c>
      <c r="I197" s="10" t="s">
        <v>17</v>
      </c>
      <c r="J197" s="11" t="str">
        <f aca="false">IF(IFERROR(K197,7)=7,"",RIGHT(K197,LEN(K197)-2)&amp;".")</f>
        <v>/A.</v>
      </c>
      <c r="K197" s="10" t="str">
        <f aca="false">IFERROR(__xludf.dummyfunction("CONCATENATE(ArrayFormula(""; ""&amp;QUERY(Hallazgos!A:F,""SELECT B WHERE E CONTAINS '""&amp;B197&amp;""' LABEL B ''"")))"),"#N/A")</f>
        <v>#N/A</v>
      </c>
    </row>
    <row r="198" customFormat="false" ht="15.75" hidden="false" customHeight="true" outlineLevel="0" collapsed="false">
      <c r="A198" s="7" t="s">
        <v>442</v>
      </c>
      <c r="B198" s="8" t="s">
        <v>443</v>
      </c>
      <c r="C198" s="9" t="s">
        <v>13</v>
      </c>
      <c r="D198" s="9" t="s">
        <v>437</v>
      </c>
      <c r="E198" s="9" t="s">
        <v>98</v>
      </c>
      <c r="F198" s="9" t="s">
        <v>55</v>
      </c>
      <c r="G198" s="10" t="s">
        <v>17</v>
      </c>
      <c r="H198" s="10" t="s">
        <v>17</v>
      </c>
      <c r="I198" s="10" t="s">
        <v>17</v>
      </c>
      <c r="J198" s="11" t="str">
        <f aca="false">IF(IFERROR(K198,7)=7,"",RIGHT(K198,LEN(K198)-2)&amp;".")</f>
        <v>/A.</v>
      </c>
      <c r="K198" s="10" t="str">
        <f aca="false">IFERROR(__xludf.dummyfunction("CONCATENATE(ArrayFormula(""; ""&amp;QUERY(Hallazgos!A:F,""SELECT B WHERE E CONTAINS '""&amp;B198&amp;""' LABEL B ''"")))"),"#N/A")</f>
        <v>#N/A</v>
      </c>
    </row>
    <row r="199" customFormat="false" ht="15.75" hidden="false" customHeight="true" outlineLevel="0" collapsed="false">
      <c r="A199" s="7" t="s">
        <v>444</v>
      </c>
      <c r="B199" s="8" t="s">
        <v>445</v>
      </c>
      <c r="C199" s="9" t="s">
        <v>13</v>
      </c>
      <c r="D199" s="9" t="s">
        <v>437</v>
      </c>
      <c r="E199" s="9" t="s">
        <v>98</v>
      </c>
      <c r="F199" s="9" t="s">
        <v>55</v>
      </c>
      <c r="G199" s="10" t="s">
        <v>17</v>
      </c>
      <c r="H199" s="10" t="s">
        <v>17</v>
      </c>
      <c r="I199" s="10" t="s">
        <v>17</v>
      </c>
      <c r="J199" s="11" t="str">
        <f aca="false">IF(IFERROR(K199,7)=7,"",RIGHT(K199,LEN(K199)-2)&amp;".")</f>
        <v>/A.</v>
      </c>
      <c r="K199" s="10" t="str">
        <f aca="false">IFERROR(__xludf.dummyfunction("CONCATENATE(ArrayFormula(""; ""&amp;QUERY(Hallazgos!A:F,""SELECT B WHERE E CONTAINS '""&amp;B199&amp;""' LABEL B ''"")))"),"#N/A")</f>
        <v>#N/A</v>
      </c>
    </row>
    <row r="200" customFormat="false" ht="15.75" hidden="false" customHeight="true" outlineLevel="0" collapsed="false">
      <c r="A200" s="7" t="s">
        <v>446</v>
      </c>
      <c r="B200" s="8" t="s">
        <v>447</v>
      </c>
      <c r="C200" s="9" t="s">
        <v>13</v>
      </c>
      <c r="D200" s="9" t="s">
        <v>437</v>
      </c>
      <c r="E200" s="9" t="s">
        <v>98</v>
      </c>
      <c r="F200" s="9" t="s">
        <v>55</v>
      </c>
      <c r="G200" s="10" t="s">
        <v>17</v>
      </c>
      <c r="H200" s="10" t="s">
        <v>17</v>
      </c>
      <c r="I200" s="10" t="s">
        <v>17</v>
      </c>
      <c r="J200" s="11" t="str">
        <f aca="false">IF(IFERROR(K200,7)=7,"",RIGHT(K200,LEN(K200)-2)&amp;".")</f>
        <v>/A.</v>
      </c>
      <c r="K200" s="10" t="str">
        <f aca="false">IFERROR(__xludf.dummyfunction("CONCATENATE(ArrayFormula(""; ""&amp;QUERY(Hallazgos!A:F,""SELECT B WHERE E CONTAINS '""&amp;B200&amp;""' LABEL B ''"")))"),"#N/A")</f>
        <v>#N/A</v>
      </c>
    </row>
    <row r="201" customFormat="false" ht="15.75" hidden="false" customHeight="true" outlineLevel="0" collapsed="false">
      <c r="A201" s="7" t="s">
        <v>448</v>
      </c>
      <c r="B201" s="8" t="s">
        <v>449</v>
      </c>
      <c r="C201" s="9" t="s">
        <v>13</v>
      </c>
      <c r="D201" s="9" t="s">
        <v>437</v>
      </c>
      <c r="E201" s="9" t="s">
        <v>98</v>
      </c>
      <c r="F201" s="9" t="s">
        <v>55</v>
      </c>
      <c r="G201" s="10" t="s">
        <v>17</v>
      </c>
      <c r="H201" s="10" t="s">
        <v>17</v>
      </c>
      <c r="I201" s="10" t="s">
        <v>17</v>
      </c>
      <c r="J201" s="11" t="str">
        <f aca="false">IF(IFERROR(K201,7)=7,"",RIGHT(K201,LEN(K201)-2)&amp;".")</f>
        <v>/A.</v>
      </c>
      <c r="K201" s="10" t="str">
        <f aca="false">IFERROR(__xludf.dummyfunction("CONCATENATE(ArrayFormula(""; ""&amp;QUERY(Hallazgos!A:F,""SELECT B WHERE E CONTAINS '""&amp;B201&amp;""' LABEL B ''"")))"),"#N/A")</f>
        <v>#N/A</v>
      </c>
    </row>
    <row r="202" customFormat="false" ht="15.75" hidden="false" customHeight="true" outlineLevel="0" collapsed="false">
      <c r="A202" s="7" t="s">
        <v>450</v>
      </c>
      <c r="B202" s="8" t="s">
        <v>451</v>
      </c>
      <c r="C202" s="9" t="s">
        <v>13</v>
      </c>
      <c r="D202" s="9" t="s">
        <v>452</v>
      </c>
      <c r="E202" s="9" t="s">
        <v>76</v>
      </c>
      <c r="F202" s="9" t="s">
        <v>55</v>
      </c>
      <c r="G202" s="10" t="s">
        <v>17</v>
      </c>
      <c r="H202" s="10" t="s">
        <v>17</v>
      </c>
      <c r="I202" s="10" t="s">
        <v>17</v>
      </c>
      <c r="J202" s="11" t="str">
        <f aca="false">IF(IFERROR(K202,7)=7,"",RIGHT(K202,LEN(K202)-2)&amp;".")</f>
        <v>/A.</v>
      </c>
      <c r="K202" s="10" t="str">
        <f aca="false">IFERROR(__xludf.dummyfunction("CONCATENATE(ArrayFormula(""; ""&amp;QUERY(Hallazgos!A:F,""SELECT B WHERE E CONTAINS '""&amp;B202&amp;""' LABEL B ''"")))"),"#N/A")</f>
        <v>#N/A</v>
      </c>
    </row>
    <row r="203" customFormat="false" ht="15.75" hidden="false" customHeight="true" outlineLevel="0" collapsed="false">
      <c r="A203" s="7" t="s">
        <v>453</v>
      </c>
      <c r="B203" s="8" t="s">
        <v>454</v>
      </c>
      <c r="C203" s="9" t="s">
        <v>13</v>
      </c>
      <c r="D203" s="9" t="s">
        <v>452</v>
      </c>
      <c r="E203" s="9" t="s">
        <v>76</v>
      </c>
      <c r="F203" s="9" t="s">
        <v>55</v>
      </c>
      <c r="G203" s="10" t="s">
        <v>17</v>
      </c>
      <c r="H203" s="10" t="s">
        <v>17</v>
      </c>
      <c r="I203" s="10" t="s">
        <v>17</v>
      </c>
      <c r="J203" s="11" t="str">
        <f aca="false">IF(IFERROR(K203,7)=7,"",RIGHT(K203,LEN(K203)-2)&amp;".")</f>
        <v>/A.</v>
      </c>
      <c r="K203" s="10" t="str">
        <f aca="false">IFERROR(__xludf.dummyfunction("CONCATENATE(ArrayFormula(""; ""&amp;QUERY(Hallazgos!A:F,""SELECT B WHERE E CONTAINS '""&amp;B203&amp;""' LABEL B ''"")))"),"#N/A")</f>
        <v>#N/A</v>
      </c>
    </row>
    <row r="204" customFormat="false" ht="15.75" hidden="false" customHeight="true" outlineLevel="0" collapsed="false">
      <c r="A204" s="7" t="s">
        <v>455</v>
      </c>
      <c r="B204" s="8" t="s">
        <v>456</v>
      </c>
      <c r="C204" s="9" t="s">
        <v>13</v>
      </c>
      <c r="D204" s="9" t="s">
        <v>452</v>
      </c>
      <c r="E204" s="9" t="s">
        <v>81</v>
      </c>
      <c r="F204" s="9" t="s">
        <v>55</v>
      </c>
      <c r="G204" s="10" t="s">
        <v>17</v>
      </c>
      <c r="H204" s="10" t="s">
        <v>17</v>
      </c>
      <c r="I204" s="10" t="s">
        <v>17</v>
      </c>
      <c r="J204" s="11" t="str">
        <f aca="false">IF(IFERROR(K204,7)=7,"",RIGHT(K204,LEN(K204)-2)&amp;".")</f>
        <v>/A.</v>
      </c>
      <c r="K204" s="10" t="str">
        <f aca="false">IFERROR(__xludf.dummyfunction("CONCATENATE(ArrayFormula(""; ""&amp;QUERY(Hallazgos!A:F,""SELECT B WHERE E CONTAINS '""&amp;B204&amp;""' LABEL B ''"")))"),"#N/A")</f>
        <v>#N/A</v>
      </c>
    </row>
    <row r="205" customFormat="false" ht="15.75" hidden="false" customHeight="true" outlineLevel="0" collapsed="false">
      <c r="A205" s="7" t="s">
        <v>457</v>
      </c>
      <c r="B205" s="8" t="s">
        <v>458</v>
      </c>
      <c r="C205" s="9" t="s">
        <v>13</v>
      </c>
      <c r="D205" s="9" t="s">
        <v>452</v>
      </c>
      <c r="E205" s="9" t="s">
        <v>81</v>
      </c>
      <c r="F205" s="9" t="s">
        <v>55</v>
      </c>
      <c r="G205" s="10" t="s">
        <v>17</v>
      </c>
      <c r="H205" s="10" t="s">
        <v>17</v>
      </c>
      <c r="I205" s="10" t="s">
        <v>17</v>
      </c>
      <c r="J205" s="11" t="str">
        <f aca="false">IF(IFERROR(K205,7)=7,"",RIGHT(K205,LEN(K205)-2)&amp;".")</f>
        <v>/A.</v>
      </c>
      <c r="K205" s="10" t="str">
        <f aca="false">IFERROR(__xludf.dummyfunction("CONCATENATE(ArrayFormula(""; ""&amp;QUERY(Hallazgos!A:F,""SELECT B WHERE E CONTAINS '""&amp;B205&amp;""' LABEL B ''"")))"),"#N/A")</f>
        <v>#N/A</v>
      </c>
    </row>
    <row r="206" customFormat="false" ht="15.75" hidden="false" customHeight="true" outlineLevel="0" collapsed="false">
      <c r="A206" s="7" t="s">
        <v>459</v>
      </c>
      <c r="B206" s="8" t="s">
        <v>460</v>
      </c>
      <c r="C206" s="9" t="s">
        <v>13</v>
      </c>
      <c r="D206" s="9" t="s">
        <v>461</v>
      </c>
      <c r="E206" s="9" t="s">
        <v>81</v>
      </c>
      <c r="F206" s="9" t="s">
        <v>55</v>
      </c>
      <c r="G206" s="10" t="s">
        <v>17</v>
      </c>
      <c r="H206" s="10" t="s">
        <v>17</v>
      </c>
      <c r="I206" s="10" t="s">
        <v>17</v>
      </c>
      <c r="J206" s="11" t="str">
        <f aca="false">IF(IFERROR(K206,7)=7,"",RIGHT(K206,LEN(K206)-2)&amp;".")</f>
        <v>/A.</v>
      </c>
      <c r="K206" s="10" t="str">
        <f aca="false">IFERROR(__xludf.dummyfunction("CONCATENATE(ArrayFormula(""; ""&amp;QUERY(Hallazgos!A:F,""SELECT B WHERE E CONTAINS '""&amp;B206&amp;""' LABEL B ''"")))"),"#N/A")</f>
        <v>#N/A</v>
      </c>
    </row>
    <row r="207" customFormat="false" ht="15.75" hidden="false" customHeight="true" outlineLevel="0" collapsed="false">
      <c r="A207" s="7" t="s">
        <v>462</v>
      </c>
      <c r="B207" s="8" t="s">
        <v>463</v>
      </c>
      <c r="C207" s="9" t="s">
        <v>13</v>
      </c>
      <c r="D207" s="9" t="s">
        <v>461</v>
      </c>
      <c r="E207" s="9" t="s">
        <v>81</v>
      </c>
      <c r="F207" s="9" t="s">
        <v>55</v>
      </c>
      <c r="G207" s="10" t="s">
        <v>17</v>
      </c>
      <c r="H207" s="10" t="s">
        <v>17</v>
      </c>
      <c r="I207" s="10" t="s">
        <v>17</v>
      </c>
      <c r="J207" s="11" t="str">
        <f aca="false">IF(IFERROR(K207,7)=7,"",RIGHT(K207,LEN(K207)-2)&amp;".")</f>
        <v>/A.</v>
      </c>
      <c r="K207" s="10" t="str">
        <f aca="false">IFERROR(__xludf.dummyfunction("CONCATENATE(ArrayFormula(""; ""&amp;QUERY(Hallazgos!A:F,""SELECT B WHERE E CONTAINS '""&amp;B207&amp;""' LABEL B ''"")))"),"#N/A")</f>
        <v>#N/A</v>
      </c>
    </row>
    <row r="208" customFormat="false" ht="15.75" hidden="false" customHeight="true" outlineLevel="0" collapsed="false">
      <c r="A208" s="7" t="s">
        <v>464</v>
      </c>
      <c r="B208" s="8" t="s">
        <v>465</v>
      </c>
      <c r="C208" s="9" t="s">
        <v>13</v>
      </c>
      <c r="D208" s="9" t="s">
        <v>461</v>
      </c>
      <c r="E208" s="9" t="s">
        <v>81</v>
      </c>
      <c r="F208" s="9" t="s">
        <v>55</v>
      </c>
      <c r="G208" s="10" t="s">
        <v>17</v>
      </c>
      <c r="H208" s="10" t="s">
        <v>17</v>
      </c>
      <c r="I208" s="10" t="s">
        <v>17</v>
      </c>
      <c r="J208" s="11" t="str">
        <f aca="false">IF(IFERROR(K208,7)=7,"",RIGHT(K208,LEN(K208)-2)&amp;".")</f>
        <v>/A.</v>
      </c>
      <c r="K208" s="10" t="str">
        <f aca="false">IFERROR(__xludf.dummyfunction("CONCATENATE(ArrayFormula(""; ""&amp;QUERY(Hallazgos!A:F,""SELECT B WHERE E CONTAINS '""&amp;B208&amp;""' LABEL B ''"")))"),"#N/A")</f>
        <v>#N/A</v>
      </c>
    </row>
    <row r="209" customFormat="false" ht="15.75" hidden="false" customHeight="true" outlineLevel="0" collapsed="false">
      <c r="A209" s="7" t="s">
        <v>466</v>
      </c>
      <c r="B209" s="8" t="s">
        <v>467</v>
      </c>
      <c r="C209" s="9" t="s">
        <v>13</v>
      </c>
      <c r="D209" s="9" t="s">
        <v>461</v>
      </c>
      <c r="E209" s="9" t="s">
        <v>88</v>
      </c>
      <c r="F209" s="9" t="s">
        <v>55</v>
      </c>
      <c r="G209" s="10" t="s">
        <v>17</v>
      </c>
      <c r="H209" s="10" t="s">
        <v>17</v>
      </c>
      <c r="I209" s="10" t="s">
        <v>17</v>
      </c>
      <c r="J209" s="11" t="str">
        <f aca="false">IF(IFERROR(K209,7)=7,"",RIGHT(K209,LEN(K209)-2)&amp;".")</f>
        <v>/A.</v>
      </c>
      <c r="K209" s="10" t="str">
        <f aca="false">IFERROR(__xludf.dummyfunction("CONCATENATE(ArrayFormula(""; ""&amp;QUERY(Hallazgos!A:F,""SELECT B WHERE E CONTAINS '""&amp;B209&amp;""' LABEL B ''"")))"),"#N/A")</f>
        <v>#N/A</v>
      </c>
    </row>
    <row r="210" customFormat="false" ht="15.75" hidden="false" customHeight="true" outlineLevel="0" collapsed="false">
      <c r="A210" s="7" t="s">
        <v>468</v>
      </c>
      <c r="B210" s="8" t="s">
        <v>469</v>
      </c>
      <c r="C210" s="9" t="s">
        <v>41</v>
      </c>
      <c r="D210" s="9" t="s">
        <v>461</v>
      </c>
      <c r="E210" s="9" t="s">
        <v>88</v>
      </c>
      <c r="F210" s="9" t="s">
        <v>55</v>
      </c>
      <c r="G210" s="10" t="s">
        <v>17</v>
      </c>
      <c r="H210" s="10" t="s">
        <v>17</v>
      </c>
      <c r="I210" s="10" t="s">
        <v>17</v>
      </c>
      <c r="J210" s="11" t="str">
        <f aca="false">IF(IFERROR(K210,7)=7,"",RIGHT(K210,LEN(K210)-2)&amp;".")</f>
        <v>/A.</v>
      </c>
      <c r="K210" s="10" t="str">
        <f aca="false">IFERROR(__xludf.dummyfunction("CONCATENATE(ArrayFormula(""; ""&amp;QUERY(Hallazgos!A:F,""SELECT B WHERE E CONTAINS '""&amp;B210&amp;""' LABEL B ''"")))"),"#N/A")</f>
        <v>#N/A</v>
      </c>
    </row>
    <row r="211" customFormat="false" ht="15.75" hidden="false" customHeight="true" outlineLevel="0" collapsed="false">
      <c r="A211" s="7" t="s">
        <v>470</v>
      </c>
      <c r="B211" s="8" t="s">
        <v>471</v>
      </c>
      <c r="C211" s="9" t="s">
        <v>13</v>
      </c>
      <c r="D211" s="9" t="s">
        <v>461</v>
      </c>
      <c r="E211" s="9" t="s">
        <v>81</v>
      </c>
      <c r="F211" s="9" t="s">
        <v>55</v>
      </c>
      <c r="G211" s="10" t="s">
        <v>17</v>
      </c>
      <c r="H211" s="10" t="s">
        <v>17</v>
      </c>
      <c r="I211" s="10" t="s">
        <v>17</v>
      </c>
      <c r="J211" s="11" t="str">
        <f aca="false">IF(IFERROR(K211,7)=7,"",RIGHT(K211,LEN(K211)-2)&amp;".")</f>
        <v>/A.</v>
      </c>
      <c r="K211" s="10" t="str">
        <f aca="false">IFERROR(__xludf.dummyfunction("CONCATENATE(ArrayFormula(""; ""&amp;QUERY(Hallazgos!A:F,""SELECT B WHERE E CONTAINS '""&amp;B211&amp;""' LABEL B ''"")))"),"#N/A")</f>
        <v>#N/A</v>
      </c>
    </row>
    <row r="212" customFormat="false" ht="15.75" hidden="false" customHeight="true" outlineLevel="0" collapsed="false">
      <c r="A212" s="7" t="s">
        <v>472</v>
      </c>
      <c r="B212" s="8" t="s">
        <v>473</v>
      </c>
      <c r="C212" s="9" t="s">
        <v>13</v>
      </c>
      <c r="D212" s="9" t="s">
        <v>461</v>
      </c>
      <c r="E212" s="9" t="s">
        <v>15</v>
      </c>
      <c r="F212" s="9" t="s">
        <v>55</v>
      </c>
      <c r="G212" s="10" t="s">
        <v>17</v>
      </c>
      <c r="H212" s="10" t="s">
        <v>17</v>
      </c>
      <c r="I212" s="10" t="s">
        <v>17</v>
      </c>
      <c r="J212" s="11" t="str">
        <f aca="false">IF(IFERROR(K212,7)=7,"",RIGHT(K212,LEN(K212)-2)&amp;".")</f>
        <v>/A.</v>
      </c>
      <c r="K212" s="10" t="str">
        <f aca="false">IFERROR(__xludf.dummyfunction("CONCATENATE(ArrayFormula(""; ""&amp;QUERY(Hallazgos!A:F,""SELECT B WHERE E CONTAINS '""&amp;B212&amp;""' LABEL B ''"")))"),"#N/A")</f>
        <v>#N/A</v>
      </c>
    </row>
    <row r="213" customFormat="false" ht="15.75" hidden="false" customHeight="true" outlineLevel="0" collapsed="false">
      <c r="A213" s="7" t="s">
        <v>474</v>
      </c>
      <c r="B213" s="8" t="s">
        <v>475</v>
      </c>
      <c r="C213" s="9" t="s">
        <v>13</v>
      </c>
      <c r="D213" s="9" t="s">
        <v>461</v>
      </c>
      <c r="E213" s="9" t="s">
        <v>81</v>
      </c>
      <c r="F213" s="9" t="s">
        <v>55</v>
      </c>
      <c r="G213" s="10" t="s">
        <v>17</v>
      </c>
      <c r="H213" s="10" t="s">
        <v>17</v>
      </c>
      <c r="I213" s="10" t="s">
        <v>17</v>
      </c>
      <c r="J213" s="11" t="str">
        <f aca="false">IF(IFERROR(K213,7)=7,"",RIGHT(K213,LEN(K213)-2)&amp;".")</f>
        <v>/A.</v>
      </c>
      <c r="K213" s="10" t="str">
        <f aca="false">IFERROR(__xludf.dummyfunction("CONCATENATE(ArrayFormula(""; ""&amp;QUERY(Hallazgos!A:F,""SELECT B WHERE E CONTAINS '""&amp;B213&amp;""' LABEL B ''"")))"),"#N/A")</f>
        <v>#N/A</v>
      </c>
    </row>
    <row r="214" customFormat="false" ht="15.75" hidden="false" customHeight="true" outlineLevel="0" collapsed="false">
      <c r="A214" s="7" t="s">
        <v>476</v>
      </c>
      <c r="B214" s="8" t="s">
        <v>477</v>
      </c>
      <c r="C214" s="9" t="s">
        <v>13</v>
      </c>
      <c r="D214" s="9" t="s">
        <v>461</v>
      </c>
      <c r="E214" s="9" t="s">
        <v>406</v>
      </c>
      <c r="F214" s="9" t="s">
        <v>55</v>
      </c>
      <c r="G214" s="10" t="s">
        <v>17</v>
      </c>
      <c r="H214" s="10" t="s">
        <v>17</v>
      </c>
      <c r="I214" s="10" t="s">
        <v>17</v>
      </c>
      <c r="J214" s="11" t="str">
        <f aca="false">IF(IFERROR(K214,7)=7,"",RIGHT(K214,LEN(K214)-2)&amp;".")</f>
        <v>/A.</v>
      </c>
      <c r="K214" s="10" t="str">
        <f aca="false">IFERROR(__xludf.dummyfunction("CONCATENATE(ArrayFormula(""; ""&amp;QUERY(Hallazgos!A:F,""SELECT B WHERE E CONTAINS '""&amp;B214&amp;""' LABEL B ''"")))"),"#N/A")</f>
        <v>#N/A</v>
      </c>
    </row>
    <row r="215" customFormat="false" ht="15.75" hidden="false" customHeight="true" outlineLevel="0" collapsed="false">
      <c r="A215" s="7" t="s">
        <v>478</v>
      </c>
      <c r="B215" s="8" t="s">
        <v>479</v>
      </c>
      <c r="C215" s="9" t="s">
        <v>13</v>
      </c>
      <c r="D215" s="9" t="s">
        <v>461</v>
      </c>
      <c r="E215" s="9" t="s">
        <v>116</v>
      </c>
      <c r="F215" s="9" t="s">
        <v>55</v>
      </c>
      <c r="G215" s="10" t="s">
        <v>17</v>
      </c>
      <c r="H215" s="10" t="s">
        <v>17</v>
      </c>
      <c r="I215" s="10" t="s">
        <v>17</v>
      </c>
      <c r="J215" s="11" t="str">
        <f aca="false">IF(IFERROR(K215,7)=7,"",RIGHT(K215,LEN(K215)-2)&amp;".")</f>
        <v>/A.</v>
      </c>
      <c r="K215" s="10" t="str">
        <f aca="false">IFERROR(__xludf.dummyfunction("CONCATENATE(ArrayFormula(""; ""&amp;QUERY(Hallazgos!A:F,""SELECT B WHERE E CONTAINS '""&amp;B215&amp;""' LABEL B ''"")))"),"#N/A")</f>
        <v>#N/A</v>
      </c>
    </row>
    <row r="216" customFormat="false" ht="15.75" hidden="false" customHeight="true" outlineLevel="0" collapsed="false">
      <c r="A216" s="7" t="s">
        <v>480</v>
      </c>
      <c r="B216" s="8" t="s">
        <v>481</v>
      </c>
      <c r="C216" s="9" t="s">
        <v>13</v>
      </c>
      <c r="D216" s="9" t="s">
        <v>482</v>
      </c>
      <c r="E216" s="9" t="s">
        <v>132</v>
      </c>
      <c r="F216" s="9" t="s">
        <v>55</v>
      </c>
      <c r="G216" s="10" t="s">
        <v>17</v>
      </c>
      <c r="H216" s="10" t="s">
        <v>17</v>
      </c>
      <c r="I216" s="10" t="s">
        <v>17</v>
      </c>
      <c r="J216" s="11" t="str">
        <f aca="false">IF(IFERROR(K216,7)=7,"",RIGHT(K216,LEN(K216)-2)&amp;".")</f>
        <v>/A.</v>
      </c>
      <c r="K216" s="10" t="str">
        <f aca="false">IFERROR(__xludf.dummyfunction("CONCATENATE(ArrayFormula(""; ""&amp;QUERY(Hallazgos!A:F,""SELECT B WHERE E CONTAINS '""&amp;B216&amp;""' LABEL B ''"")))"),"#N/A")</f>
        <v>#N/A</v>
      </c>
    </row>
    <row r="217" customFormat="false" ht="15.75" hidden="false" customHeight="true" outlineLevel="0" collapsed="false">
      <c r="A217" s="7" t="s">
        <v>483</v>
      </c>
      <c r="B217" s="8" t="s">
        <v>484</v>
      </c>
      <c r="C217" s="9" t="s">
        <v>13</v>
      </c>
      <c r="D217" s="9" t="s">
        <v>482</v>
      </c>
      <c r="E217" s="9" t="s">
        <v>181</v>
      </c>
      <c r="F217" s="9" t="s">
        <v>55</v>
      </c>
      <c r="G217" s="10" t="s">
        <v>17</v>
      </c>
      <c r="H217" s="10" t="s">
        <v>17</v>
      </c>
      <c r="I217" s="10" t="s">
        <v>17</v>
      </c>
      <c r="J217" s="11" t="str">
        <f aca="false">IF(IFERROR(K217,7)=7,"",RIGHT(K217,LEN(K217)-2)&amp;".")</f>
        <v>/A.</v>
      </c>
      <c r="K217" s="10" t="str">
        <f aca="false">IFERROR(__xludf.dummyfunction("CONCATENATE(ArrayFormula(""; ""&amp;QUERY(Hallazgos!A:F,""SELECT B WHERE E CONTAINS '""&amp;B217&amp;""' LABEL B ''"")))"),"#N/A")</f>
        <v>#N/A</v>
      </c>
    </row>
    <row r="218" customFormat="false" ht="15.75" hidden="false" customHeight="true" outlineLevel="0" collapsed="false">
      <c r="A218" s="7" t="s">
        <v>485</v>
      </c>
      <c r="B218" s="8" t="s">
        <v>486</v>
      </c>
      <c r="C218" s="9" t="s">
        <v>13</v>
      </c>
      <c r="D218" s="9" t="s">
        <v>482</v>
      </c>
      <c r="E218" s="9" t="s">
        <v>181</v>
      </c>
      <c r="F218" s="9" t="s">
        <v>55</v>
      </c>
      <c r="G218" s="10" t="s">
        <v>17</v>
      </c>
      <c r="H218" s="10" t="s">
        <v>17</v>
      </c>
      <c r="I218" s="10" t="s">
        <v>17</v>
      </c>
      <c r="J218" s="11" t="str">
        <f aca="false">IF(IFERROR(K218,7)=7,"",RIGHT(K218,LEN(K218)-2)&amp;".")</f>
        <v>/A.</v>
      </c>
      <c r="K218" s="10" t="str">
        <f aca="false">IFERROR(__xludf.dummyfunction("CONCATENATE(ArrayFormula(""; ""&amp;QUERY(Hallazgos!A:F,""SELECT B WHERE E CONTAINS '""&amp;B218&amp;""' LABEL B ''"")))"),"#N/A")</f>
        <v>#N/A</v>
      </c>
    </row>
    <row r="219" customFormat="false" ht="15.75" hidden="false" customHeight="true" outlineLevel="0" collapsed="false">
      <c r="A219" s="7" t="s">
        <v>487</v>
      </c>
      <c r="B219" s="8" t="s">
        <v>488</v>
      </c>
      <c r="C219" s="9" t="s">
        <v>13</v>
      </c>
      <c r="D219" s="9" t="s">
        <v>489</v>
      </c>
      <c r="E219" s="9" t="s">
        <v>98</v>
      </c>
      <c r="F219" s="9" t="s">
        <v>55</v>
      </c>
      <c r="G219" s="10" t="s">
        <v>17</v>
      </c>
      <c r="H219" s="10" t="s">
        <v>17</v>
      </c>
      <c r="I219" s="10" t="s">
        <v>17</v>
      </c>
      <c r="J219" s="11" t="str">
        <f aca="false">IF(IFERROR(K219,7)=7,"",RIGHT(K219,LEN(K219)-2)&amp;".")</f>
        <v>/A.</v>
      </c>
      <c r="K219" s="10" t="str">
        <f aca="false">IFERROR(__xludf.dummyfunction("CONCATENATE(ArrayFormula(""; ""&amp;QUERY(Hallazgos!A:F,""SELECT B WHERE E CONTAINS '""&amp;B219&amp;""' LABEL B ''"")))"),"#N/A")</f>
        <v>#N/A</v>
      </c>
    </row>
    <row r="220" customFormat="false" ht="15.75" hidden="false" customHeight="true" outlineLevel="0" collapsed="false">
      <c r="A220" s="7" t="s">
        <v>490</v>
      </c>
      <c r="B220" s="8" t="s">
        <v>491</v>
      </c>
      <c r="C220" s="9" t="s">
        <v>13</v>
      </c>
      <c r="D220" s="9" t="s">
        <v>489</v>
      </c>
      <c r="E220" s="9" t="s">
        <v>184</v>
      </c>
      <c r="F220" s="9" t="s">
        <v>55</v>
      </c>
      <c r="G220" s="10" t="s">
        <v>17</v>
      </c>
      <c r="H220" s="10" t="s">
        <v>17</v>
      </c>
      <c r="I220" s="10" t="s">
        <v>17</v>
      </c>
      <c r="J220" s="11" t="str">
        <f aca="false">IF(IFERROR(K220,7)=7,"",RIGHT(K220,LEN(K220)-2)&amp;".")</f>
        <v>/A.</v>
      </c>
      <c r="K220" s="10" t="str">
        <f aca="false">IFERROR(__xludf.dummyfunction("CONCATENATE(ArrayFormula(""; ""&amp;QUERY(Hallazgos!A:F,""SELECT B WHERE E CONTAINS '""&amp;B220&amp;""' LABEL B ''"")))"),"#N/A")</f>
        <v>#N/A</v>
      </c>
    </row>
    <row r="221" customFormat="false" ht="15.75" hidden="false" customHeight="true" outlineLevel="0" collapsed="false">
      <c r="A221" s="7" t="s">
        <v>492</v>
      </c>
      <c r="B221" s="8" t="s">
        <v>493</v>
      </c>
      <c r="C221" s="9" t="s">
        <v>13</v>
      </c>
      <c r="D221" s="9" t="s">
        <v>489</v>
      </c>
      <c r="E221" s="9" t="s">
        <v>76</v>
      </c>
      <c r="F221" s="9" t="s">
        <v>55</v>
      </c>
      <c r="G221" s="10" t="s">
        <v>17</v>
      </c>
      <c r="H221" s="10" t="s">
        <v>17</v>
      </c>
      <c r="I221" s="10" t="s">
        <v>17</v>
      </c>
      <c r="J221" s="11" t="str">
        <f aca="false">IF(IFERROR(K221,7)=7,"",RIGHT(K221,LEN(K221)-2)&amp;".")</f>
        <v>/A.</v>
      </c>
      <c r="K221" s="10" t="str">
        <f aca="false">IFERROR(__xludf.dummyfunction("CONCATENATE(ArrayFormula(""; ""&amp;QUERY(Hallazgos!A:F,""SELECT B WHERE E CONTAINS '""&amp;B221&amp;""' LABEL B ''"")))"),"#N/A")</f>
        <v>#N/A</v>
      </c>
    </row>
    <row r="222" customFormat="false" ht="15.75" hidden="false" customHeight="true" outlineLevel="0" collapsed="false">
      <c r="A222" s="7" t="s">
        <v>494</v>
      </c>
      <c r="B222" s="8" t="s">
        <v>495</v>
      </c>
      <c r="C222" s="9" t="s">
        <v>13</v>
      </c>
      <c r="D222" s="9" t="s">
        <v>496</v>
      </c>
      <c r="E222" s="9" t="s">
        <v>15</v>
      </c>
      <c r="F222" s="9" t="s">
        <v>55</v>
      </c>
      <c r="G222" s="10" t="s">
        <v>17</v>
      </c>
      <c r="H222" s="10" t="s">
        <v>17</v>
      </c>
      <c r="I222" s="10" t="s">
        <v>17</v>
      </c>
      <c r="J222" s="11" t="str">
        <f aca="false">IF(IFERROR(K222,7)=7,"",RIGHT(K222,LEN(K222)-2)&amp;".")</f>
        <v>/A.</v>
      </c>
      <c r="K222" s="10" t="str">
        <f aca="false">IFERROR(__xludf.dummyfunction("CONCATENATE(ArrayFormula(""; ""&amp;QUERY(Hallazgos!A:F,""SELECT B WHERE E CONTAINS '""&amp;B222&amp;""' LABEL B ''"")))"),"#N/A")</f>
        <v>#N/A</v>
      </c>
    </row>
    <row r="223" customFormat="false" ht="15.75" hidden="false" customHeight="true" outlineLevel="0" collapsed="false">
      <c r="A223" s="7" t="s">
        <v>497</v>
      </c>
      <c r="B223" s="8" t="s">
        <v>498</v>
      </c>
      <c r="C223" s="9" t="s">
        <v>13</v>
      </c>
      <c r="D223" s="9" t="s">
        <v>496</v>
      </c>
      <c r="E223" s="9" t="s">
        <v>15</v>
      </c>
      <c r="F223" s="9" t="s">
        <v>55</v>
      </c>
      <c r="G223" s="10" t="s">
        <v>17</v>
      </c>
      <c r="H223" s="10" t="s">
        <v>17</v>
      </c>
      <c r="I223" s="10" t="s">
        <v>17</v>
      </c>
      <c r="J223" s="11" t="str">
        <f aca="false">IF(IFERROR(K223,7)=7,"",RIGHT(K223,LEN(K223)-2)&amp;".")</f>
        <v>/A.</v>
      </c>
      <c r="K223" s="10" t="str">
        <f aca="false">IFERROR(__xludf.dummyfunction("CONCATENATE(ArrayFormula(""; ""&amp;QUERY(Hallazgos!A:F,""SELECT B WHERE E CONTAINS '""&amp;B223&amp;""' LABEL B ''"")))"),"#N/A")</f>
        <v>#N/A</v>
      </c>
    </row>
    <row r="224" customFormat="false" ht="15.75" hidden="false" customHeight="true" outlineLevel="0" collapsed="false">
      <c r="A224" s="7" t="s">
        <v>499</v>
      </c>
      <c r="B224" s="8" t="s">
        <v>500</v>
      </c>
      <c r="C224" s="9" t="s">
        <v>41</v>
      </c>
      <c r="D224" s="9" t="s">
        <v>501</v>
      </c>
      <c r="E224" s="9" t="s">
        <v>15</v>
      </c>
      <c r="F224" s="9" t="s">
        <v>73</v>
      </c>
      <c r="G224" s="10" t="s">
        <v>17</v>
      </c>
      <c r="H224" s="10" t="s">
        <v>17</v>
      </c>
      <c r="I224" s="10" t="s">
        <v>17</v>
      </c>
      <c r="J224" s="11" t="str">
        <f aca="false">IF(IFERROR(K224,7)=7,"",RIGHT(K224,LEN(K224)-2)&amp;".")</f>
        <v>/A.</v>
      </c>
      <c r="K224" s="10" t="str">
        <f aca="false">IFERROR(__xludf.dummyfunction("CONCATENATE(ArrayFormula(""; ""&amp;QUERY(Hallazgos!A:F,""SELECT B WHERE E CONTAINS '""&amp;B224&amp;""' LABEL B ''"")))"),"#N/A")</f>
        <v>#N/A</v>
      </c>
    </row>
    <row r="225" customFormat="false" ht="15.75" hidden="false" customHeight="true" outlineLevel="0" collapsed="false">
      <c r="A225" s="7" t="s">
        <v>502</v>
      </c>
      <c r="B225" s="8" t="s">
        <v>503</v>
      </c>
      <c r="C225" s="9" t="s">
        <v>41</v>
      </c>
      <c r="D225" s="9" t="s">
        <v>501</v>
      </c>
      <c r="E225" s="9" t="s">
        <v>15</v>
      </c>
      <c r="F225" s="9" t="s">
        <v>73</v>
      </c>
      <c r="G225" s="10" t="s">
        <v>17</v>
      </c>
      <c r="H225" s="10" t="s">
        <v>17</v>
      </c>
      <c r="I225" s="10" t="s">
        <v>17</v>
      </c>
      <c r="J225" s="11" t="str">
        <f aca="false">IF(IFERROR(K225,7)=7,"",RIGHT(K225,LEN(K225)-2)&amp;".")</f>
        <v>/A.</v>
      </c>
      <c r="K225" s="10" t="str">
        <f aca="false">IFERROR(__xludf.dummyfunction("CONCATENATE(ArrayFormula(""; ""&amp;QUERY(Hallazgos!A:F,""SELECT B WHERE E CONTAINS '""&amp;B225&amp;""' LABEL B ''"")))"),"#N/A")</f>
        <v>#N/A</v>
      </c>
    </row>
    <row r="226" customFormat="false" ht="15.75" hidden="false" customHeight="true" outlineLevel="0" collapsed="false">
      <c r="A226" s="7" t="s">
        <v>504</v>
      </c>
      <c r="B226" s="8" t="s">
        <v>505</v>
      </c>
      <c r="C226" s="9" t="s">
        <v>41</v>
      </c>
      <c r="D226" s="9" t="s">
        <v>506</v>
      </c>
      <c r="E226" s="9" t="s">
        <v>81</v>
      </c>
      <c r="F226" s="9" t="s">
        <v>55</v>
      </c>
      <c r="G226" s="10" t="s">
        <v>17</v>
      </c>
      <c r="H226" s="10" t="s">
        <v>17</v>
      </c>
      <c r="I226" s="10" t="s">
        <v>17</v>
      </c>
      <c r="J226" s="11" t="str">
        <f aca="false">IF(IFERROR(K226,7)=7,"",RIGHT(K226,LEN(K226)-2)&amp;".")</f>
        <v>/A.</v>
      </c>
      <c r="K226" s="10" t="str">
        <f aca="false">IFERROR(__xludf.dummyfunction("CONCATENATE(ArrayFormula(""; ""&amp;QUERY(Hallazgos!A:F,""SELECT B WHERE E CONTAINS '""&amp;B226&amp;""' LABEL B ''"")))"),"#N/A")</f>
        <v>#N/A</v>
      </c>
    </row>
    <row r="227" customFormat="false" ht="15.75" hidden="false" customHeight="true" outlineLevel="0" collapsed="false">
      <c r="A227" s="7" t="s">
        <v>507</v>
      </c>
      <c r="B227" s="8" t="s">
        <v>508</v>
      </c>
      <c r="C227" s="9" t="s">
        <v>41</v>
      </c>
      <c r="D227" s="9" t="s">
        <v>506</v>
      </c>
      <c r="E227" s="9" t="s">
        <v>111</v>
      </c>
      <c r="F227" s="9" t="s">
        <v>55</v>
      </c>
      <c r="G227" s="10" t="s">
        <v>17</v>
      </c>
      <c r="H227" s="10" t="s">
        <v>17</v>
      </c>
      <c r="I227" s="10" t="s">
        <v>17</v>
      </c>
      <c r="J227" s="11" t="str">
        <f aca="false">IF(IFERROR(K227,7)=7,"",RIGHT(K227,LEN(K227)-2)&amp;".")</f>
        <v>/A.</v>
      </c>
      <c r="K227" s="10" t="str">
        <f aca="false">IFERROR(__xludf.dummyfunction("CONCATENATE(ArrayFormula(""; ""&amp;QUERY(Hallazgos!A:F,""SELECT B WHERE E CONTAINS '""&amp;B227&amp;""' LABEL B ''"")))"),"#N/A")</f>
        <v>#N/A</v>
      </c>
    </row>
    <row r="228" customFormat="false" ht="15.75" hidden="false" customHeight="true" outlineLevel="0" collapsed="false">
      <c r="A228" s="7" t="s">
        <v>509</v>
      </c>
      <c r="B228" s="8" t="s">
        <v>510</v>
      </c>
      <c r="C228" s="9" t="s">
        <v>41</v>
      </c>
      <c r="D228" s="9" t="s">
        <v>506</v>
      </c>
      <c r="E228" s="9" t="s">
        <v>54</v>
      </c>
      <c r="F228" s="9" t="s">
        <v>55</v>
      </c>
      <c r="G228" s="10" t="s">
        <v>17</v>
      </c>
      <c r="H228" s="10" t="s">
        <v>17</v>
      </c>
      <c r="I228" s="10" t="s">
        <v>17</v>
      </c>
      <c r="J228" s="11" t="str">
        <f aca="false">IF(IFERROR(K228,7)=7,"",RIGHT(K228,LEN(K228)-2)&amp;".")</f>
        <v>/A.</v>
      </c>
      <c r="K228" s="10" t="str">
        <f aca="false">IFERROR(__xludf.dummyfunction("CONCATENATE(ArrayFormula(""; ""&amp;QUERY(Hallazgos!A:F,""SELECT B WHERE E CONTAINS '""&amp;B228&amp;""' LABEL B ''"")))"),"#N/A")</f>
        <v>#N/A</v>
      </c>
    </row>
    <row r="229" customFormat="false" ht="15.75" hidden="false" customHeight="true" outlineLevel="0" collapsed="false">
      <c r="A229" s="7" t="s">
        <v>511</v>
      </c>
      <c r="B229" s="8" t="s">
        <v>512</v>
      </c>
      <c r="C229" s="9" t="s">
        <v>41</v>
      </c>
      <c r="D229" s="9" t="s">
        <v>506</v>
      </c>
      <c r="E229" s="9" t="s">
        <v>72</v>
      </c>
      <c r="F229" s="9" t="s">
        <v>55</v>
      </c>
      <c r="G229" s="10" t="s">
        <v>17</v>
      </c>
      <c r="H229" s="10" t="s">
        <v>17</v>
      </c>
      <c r="I229" s="10" t="s">
        <v>17</v>
      </c>
      <c r="J229" s="11" t="str">
        <f aca="false">IF(IFERROR(K229,7)=7,"",RIGHT(K229,LEN(K229)-2)&amp;".")</f>
        <v>/A.</v>
      </c>
      <c r="K229" s="10" t="str">
        <f aca="false">IFERROR(__xludf.dummyfunction("CONCATENATE(ArrayFormula(""; ""&amp;QUERY(Hallazgos!A:F,""SELECT B WHERE E CONTAINS '""&amp;B229&amp;""' LABEL B ''"")))"),"#N/A")</f>
        <v>#N/A</v>
      </c>
    </row>
    <row r="230" customFormat="false" ht="15.75" hidden="false" customHeight="true" outlineLevel="0" collapsed="false">
      <c r="A230" s="7" t="s">
        <v>513</v>
      </c>
      <c r="B230" s="8" t="s">
        <v>514</v>
      </c>
      <c r="C230" s="9" t="s">
        <v>41</v>
      </c>
      <c r="D230" s="9" t="s">
        <v>506</v>
      </c>
      <c r="E230" s="9" t="s">
        <v>88</v>
      </c>
      <c r="F230" s="9" t="s">
        <v>55</v>
      </c>
      <c r="G230" s="10" t="s">
        <v>17</v>
      </c>
      <c r="H230" s="10" t="s">
        <v>17</v>
      </c>
      <c r="I230" s="10" t="s">
        <v>17</v>
      </c>
      <c r="J230" s="11" t="str">
        <f aca="false">IF(IFERROR(K230,7)=7,"",RIGHT(K230,LEN(K230)-2)&amp;".")</f>
        <v>/A.</v>
      </c>
      <c r="K230" s="10" t="str">
        <f aca="false">IFERROR(__xludf.dummyfunction("CONCATENATE(ArrayFormula(""; ""&amp;QUERY(Hallazgos!A:F,""SELECT B WHERE E CONTAINS '""&amp;B230&amp;""' LABEL B ''"")))"),"#N/A")</f>
        <v>#N/A</v>
      </c>
    </row>
    <row r="231" customFormat="false" ht="15.75" hidden="false" customHeight="true" outlineLevel="0" collapsed="false">
      <c r="A231" s="7" t="s">
        <v>515</v>
      </c>
      <c r="B231" s="8" t="s">
        <v>516</v>
      </c>
      <c r="C231" s="9" t="s">
        <v>41</v>
      </c>
      <c r="D231" s="9" t="s">
        <v>506</v>
      </c>
      <c r="E231" s="9" t="s">
        <v>88</v>
      </c>
      <c r="F231" s="9" t="s">
        <v>55</v>
      </c>
      <c r="G231" s="10" t="s">
        <v>17</v>
      </c>
      <c r="H231" s="10" t="s">
        <v>17</v>
      </c>
      <c r="I231" s="10" t="s">
        <v>17</v>
      </c>
      <c r="J231" s="11" t="str">
        <f aca="false">IF(IFERROR(K231,7)=7,"",RIGHT(K231,LEN(K231)-2)&amp;".")</f>
        <v>/A.</v>
      </c>
      <c r="K231" s="10" t="str">
        <f aca="false">IFERROR(__xludf.dummyfunction("CONCATENATE(ArrayFormula(""; ""&amp;QUERY(Hallazgos!A:F,""SELECT B WHERE E CONTAINS '""&amp;B231&amp;""' LABEL B ''"")))"),"#N/A")</f>
        <v>#N/A</v>
      </c>
    </row>
    <row r="232" customFormat="false" ht="15.75" hidden="false" customHeight="true" outlineLevel="0" collapsed="false">
      <c r="A232" s="7" t="s">
        <v>517</v>
      </c>
      <c r="B232" s="8" t="s">
        <v>518</v>
      </c>
      <c r="C232" s="9" t="s">
        <v>41</v>
      </c>
      <c r="D232" s="9" t="s">
        <v>506</v>
      </c>
      <c r="E232" s="9" t="s">
        <v>88</v>
      </c>
      <c r="F232" s="9" t="s">
        <v>55</v>
      </c>
      <c r="G232" s="10" t="s">
        <v>17</v>
      </c>
      <c r="H232" s="10" t="s">
        <v>17</v>
      </c>
      <c r="I232" s="10" t="s">
        <v>17</v>
      </c>
      <c r="J232" s="11" t="str">
        <f aca="false">IF(IFERROR(K232,7)=7,"",RIGHT(K232,LEN(K232)-2)&amp;".")</f>
        <v>/A.</v>
      </c>
      <c r="K232" s="10" t="str">
        <f aca="false">IFERROR(__xludf.dummyfunction("CONCATENATE(ArrayFormula(""; ""&amp;QUERY(Hallazgos!A:F,""SELECT B WHERE E CONTAINS '""&amp;B232&amp;""' LABEL B ''"")))"),"#N/A")</f>
        <v>#N/A</v>
      </c>
    </row>
    <row r="233" customFormat="false" ht="15.75" hidden="false" customHeight="true" outlineLevel="0" collapsed="false">
      <c r="A233" s="7" t="s">
        <v>519</v>
      </c>
      <c r="B233" s="8" t="s">
        <v>520</v>
      </c>
      <c r="C233" s="9" t="s">
        <v>41</v>
      </c>
      <c r="D233" s="9" t="s">
        <v>506</v>
      </c>
      <c r="E233" s="9" t="s">
        <v>88</v>
      </c>
      <c r="F233" s="9" t="s">
        <v>55</v>
      </c>
      <c r="G233" s="10" t="s">
        <v>17</v>
      </c>
      <c r="H233" s="10" t="s">
        <v>17</v>
      </c>
      <c r="I233" s="10" t="s">
        <v>17</v>
      </c>
      <c r="J233" s="11" t="str">
        <f aca="false">IF(IFERROR(K233,7)=7,"",RIGHT(K233,LEN(K233)-2)&amp;".")</f>
        <v>/A.</v>
      </c>
      <c r="K233" s="10" t="str">
        <f aca="false">IFERROR(__xludf.dummyfunction("CONCATENATE(ArrayFormula(""; ""&amp;QUERY(Hallazgos!A:F,""SELECT B WHERE E CONTAINS '""&amp;B233&amp;""' LABEL B ''"")))"),"#N/A")</f>
        <v>#N/A</v>
      </c>
    </row>
    <row r="234" customFormat="false" ht="15.75" hidden="false" customHeight="true" outlineLevel="0" collapsed="false">
      <c r="A234" s="7" t="s">
        <v>521</v>
      </c>
      <c r="B234" s="8" t="s">
        <v>522</v>
      </c>
      <c r="C234" s="9" t="s">
        <v>41</v>
      </c>
      <c r="D234" s="9" t="s">
        <v>506</v>
      </c>
      <c r="E234" s="9" t="s">
        <v>81</v>
      </c>
      <c r="F234" s="9" t="s">
        <v>55</v>
      </c>
      <c r="G234" s="10" t="s">
        <v>17</v>
      </c>
      <c r="H234" s="10" t="s">
        <v>17</v>
      </c>
      <c r="I234" s="10" t="s">
        <v>17</v>
      </c>
      <c r="J234" s="11" t="str">
        <f aca="false">IF(IFERROR(K234,7)=7,"",RIGHT(K234,LEN(K234)-2)&amp;".")</f>
        <v>/A.</v>
      </c>
      <c r="K234" s="10" t="str">
        <f aca="false">IFERROR(__xludf.dummyfunction("CONCATENATE(ArrayFormula(""; ""&amp;QUERY(Hallazgos!A:F,""SELECT B WHERE E CONTAINS '""&amp;B234&amp;""' LABEL B ''"")))"),"#N/A")</f>
        <v>#N/A</v>
      </c>
    </row>
    <row r="235" customFormat="false" ht="15.75" hidden="false" customHeight="true" outlineLevel="0" collapsed="false">
      <c r="A235" s="7" t="s">
        <v>523</v>
      </c>
      <c r="B235" s="8" t="s">
        <v>524</v>
      </c>
      <c r="C235" s="9" t="s">
        <v>41</v>
      </c>
      <c r="D235" s="9" t="s">
        <v>506</v>
      </c>
      <c r="E235" s="9" t="s">
        <v>88</v>
      </c>
      <c r="F235" s="9" t="s">
        <v>55</v>
      </c>
      <c r="G235" s="10" t="s">
        <v>17</v>
      </c>
      <c r="H235" s="10" t="s">
        <v>17</v>
      </c>
      <c r="I235" s="10" t="s">
        <v>17</v>
      </c>
      <c r="J235" s="11" t="str">
        <f aca="false">IF(IFERROR(K235,7)=7,"",RIGHT(K235,LEN(K235)-2)&amp;".")</f>
        <v>/A.</v>
      </c>
      <c r="K235" s="10" t="str">
        <f aca="false">IFERROR(__xludf.dummyfunction("CONCATENATE(ArrayFormula(""; ""&amp;QUERY(Hallazgos!A:F,""SELECT B WHERE E CONTAINS '""&amp;B235&amp;""' LABEL B ''"")))"),"#N/A")</f>
        <v>#N/A</v>
      </c>
    </row>
    <row r="236" customFormat="false" ht="15.75" hidden="false" customHeight="true" outlineLevel="0" collapsed="false">
      <c r="A236" s="7" t="s">
        <v>525</v>
      </c>
      <c r="B236" s="8" t="s">
        <v>526</v>
      </c>
      <c r="C236" s="9" t="s">
        <v>41</v>
      </c>
      <c r="D236" s="9" t="s">
        <v>506</v>
      </c>
      <c r="E236" s="9" t="s">
        <v>81</v>
      </c>
      <c r="F236" s="9" t="s">
        <v>55</v>
      </c>
      <c r="G236" s="10" t="s">
        <v>17</v>
      </c>
      <c r="H236" s="10" t="s">
        <v>17</v>
      </c>
      <c r="I236" s="10" t="s">
        <v>17</v>
      </c>
      <c r="J236" s="11" t="str">
        <f aca="false">IF(IFERROR(K236,7)=7,"",RIGHT(K236,LEN(K236)-2)&amp;".")</f>
        <v>/A.</v>
      </c>
      <c r="K236" s="10" t="str">
        <f aca="false">IFERROR(__xludf.dummyfunction("CONCATENATE(ArrayFormula(""; ""&amp;QUERY(Hallazgos!A:F,""SELECT B WHERE E CONTAINS '""&amp;B236&amp;""' LABEL B ''"")))"),"#N/A")</f>
        <v>#N/A</v>
      </c>
    </row>
    <row r="237" customFormat="false" ht="15.75" hidden="false" customHeight="true" outlineLevel="0" collapsed="false">
      <c r="A237" s="7" t="s">
        <v>527</v>
      </c>
      <c r="B237" s="8" t="s">
        <v>528</v>
      </c>
      <c r="C237" s="9" t="s">
        <v>41</v>
      </c>
      <c r="D237" s="9" t="s">
        <v>506</v>
      </c>
      <c r="E237" s="9" t="s">
        <v>81</v>
      </c>
      <c r="F237" s="9" t="s">
        <v>55</v>
      </c>
      <c r="G237" s="10" t="s">
        <v>17</v>
      </c>
      <c r="H237" s="10" t="s">
        <v>17</v>
      </c>
      <c r="I237" s="10" t="s">
        <v>17</v>
      </c>
      <c r="J237" s="11" t="str">
        <f aca="false">IF(IFERROR(K237,7)=7,"",RIGHT(K237,LEN(K237)-2)&amp;".")</f>
        <v>/A.</v>
      </c>
      <c r="K237" s="10" t="str">
        <f aca="false">IFERROR(__xludf.dummyfunction("CONCATENATE(ArrayFormula(""; ""&amp;QUERY(Hallazgos!A:F,""SELECT B WHERE E CONTAINS '""&amp;B237&amp;""' LABEL B ''"")))"),"#N/A")</f>
        <v>#N/A</v>
      </c>
    </row>
    <row r="238" customFormat="false" ht="15.75" hidden="false" customHeight="true" outlineLevel="0" collapsed="false">
      <c r="A238" s="7" t="s">
        <v>529</v>
      </c>
      <c r="B238" s="8" t="s">
        <v>530</v>
      </c>
      <c r="C238" s="9" t="s">
        <v>41</v>
      </c>
      <c r="D238" s="9" t="s">
        <v>506</v>
      </c>
      <c r="E238" s="9" t="s">
        <v>54</v>
      </c>
      <c r="F238" s="9" t="s">
        <v>55</v>
      </c>
      <c r="G238" s="10" t="s">
        <v>17</v>
      </c>
      <c r="H238" s="10" t="s">
        <v>17</v>
      </c>
      <c r="I238" s="10" t="s">
        <v>17</v>
      </c>
      <c r="J238" s="11" t="str">
        <f aca="false">IF(IFERROR(K238,7)=7,"",RIGHT(K238,LEN(K238)-2)&amp;".")</f>
        <v>/A.</v>
      </c>
      <c r="K238" s="10" t="str">
        <f aca="false">IFERROR(__xludf.dummyfunction("CONCATENATE(ArrayFormula(""; ""&amp;QUERY(Hallazgos!A:F,""SELECT B WHERE E CONTAINS '""&amp;B238&amp;""' LABEL B ''"")))"),"#N/A")</f>
        <v>#N/A</v>
      </c>
    </row>
    <row r="239" customFormat="false" ht="15.75" hidden="false" customHeight="true" outlineLevel="0" collapsed="false">
      <c r="A239" s="7" t="s">
        <v>531</v>
      </c>
      <c r="B239" s="8" t="s">
        <v>532</v>
      </c>
      <c r="C239" s="9" t="s">
        <v>41</v>
      </c>
      <c r="D239" s="9" t="s">
        <v>506</v>
      </c>
      <c r="E239" s="9" t="s">
        <v>88</v>
      </c>
      <c r="F239" s="9" t="s">
        <v>55</v>
      </c>
      <c r="G239" s="10" t="s">
        <v>17</v>
      </c>
      <c r="H239" s="10" t="s">
        <v>17</v>
      </c>
      <c r="I239" s="10" t="s">
        <v>17</v>
      </c>
      <c r="J239" s="11" t="str">
        <f aca="false">IF(IFERROR(K239,7)=7,"",RIGHT(K239,LEN(K239)-2)&amp;".")</f>
        <v>/A.</v>
      </c>
      <c r="K239" s="10" t="str">
        <f aca="false">IFERROR(__xludf.dummyfunction("CONCATENATE(ArrayFormula(""; ""&amp;QUERY(Hallazgos!A:F,""SELECT B WHERE E CONTAINS '""&amp;B239&amp;""' LABEL B ''"")))"),"#N/A")</f>
        <v>#N/A</v>
      </c>
    </row>
    <row r="240" customFormat="false" ht="15.75" hidden="false" customHeight="true" outlineLevel="0" collapsed="false">
      <c r="A240" s="7" t="s">
        <v>533</v>
      </c>
      <c r="B240" s="8" t="s">
        <v>534</v>
      </c>
      <c r="C240" s="9" t="s">
        <v>38</v>
      </c>
      <c r="D240" s="9" t="s">
        <v>535</v>
      </c>
      <c r="E240" s="9" t="s">
        <v>15</v>
      </c>
      <c r="F240" s="9" t="s">
        <v>16</v>
      </c>
      <c r="G240" s="10" t="s">
        <v>17</v>
      </c>
      <c r="H240" s="10" t="s">
        <v>17</v>
      </c>
      <c r="I240" s="10" t="s">
        <v>17</v>
      </c>
      <c r="J240" s="11" t="str">
        <f aca="false">IF(IFERROR(K240,7)=7,"",RIGHT(K240,LEN(K240)-2)&amp;".")</f>
        <v>/A.</v>
      </c>
      <c r="K240" s="10" t="str">
        <f aca="false">IFERROR(__xludf.dummyfunction("CONCATENATE(ArrayFormula(""; ""&amp;QUERY(Hallazgos!A:F,""SELECT B WHERE E CONTAINS '""&amp;B240&amp;""' LABEL B ''"")))"),"#N/A")</f>
        <v>#N/A</v>
      </c>
    </row>
    <row r="241" customFormat="false" ht="15.75" hidden="false" customHeight="true" outlineLevel="0" collapsed="false">
      <c r="A241" s="7" t="s">
        <v>536</v>
      </c>
      <c r="B241" s="8" t="s">
        <v>537</v>
      </c>
      <c r="C241" s="9" t="s">
        <v>38</v>
      </c>
      <c r="D241" s="9" t="s">
        <v>535</v>
      </c>
      <c r="E241" s="9" t="s">
        <v>15</v>
      </c>
      <c r="F241" s="9" t="s">
        <v>49</v>
      </c>
      <c r="G241" s="10" t="s">
        <v>17</v>
      </c>
      <c r="H241" s="10" t="s">
        <v>17</v>
      </c>
      <c r="I241" s="10" t="s">
        <v>17</v>
      </c>
      <c r="J241" s="11" t="str">
        <f aca="false">IF(IFERROR(K241,7)=7,"",RIGHT(K241,LEN(K241)-2)&amp;".")</f>
        <v>/A.</v>
      </c>
      <c r="K241" s="10" t="str">
        <f aca="false">IFERROR(__xludf.dummyfunction("CONCATENATE(ArrayFormula(""; ""&amp;QUERY(Hallazgos!A:F,""SELECT B WHERE E CONTAINS '""&amp;B241&amp;""' LABEL B ''"")))"),"#N/A")</f>
        <v>#N/A</v>
      </c>
    </row>
    <row r="242" customFormat="false" ht="15.75" hidden="false" customHeight="true" outlineLevel="0" collapsed="false">
      <c r="A242" s="7" t="s">
        <v>538</v>
      </c>
      <c r="B242" s="8" t="s">
        <v>539</v>
      </c>
      <c r="C242" s="9" t="s">
        <v>38</v>
      </c>
      <c r="D242" s="9" t="s">
        <v>535</v>
      </c>
      <c r="E242" s="9" t="s">
        <v>15</v>
      </c>
      <c r="F242" s="9" t="s">
        <v>44</v>
      </c>
      <c r="G242" s="10" t="s">
        <v>17</v>
      </c>
      <c r="H242" s="10" t="s">
        <v>17</v>
      </c>
      <c r="I242" s="10" t="s">
        <v>17</v>
      </c>
      <c r="J242" s="11" t="str">
        <f aca="false">IF(IFERROR(K242,7)=7,"",RIGHT(K242,LEN(K242)-2)&amp;".")</f>
        <v>/A.</v>
      </c>
      <c r="K242" s="10" t="str">
        <f aca="false">IFERROR(__xludf.dummyfunction("CONCATENATE(ArrayFormula(""; ""&amp;QUERY(Hallazgos!A:F,""SELECT B WHERE E CONTAINS '""&amp;B242&amp;""' LABEL B ''"")))"),"#N/A")</f>
        <v>#N/A</v>
      </c>
    </row>
    <row r="243" customFormat="false" ht="15.75" hidden="false" customHeight="true" outlineLevel="0" collapsed="false">
      <c r="A243" s="7" t="s">
        <v>540</v>
      </c>
      <c r="B243" s="8" t="s">
        <v>541</v>
      </c>
      <c r="C243" s="9" t="s">
        <v>38</v>
      </c>
      <c r="D243" s="9" t="s">
        <v>535</v>
      </c>
      <c r="E243" s="9" t="s">
        <v>15</v>
      </c>
      <c r="F243" s="9" t="s">
        <v>44</v>
      </c>
      <c r="G243" s="10" t="s">
        <v>17</v>
      </c>
      <c r="H243" s="10" t="s">
        <v>17</v>
      </c>
      <c r="I243" s="10" t="s">
        <v>17</v>
      </c>
      <c r="J243" s="11" t="str">
        <f aca="false">IF(IFERROR(K243,7)=7,"",RIGHT(K243,LEN(K243)-2)&amp;".")</f>
        <v>/A.</v>
      </c>
      <c r="K243" s="10" t="str">
        <f aca="false">IFERROR(__xludf.dummyfunction("CONCATENATE(ArrayFormula(""; ""&amp;QUERY(Hallazgos!A:F,""SELECT B WHERE E CONTAINS '""&amp;B243&amp;""' LABEL B ''"")))"),"#N/A")</f>
        <v>#N/A</v>
      </c>
    </row>
    <row r="244" customFormat="false" ht="15.75" hidden="false" customHeight="true" outlineLevel="0" collapsed="false">
      <c r="A244" s="7" t="s">
        <v>542</v>
      </c>
      <c r="B244" s="8" t="s">
        <v>543</v>
      </c>
      <c r="C244" s="9" t="s">
        <v>38</v>
      </c>
      <c r="D244" s="9" t="s">
        <v>544</v>
      </c>
      <c r="E244" s="9" t="s">
        <v>15</v>
      </c>
      <c r="F244" s="9" t="s">
        <v>44</v>
      </c>
      <c r="G244" s="10" t="s">
        <v>17</v>
      </c>
      <c r="H244" s="10" t="s">
        <v>17</v>
      </c>
      <c r="I244" s="10" t="s">
        <v>17</v>
      </c>
      <c r="J244" s="11" t="str">
        <f aca="false">IF(IFERROR(K244,7)=7,"",RIGHT(K244,LEN(K244)-2)&amp;".")</f>
        <v>/A.</v>
      </c>
      <c r="K244" s="10" t="str">
        <f aca="false">IFERROR(__xludf.dummyfunction("CONCATENATE(ArrayFormula(""; ""&amp;QUERY(Hallazgos!A:F,""SELECT B WHERE E CONTAINS '""&amp;B244&amp;""' LABEL B ''"")))"),"#N/A")</f>
        <v>#N/A</v>
      </c>
    </row>
    <row r="245" customFormat="false" ht="15.75" hidden="false" customHeight="true" outlineLevel="0" collapsed="false">
      <c r="A245" s="7" t="s">
        <v>545</v>
      </c>
      <c r="B245" s="8" t="s">
        <v>546</v>
      </c>
      <c r="C245" s="9" t="s">
        <v>38</v>
      </c>
      <c r="D245" s="9" t="s">
        <v>544</v>
      </c>
      <c r="E245" s="9" t="s">
        <v>15</v>
      </c>
      <c r="F245" s="9" t="s">
        <v>44</v>
      </c>
      <c r="G245" s="10" t="s">
        <v>17</v>
      </c>
      <c r="H245" s="10" t="s">
        <v>17</v>
      </c>
      <c r="I245" s="10" t="s">
        <v>17</v>
      </c>
      <c r="J245" s="11" t="str">
        <f aca="false">IF(IFERROR(K245,7)=7,"",RIGHT(K245,LEN(K245)-2)&amp;".")</f>
        <v>/A.</v>
      </c>
      <c r="K245" s="10" t="str">
        <f aca="false">IFERROR(__xludf.dummyfunction("CONCATENATE(ArrayFormula(""; ""&amp;QUERY(Hallazgos!A:F,""SELECT B WHERE E CONTAINS '""&amp;B245&amp;""' LABEL B ''"")))"),"#N/A")</f>
        <v>#N/A</v>
      </c>
    </row>
    <row r="246" customFormat="false" ht="15.75" hidden="false" customHeight="true" outlineLevel="0" collapsed="false">
      <c r="A246" s="7" t="s">
        <v>547</v>
      </c>
      <c r="B246" s="8" t="s">
        <v>548</v>
      </c>
      <c r="C246" s="9" t="s">
        <v>38</v>
      </c>
      <c r="D246" s="9" t="s">
        <v>544</v>
      </c>
      <c r="E246" s="9" t="s">
        <v>15</v>
      </c>
      <c r="F246" s="9" t="s">
        <v>44</v>
      </c>
      <c r="G246" s="10" t="s">
        <v>17</v>
      </c>
      <c r="H246" s="10" t="s">
        <v>17</v>
      </c>
      <c r="I246" s="10" t="s">
        <v>17</v>
      </c>
      <c r="J246" s="11" t="str">
        <f aca="false">IF(IFERROR(K246,7)=7,"",RIGHT(K246,LEN(K246)-2)&amp;".")</f>
        <v>/A.</v>
      </c>
      <c r="K246" s="10" t="str">
        <f aca="false">IFERROR(__xludf.dummyfunction("CONCATENATE(ArrayFormula(""; ""&amp;QUERY(Hallazgos!A:F,""SELECT B WHERE E CONTAINS '""&amp;B246&amp;""' LABEL B ''"")))"),"#N/A")</f>
        <v>#N/A</v>
      </c>
    </row>
    <row r="247" customFormat="false" ht="15.75" hidden="false" customHeight="true" outlineLevel="0" collapsed="false">
      <c r="A247" s="7" t="s">
        <v>549</v>
      </c>
      <c r="B247" s="8" t="s">
        <v>550</v>
      </c>
      <c r="C247" s="9" t="s">
        <v>38</v>
      </c>
      <c r="D247" s="9" t="s">
        <v>544</v>
      </c>
      <c r="E247" s="9" t="s">
        <v>15</v>
      </c>
      <c r="F247" s="9" t="s">
        <v>44</v>
      </c>
      <c r="G247" s="10" t="s">
        <v>17</v>
      </c>
      <c r="H247" s="10" t="s">
        <v>17</v>
      </c>
      <c r="I247" s="10" t="s">
        <v>17</v>
      </c>
      <c r="J247" s="11" t="str">
        <f aca="false">IF(IFERROR(K247,7)=7,"",RIGHT(K247,LEN(K247)-2)&amp;".")</f>
        <v>/A.</v>
      </c>
      <c r="K247" s="10" t="str">
        <f aca="false">IFERROR(__xludf.dummyfunction("CONCATENATE(ArrayFormula(""; ""&amp;QUERY(Hallazgos!A:F,""SELECT B WHERE E CONTAINS '""&amp;B247&amp;""' LABEL B ''"")))"),"#N/A")</f>
        <v>#N/A</v>
      </c>
    </row>
    <row r="248" customFormat="false" ht="15.75" hidden="false" customHeight="true" outlineLevel="0" collapsed="false">
      <c r="A248" s="7" t="s">
        <v>551</v>
      </c>
      <c r="B248" s="8" t="s">
        <v>552</v>
      </c>
      <c r="C248" s="9" t="s">
        <v>13</v>
      </c>
      <c r="D248" s="9" t="s">
        <v>553</v>
      </c>
      <c r="E248" s="9" t="s">
        <v>81</v>
      </c>
      <c r="F248" s="9" t="s">
        <v>55</v>
      </c>
      <c r="G248" s="10" t="s">
        <v>17</v>
      </c>
      <c r="H248" s="10" t="s">
        <v>17</v>
      </c>
      <c r="I248" s="10" t="s">
        <v>17</v>
      </c>
      <c r="J248" s="11" t="str">
        <f aca="false">IF(IFERROR(K248,7)=7,"",RIGHT(K248,LEN(K248)-2)&amp;".")</f>
        <v>/A.</v>
      </c>
      <c r="K248" s="10" t="str">
        <f aca="false">IFERROR(__xludf.dummyfunction("CONCATENATE(ArrayFormula(""; ""&amp;QUERY(Hallazgos!A:F,""SELECT B WHERE E CONTAINS '""&amp;B248&amp;""' LABEL B ''"")))"),"#N/A")</f>
        <v>#N/A</v>
      </c>
    </row>
    <row r="249" customFormat="false" ht="15.75" hidden="false" customHeight="true" outlineLevel="0" collapsed="false">
      <c r="A249" s="7" t="s">
        <v>554</v>
      </c>
      <c r="B249" s="8" t="s">
        <v>555</v>
      </c>
      <c r="C249" s="9" t="s">
        <v>13</v>
      </c>
      <c r="D249" s="9" t="s">
        <v>553</v>
      </c>
      <c r="E249" s="9" t="s">
        <v>81</v>
      </c>
      <c r="F249" s="9" t="s">
        <v>55</v>
      </c>
      <c r="G249" s="10" t="s">
        <v>17</v>
      </c>
      <c r="H249" s="10" t="s">
        <v>17</v>
      </c>
      <c r="I249" s="10" t="s">
        <v>17</v>
      </c>
      <c r="J249" s="11" t="str">
        <f aca="false">IF(IFERROR(K249,7)=7,"",RIGHT(K249,LEN(K249)-2)&amp;".")</f>
        <v>/A.</v>
      </c>
      <c r="K249" s="10" t="str">
        <f aca="false">IFERROR(__xludf.dummyfunction("CONCATENATE(ArrayFormula(""; ""&amp;QUERY(Hallazgos!A:F,""SELECT B WHERE E CONTAINS '""&amp;B249&amp;""' LABEL B ''"")))"),"#N/A")</f>
        <v>#N/A</v>
      </c>
    </row>
    <row r="250" customFormat="false" ht="15.75" hidden="false" customHeight="true" outlineLevel="0" collapsed="false">
      <c r="A250" s="7" t="s">
        <v>556</v>
      </c>
      <c r="B250" s="8" t="s">
        <v>557</v>
      </c>
      <c r="C250" s="9" t="s">
        <v>13</v>
      </c>
      <c r="D250" s="9" t="s">
        <v>553</v>
      </c>
      <c r="E250" s="9" t="s">
        <v>81</v>
      </c>
      <c r="F250" s="9" t="s">
        <v>55</v>
      </c>
      <c r="G250" s="10" t="s">
        <v>17</v>
      </c>
      <c r="H250" s="10" t="s">
        <v>17</v>
      </c>
      <c r="I250" s="10" t="s">
        <v>17</v>
      </c>
      <c r="J250" s="11" t="str">
        <f aca="false">IF(IFERROR(K250,7)=7,"",RIGHT(K250,LEN(K250)-2)&amp;".")</f>
        <v>/A.</v>
      </c>
      <c r="K250" s="10" t="str">
        <f aca="false">IFERROR(__xludf.dummyfunction("CONCATENATE(ArrayFormula(""; ""&amp;QUERY(Hallazgos!A:F,""SELECT B WHERE E CONTAINS '""&amp;B250&amp;""' LABEL B ''"")))"),"#N/A")</f>
        <v>#N/A</v>
      </c>
    </row>
    <row r="251" customFormat="false" ht="15.75" hidden="false" customHeight="true" outlineLevel="0" collapsed="false">
      <c r="A251" s="7" t="s">
        <v>558</v>
      </c>
      <c r="B251" s="8" t="s">
        <v>559</v>
      </c>
      <c r="C251" s="9" t="s">
        <v>13</v>
      </c>
      <c r="D251" s="9" t="s">
        <v>553</v>
      </c>
      <c r="E251" s="9" t="s">
        <v>98</v>
      </c>
      <c r="F251" s="9" t="s">
        <v>55</v>
      </c>
      <c r="G251" s="10" t="s">
        <v>17</v>
      </c>
      <c r="H251" s="10" t="s">
        <v>17</v>
      </c>
      <c r="I251" s="10" t="s">
        <v>17</v>
      </c>
      <c r="J251" s="11" t="str">
        <f aca="false">IF(IFERROR(K251,7)=7,"",RIGHT(K251,LEN(K251)-2)&amp;".")</f>
        <v>/A.</v>
      </c>
      <c r="K251" s="10" t="str">
        <f aca="false">IFERROR(__xludf.dummyfunction("CONCATENATE(ArrayFormula(""; ""&amp;QUERY(Hallazgos!A:F,""SELECT B WHERE E CONTAINS '""&amp;B251&amp;""' LABEL B ''"")))"),"#N/A")</f>
        <v>#N/A</v>
      </c>
    </row>
    <row r="252" customFormat="false" ht="15.75" hidden="false" customHeight="true" outlineLevel="0" collapsed="false">
      <c r="A252" s="7" t="s">
        <v>560</v>
      </c>
      <c r="B252" s="8" t="s">
        <v>561</v>
      </c>
      <c r="C252" s="9" t="s">
        <v>13</v>
      </c>
      <c r="D252" s="9" t="s">
        <v>553</v>
      </c>
      <c r="E252" s="9" t="s">
        <v>72</v>
      </c>
      <c r="F252" s="9" t="s">
        <v>55</v>
      </c>
      <c r="G252" s="10" t="s">
        <v>17</v>
      </c>
      <c r="H252" s="10" t="s">
        <v>17</v>
      </c>
      <c r="I252" s="10" t="s">
        <v>17</v>
      </c>
      <c r="J252" s="11" t="str">
        <f aca="false">IF(IFERROR(K252,7)=7,"",RIGHT(K252,LEN(K252)-2)&amp;".")</f>
        <v>/A.</v>
      </c>
      <c r="K252" s="10" t="str">
        <f aca="false">IFERROR(__xludf.dummyfunction("CONCATENATE(ArrayFormula(""; ""&amp;QUERY(Hallazgos!A:F,""SELECT B WHERE E CONTAINS '""&amp;B252&amp;""' LABEL B ''"")))"),"#N/A")</f>
        <v>#N/A</v>
      </c>
    </row>
    <row r="253" customFormat="false" ht="15.75" hidden="false" customHeight="true" outlineLevel="0" collapsed="false">
      <c r="A253" s="7" t="s">
        <v>562</v>
      </c>
      <c r="B253" s="8" t="s">
        <v>563</v>
      </c>
      <c r="C253" s="9" t="s">
        <v>13</v>
      </c>
      <c r="D253" s="9" t="s">
        <v>553</v>
      </c>
      <c r="E253" s="9" t="s">
        <v>15</v>
      </c>
      <c r="F253" s="9" t="s">
        <v>55</v>
      </c>
      <c r="G253" s="10" t="s">
        <v>17</v>
      </c>
      <c r="H253" s="10" t="s">
        <v>17</v>
      </c>
      <c r="I253" s="10" t="s">
        <v>17</v>
      </c>
      <c r="J253" s="11" t="str">
        <f aca="false">IF(IFERROR(K253,7)=7,"",RIGHT(K253,LEN(K253)-2)&amp;".")</f>
        <v>/A.</v>
      </c>
      <c r="K253" s="10" t="str">
        <f aca="false">IFERROR(__xludf.dummyfunction("CONCATENATE(ArrayFormula(""; ""&amp;QUERY(Hallazgos!A:F,""SELECT B WHERE E CONTAINS '""&amp;B253&amp;""' LABEL B ''"")))"),"#N/A")</f>
        <v>#N/A</v>
      </c>
    </row>
    <row r="254" customFormat="false" ht="15.75" hidden="false" customHeight="true" outlineLevel="0" collapsed="false">
      <c r="A254" s="7" t="s">
        <v>564</v>
      </c>
      <c r="B254" s="8" t="s">
        <v>565</v>
      </c>
      <c r="C254" s="9" t="s">
        <v>13</v>
      </c>
      <c r="D254" s="9" t="s">
        <v>553</v>
      </c>
      <c r="E254" s="9" t="s">
        <v>88</v>
      </c>
      <c r="F254" s="9" t="s">
        <v>55</v>
      </c>
      <c r="G254" s="10" t="s">
        <v>17</v>
      </c>
      <c r="H254" s="10" t="s">
        <v>17</v>
      </c>
      <c r="I254" s="10" t="s">
        <v>17</v>
      </c>
      <c r="J254" s="11" t="str">
        <f aca="false">IF(IFERROR(K254,7)=7,"",RIGHT(K254,LEN(K254)-2)&amp;".")</f>
        <v>/A.</v>
      </c>
      <c r="K254" s="10" t="str">
        <f aca="false">IFERROR(__xludf.dummyfunction("CONCATENATE(ArrayFormula(""; ""&amp;QUERY(Hallazgos!A:F,""SELECT B WHERE E CONTAINS '""&amp;B254&amp;""' LABEL B ''"")))"),"#N/A")</f>
        <v>#N/A</v>
      </c>
    </row>
    <row r="255" customFormat="false" ht="15.75" hidden="false" customHeight="true" outlineLevel="0" collapsed="false">
      <c r="A255" s="7" t="s">
        <v>566</v>
      </c>
      <c r="B255" s="8" t="s">
        <v>567</v>
      </c>
      <c r="C255" s="9" t="s">
        <v>13</v>
      </c>
      <c r="D255" s="9" t="s">
        <v>553</v>
      </c>
      <c r="E255" s="9" t="s">
        <v>81</v>
      </c>
      <c r="F255" s="9" t="s">
        <v>55</v>
      </c>
      <c r="G255" s="10" t="s">
        <v>17</v>
      </c>
      <c r="H255" s="10" t="s">
        <v>17</v>
      </c>
      <c r="I255" s="10" t="s">
        <v>17</v>
      </c>
      <c r="J255" s="11" t="str">
        <f aca="false">IF(IFERROR(K255,7)=7,"",RIGHT(K255,LEN(K255)-2)&amp;".")</f>
        <v>/A.</v>
      </c>
      <c r="K255" s="10" t="str">
        <f aca="false">IFERROR(__xludf.dummyfunction("CONCATENATE(ArrayFormula(""; ""&amp;QUERY(Hallazgos!A:F,""SELECT B WHERE E CONTAINS '""&amp;B255&amp;""' LABEL B ''"")))"),"#N/A")</f>
        <v>#N/A</v>
      </c>
    </row>
    <row r="256" customFormat="false" ht="15.75" hidden="false" customHeight="true" outlineLevel="0" collapsed="false">
      <c r="A256" s="7" t="s">
        <v>568</v>
      </c>
      <c r="B256" s="8" t="s">
        <v>569</v>
      </c>
      <c r="C256" s="9" t="s">
        <v>13</v>
      </c>
      <c r="D256" s="9" t="s">
        <v>570</v>
      </c>
      <c r="E256" s="9" t="s">
        <v>72</v>
      </c>
      <c r="F256" s="9" t="s">
        <v>55</v>
      </c>
      <c r="G256" s="10" t="s">
        <v>17</v>
      </c>
      <c r="H256" s="10" t="s">
        <v>17</v>
      </c>
      <c r="I256" s="10" t="s">
        <v>17</v>
      </c>
      <c r="J256" s="11" t="str">
        <f aca="false">IF(IFERROR(K256,7)=7,"",RIGHT(K256,LEN(K256)-2)&amp;".")</f>
        <v>/A.</v>
      </c>
      <c r="K256" s="10" t="str">
        <f aca="false">IFERROR(__xludf.dummyfunction("CONCATENATE(ArrayFormula(""; ""&amp;QUERY(Hallazgos!A:F,""SELECT B WHERE E CONTAINS '""&amp;B256&amp;""' LABEL B ''"")))"),"#N/A")</f>
        <v>#N/A</v>
      </c>
    </row>
    <row r="257" customFormat="false" ht="15.75" hidden="false" customHeight="true" outlineLevel="0" collapsed="false">
      <c r="A257" s="7" t="s">
        <v>571</v>
      </c>
      <c r="B257" s="8" t="s">
        <v>572</v>
      </c>
      <c r="C257" s="9" t="s">
        <v>13</v>
      </c>
      <c r="D257" s="9" t="s">
        <v>570</v>
      </c>
      <c r="E257" s="9" t="s">
        <v>72</v>
      </c>
      <c r="F257" s="9" t="s">
        <v>55</v>
      </c>
      <c r="G257" s="10" t="s">
        <v>17</v>
      </c>
      <c r="H257" s="10" t="s">
        <v>17</v>
      </c>
      <c r="I257" s="10" t="s">
        <v>17</v>
      </c>
      <c r="J257" s="11" t="str">
        <f aca="false">IF(IFERROR(K257,7)=7,"",RIGHT(K257,LEN(K257)-2)&amp;".")</f>
        <v>/A.</v>
      </c>
      <c r="K257" s="10" t="str">
        <f aca="false">IFERROR(__xludf.dummyfunction("CONCATENATE(ArrayFormula(""; ""&amp;QUERY(Hallazgos!A:F,""SELECT B WHERE E CONTAINS '""&amp;B257&amp;""' LABEL B ''"")))"),"#N/A")</f>
        <v>#N/A</v>
      </c>
    </row>
    <row r="258" customFormat="false" ht="15.75" hidden="false" customHeight="true" outlineLevel="0" collapsed="false">
      <c r="A258" s="7" t="s">
        <v>573</v>
      </c>
      <c r="B258" s="8" t="s">
        <v>574</v>
      </c>
      <c r="C258" s="9" t="s">
        <v>38</v>
      </c>
      <c r="D258" s="9" t="s">
        <v>570</v>
      </c>
      <c r="E258" s="9" t="s">
        <v>98</v>
      </c>
      <c r="F258" s="9" t="s">
        <v>55</v>
      </c>
      <c r="G258" s="10" t="s">
        <v>17</v>
      </c>
      <c r="H258" s="10" t="s">
        <v>17</v>
      </c>
      <c r="I258" s="10" t="s">
        <v>17</v>
      </c>
      <c r="J258" s="11" t="str">
        <f aca="false">IF(IFERROR(K258,7)=7,"",RIGHT(K258,LEN(K258)-2)&amp;".")</f>
        <v>/A.</v>
      </c>
      <c r="K258" s="10" t="str">
        <f aca="false">IFERROR(__xludf.dummyfunction("CONCATENATE(ArrayFormula(""; ""&amp;QUERY(Hallazgos!A:F,""SELECT B WHERE E CONTAINS '""&amp;B258&amp;""' LABEL B ''"")))"),"#N/A")</f>
        <v>#N/A</v>
      </c>
    </row>
    <row r="259" customFormat="false" ht="15.75" hidden="false" customHeight="true" outlineLevel="0" collapsed="false">
      <c r="A259" s="7" t="s">
        <v>575</v>
      </c>
      <c r="B259" s="8" t="s">
        <v>576</v>
      </c>
      <c r="C259" s="9" t="s">
        <v>38</v>
      </c>
      <c r="D259" s="9" t="s">
        <v>570</v>
      </c>
      <c r="E259" s="9" t="s">
        <v>54</v>
      </c>
      <c r="F259" s="9" t="s">
        <v>55</v>
      </c>
      <c r="G259" s="10" t="s">
        <v>17</v>
      </c>
      <c r="H259" s="10" t="s">
        <v>17</v>
      </c>
      <c r="I259" s="10" t="s">
        <v>17</v>
      </c>
      <c r="J259" s="11" t="str">
        <f aca="false">IF(IFERROR(K259,7)=7,"",RIGHT(K259,LEN(K259)-2)&amp;".")</f>
        <v>/A.</v>
      </c>
      <c r="K259" s="10" t="str">
        <f aca="false">IFERROR(__xludf.dummyfunction("CONCATENATE(ArrayFormula(""; ""&amp;QUERY(Hallazgos!A:F,""SELECT B WHERE E CONTAINS '""&amp;B259&amp;""' LABEL B ''"")))"),"#N/A")</f>
        <v>#N/A</v>
      </c>
    </row>
    <row r="260" customFormat="false" ht="15.75" hidden="false" customHeight="true" outlineLevel="0" collapsed="false">
      <c r="A260" s="7" t="s">
        <v>577</v>
      </c>
      <c r="B260" s="8" t="s">
        <v>578</v>
      </c>
      <c r="C260" s="9" t="s">
        <v>13</v>
      </c>
      <c r="D260" s="9" t="s">
        <v>570</v>
      </c>
      <c r="E260" s="9" t="s">
        <v>184</v>
      </c>
      <c r="F260" s="9" t="s">
        <v>55</v>
      </c>
      <c r="G260" s="10" t="s">
        <v>17</v>
      </c>
      <c r="H260" s="10" t="s">
        <v>17</v>
      </c>
      <c r="I260" s="10" t="s">
        <v>17</v>
      </c>
      <c r="J260" s="11" t="str">
        <f aca="false">IF(IFERROR(K260,7)=7,"",RIGHT(K260,LEN(K260)-2)&amp;".")</f>
        <v>/A.</v>
      </c>
      <c r="K260" s="10" t="str">
        <f aca="false">IFERROR(__xludf.dummyfunction("CONCATENATE(ArrayFormula(""; ""&amp;QUERY(Hallazgos!A:F,""SELECT B WHERE E CONTAINS '""&amp;B260&amp;""' LABEL B ''"")))"),"#N/A")</f>
        <v>#N/A</v>
      </c>
    </row>
    <row r="261" customFormat="false" ht="15.75" hidden="false" customHeight="true" outlineLevel="0" collapsed="false">
      <c r="A261" s="7" t="s">
        <v>579</v>
      </c>
      <c r="B261" s="8" t="s">
        <v>580</v>
      </c>
      <c r="C261" s="9" t="s">
        <v>38</v>
      </c>
      <c r="D261" s="9" t="s">
        <v>581</v>
      </c>
      <c r="E261" s="9" t="s">
        <v>81</v>
      </c>
      <c r="F261" s="9" t="s">
        <v>55</v>
      </c>
      <c r="G261" s="10" t="s">
        <v>17</v>
      </c>
      <c r="H261" s="10" t="s">
        <v>17</v>
      </c>
      <c r="I261" s="10" t="s">
        <v>17</v>
      </c>
      <c r="J261" s="11" t="str">
        <f aca="false">IF(IFERROR(K261,7)=7,"",RIGHT(K261,LEN(K261)-2)&amp;".")</f>
        <v>/A.</v>
      </c>
      <c r="K261" s="10" t="str">
        <f aca="false">IFERROR(__xludf.dummyfunction("CONCATENATE(ArrayFormula(""; ""&amp;QUERY(Hallazgos!A:F,""SELECT B WHERE E CONTAINS '""&amp;B261&amp;""' LABEL B ''"")))"),"#N/A")</f>
        <v>#N/A</v>
      </c>
    </row>
    <row r="262" customFormat="false" ht="15.75" hidden="false" customHeight="true" outlineLevel="0" collapsed="false">
      <c r="A262" s="7" t="s">
        <v>582</v>
      </c>
      <c r="B262" s="8" t="s">
        <v>583</v>
      </c>
      <c r="C262" s="9" t="s">
        <v>38</v>
      </c>
      <c r="D262" s="9" t="s">
        <v>581</v>
      </c>
      <c r="E262" s="9" t="s">
        <v>81</v>
      </c>
      <c r="F262" s="9" t="s">
        <v>55</v>
      </c>
      <c r="G262" s="10" t="s">
        <v>17</v>
      </c>
      <c r="H262" s="10" t="s">
        <v>17</v>
      </c>
      <c r="I262" s="10" t="s">
        <v>17</v>
      </c>
      <c r="J262" s="11" t="str">
        <f aca="false">IF(IFERROR(K262,7)=7,"",RIGHT(K262,LEN(K262)-2)&amp;".")</f>
        <v>/A.</v>
      </c>
      <c r="K262" s="10" t="str">
        <f aca="false">IFERROR(__xludf.dummyfunction("CONCATENATE(ArrayFormula(""; ""&amp;QUERY(Hallazgos!A:F,""SELECT B WHERE E CONTAINS '""&amp;B262&amp;""' LABEL B ''"")))"),"#N/A")</f>
        <v>#N/A</v>
      </c>
    </row>
    <row r="263" customFormat="false" ht="15.75" hidden="false" customHeight="true" outlineLevel="0" collapsed="false">
      <c r="A263" s="7" t="s">
        <v>584</v>
      </c>
      <c r="B263" s="8" t="s">
        <v>585</v>
      </c>
      <c r="C263" s="9" t="s">
        <v>41</v>
      </c>
      <c r="D263" s="9" t="s">
        <v>586</v>
      </c>
      <c r="E263" s="9" t="s">
        <v>184</v>
      </c>
      <c r="F263" s="9" t="s">
        <v>55</v>
      </c>
      <c r="G263" s="10" t="s">
        <v>17</v>
      </c>
      <c r="H263" s="10" t="s">
        <v>17</v>
      </c>
      <c r="I263" s="10" t="s">
        <v>17</v>
      </c>
      <c r="J263" s="11" t="str">
        <f aca="false">IF(IFERROR(K263,7)=7,"",RIGHT(K263,LEN(K263)-2)&amp;".")</f>
        <v>/A.</v>
      </c>
      <c r="K263" s="10" t="str">
        <f aca="false">IFERROR(__xludf.dummyfunction("CONCATENATE(ArrayFormula(""; ""&amp;QUERY(Hallazgos!A:F,""SELECT B WHERE E CONTAINS '""&amp;B263&amp;""' LABEL B ''"")))"),"#N/A")</f>
        <v>#N/A</v>
      </c>
    </row>
    <row r="264" customFormat="false" ht="15.75" hidden="false" customHeight="true" outlineLevel="0" collapsed="false">
      <c r="A264" s="7" t="s">
        <v>587</v>
      </c>
      <c r="B264" s="8" t="s">
        <v>588</v>
      </c>
      <c r="C264" s="9" t="s">
        <v>41</v>
      </c>
      <c r="D264" s="9" t="s">
        <v>586</v>
      </c>
      <c r="E264" s="9" t="s">
        <v>15</v>
      </c>
      <c r="F264" s="9" t="s">
        <v>55</v>
      </c>
      <c r="G264" s="10" t="s">
        <v>17</v>
      </c>
      <c r="H264" s="10" t="s">
        <v>17</v>
      </c>
      <c r="I264" s="10" t="s">
        <v>17</v>
      </c>
      <c r="J264" s="11" t="str">
        <f aca="false">IF(IFERROR(K264,7)=7,"",RIGHT(K264,LEN(K264)-2)&amp;".")</f>
        <v>/A.</v>
      </c>
      <c r="K264" s="10" t="str">
        <f aca="false">IFERROR(__xludf.dummyfunction("CONCATENATE(ArrayFormula(""; ""&amp;QUERY(Hallazgos!A:F,""SELECT B WHERE E CONTAINS '""&amp;B264&amp;""' LABEL B ''"")))"),"#N/A")</f>
        <v>#N/A</v>
      </c>
    </row>
    <row r="265" customFormat="false" ht="15.75" hidden="false" customHeight="true" outlineLevel="0" collapsed="false">
      <c r="A265" s="7" t="s">
        <v>589</v>
      </c>
      <c r="B265" s="8" t="s">
        <v>590</v>
      </c>
      <c r="C265" s="9" t="s">
        <v>41</v>
      </c>
      <c r="D265" s="9" t="s">
        <v>586</v>
      </c>
      <c r="E265" s="9" t="s">
        <v>98</v>
      </c>
      <c r="F265" s="9" t="s">
        <v>55</v>
      </c>
      <c r="G265" s="10" t="s">
        <v>17</v>
      </c>
      <c r="H265" s="10" t="s">
        <v>17</v>
      </c>
      <c r="I265" s="10" t="s">
        <v>17</v>
      </c>
      <c r="J265" s="11" t="str">
        <f aca="false">IF(IFERROR(K265,7)=7,"",RIGHT(K265,LEN(K265)-2)&amp;".")</f>
        <v>/A.</v>
      </c>
      <c r="K265" s="10" t="str">
        <f aca="false">IFERROR(__xludf.dummyfunction("CONCATENATE(ArrayFormula(""; ""&amp;QUERY(Hallazgos!A:F,""SELECT B WHERE E CONTAINS '""&amp;B265&amp;""' LABEL B ''"")))"),"#N/A")</f>
        <v>#N/A</v>
      </c>
    </row>
    <row r="266" customFormat="false" ht="15.75" hidden="false" customHeight="true" outlineLevel="0" collapsed="false">
      <c r="A266" s="7" t="s">
        <v>591</v>
      </c>
      <c r="B266" s="8" t="s">
        <v>592</v>
      </c>
      <c r="C266" s="9" t="s">
        <v>41</v>
      </c>
      <c r="D266" s="9" t="s">
        <v>586</v>
      </c>
      <c r="E266" s="9" t="s">
        <v>98</v>
      </c>
      <c r="F266" s="9" t="s">
        <v>55</v>
      </c>
      <c r="G266" s="10" t="s">
        <v>17</v>
      </c>
      <c r="H266" s="10" t="s">
        <v>17</v>
      </c>
      <c r="I266" s="10" t="s">
        <v>17</v>
      </c>
      <c r="J266" s="11" t="str">
        <f aca="false">IF(IFERROR(K266,7)=7,"",RIGHT(K266,LEN(K266)-2)&amp;".")</f>
        <v>/A.</v>
      </c>
      <c r="K266" s="10" t="str">
        <f aca="false">IFERROR(__xludf.dummyfunction("CONCATENATE(ArrayFormula(""; ""&amp;QUERY(Hallazgos!A:F,""SELECT B WHERE E CONTAINS '""&amp;B266&amp;""' LABEL B ''"")))"),"#N/A")</f>
        <v>#N/A</v>
      </c>
    </row>
    <row r="267" customFormat="false" ht="15.75" hidden="false" customHeight="true" outlineLevel="0" collapsed="false">
      <c r="A267" s="7" t="s">
        <v>593</v>
      </c>
      <c r="B267" s="8" t="s">
        <v>594</v>
      </c>
      <c r="C267" s="9" t="s">
        <v>38</v>
      </c>
      <c r="D267" s="9" t="s">
        <v>586</v>
      </c>
      <c r="E267" s="9" t="s">
        <v>116</v>
      </c>
      <c r="F267" s="9" t="s">
        <v>55</v>
      </c>
      <c r="G267" s="10" t="s">
        <v>17</v>
      </c>
      <c r="H267" s="10" t="s">
        <v>17</v>
      </c>
      <c r="I267" s="10" t="s">
        <v>17</v>
      </c>
      <c r="J267" s="11" t="str">
        <f aca="false">IF(IFERROR(K267,7)=7,"",RIGHT(K267,LEN(K267)-2)&amp;".")</f>
        <v>/A.</v>
      </c>
      <c r="K267" s="10" t="str">
        <f aca="false">IFERROR(__xludf.dummyfunction("CONCATENATE(ArrayFormula(""; ""&amp;QUERY(Hallazgos!A:F,""SELECT B WHERE E CONTAINS '""&amp;B267&amp;""' LABEL B ''"")))"),"#N/A")</f>
        <v>#N/A</v>
      </c>
    </row>
    <row r="268" customFormat="false" ht="15.75" hidden="false" customHeight="true" outlineLevel="0" collapsed="false">
      <c r="A268" s="7" t="s">
        <v>595</v>
      </c>
      <c r="B268" s="8" t="s">
        <v>596</v>
      </c>
      <c r="C268" s="9" t="s">
        <v>38</v>
      </c>
      <c r="D268" s="9" t="s">
        <v>586</v>
      </c>
      <c r="E268" s="9" t="s">
        <v>116</v>
      </c>
      <c r="F268" s="9" t="s">
        <v>55</v>
      </c>
      <c r="G268" s="10" t="s">
        <v>17</v>
      </c>
      <c r="H268" s="10" t="s">
        <v>17</v>
      </c>
      <c r="I268" s="10" t="s">
        <v>17</v>
      </c>
      <c r="J268" s="11" t="str">
        <f aca="false">IF(IFERROR(K268,7)=7,"",RIGHT(K268,LEN(K268)-2)&amp;".")</f>
        <v>/A.</v>
      </c>
      <c r="K268" s="10" t="str">
        <f aca="false">IFERROR(__xludf.dummyfunction("CONCATENATE(ArrayFormula(""; ""&amp;QUERY(Hallazgos!A:F,""SELECT B WHERE E CONTAINS '""&amp;B268&amp;""' LABEL B ''"")))"),"#N/A")</f>
        <v>#N/A</v>
      </c>
    </row>
    <row r="269" customFormat="false" ht="15.75" hidden="false" customHeight="true" outlineLevel="0" collapsed="false">
      <c r="A269" s="7" t="s">
        <v>597</v>
      </c>
      <c r="B269" s="8" t="s">
        <v>598</v>
      </c>
      <c r="C269" s="9" t="s">
        <v>13</v>
      </c>
      <c r="D269" s="9" t="s">
        <v>599</v>
      </c>
      <c r="E269" s="9" t="s">
        <v>88</v>
      </c>
      <c r="F269" s="9" t="s">
        <v>55</v>
      </c>
      <c r="G269" s="10" t="s">
        <v>17</v>
      </c>
      <c r="H269" s="10" t="s">
        <v>17</v>
      </c>
      <c r="I269" s="10" t="s">
        <v>17</v>
      </c>
      <c r="J269" s="11" t="str">
        <f aca="false">IF(IFERROR(K269,7)=7,"",RIGHT(K269,LEN(K269)-2)&amp;".")</f>
        <v>/A.</v>
      </c>
      <c r="K269" s="10" t="str">
        <f aca="false">IFERROR(__xludf.dummyfunction("CONCATENATE(ArrayFormula(""; ""&amp;QUERY(Hallazgos!A:F,""SELECT B WHERE E CONTAINS '""&amp;B269&amp;""' LABEL B ''"")))"),"#N/A")</f>
        <v>#N/A</v>
      </c>
    </row>
    <row r="270" customFormat="false" ht="15.75" hidden="false" customHeight="true" outlineLevel="0" collapsed="false">
      <c r="A270" s="7" t="s">
        <v>600</v>
      </c>
      <c r="B270" s="8" t="s">
        <v>601</v>
      </c>
      <c r="C270" s="9" t="s">
        <v>13</v>
      </c>
      <c r="D270" s="9" t="s">
        <v>599</v>
      </c>
      <c r="E270" s="9" t="s">
        <v>116</v>
      </c>
      <c r="F270" s="9" t="s">
        <v>55</v>
      </c>
      <c r="G270" s="10" t="s">
        <v>17</v>
      </c>
      <c r="H270" s="10" t="s">
        <v>17</v>
      </c>
      <c r="I270" s="10" t="s">
        <v>17</v>
      </c>
      <c r="J270" s="11" t="str">
        <f aca="false">IF(IFERROR(K270,7)=7,"",RIGHT(K270,LEN(K270)-2)&amp;".")</f>
        <v>/A.</v>
      </c>
      <c r="K270" s="10" t="str">
        <f aca="false">IFERROR(__xludf.dummyfunction("CONCATENATE(ArrayFormula(""; ""&amp;QUERY(Hallazgos!A:F,""SELECT B WHERE E CONTAINS '""&amp;B270&amp;""' LABEL B ''"")))"),"#N/A")</f>
        <v>#N/A</v>
      </c>
    </row>
    <row r="271" customFormat="false" ht="15.75" hidden="false" customHeight="true" outlineLevel="0" collapsed="false">
      <c r="A271" s="7" t="s">
        <v>602</v>
      </c>
      <c r="B271" s="8" t="s">
        <v>603</v>
      </c>
      <c r="C271" s="9" t="s">
        <v>13</v>
      </c>
      <c r="D271" s="9" t="s">
        <v>599</v>
      </c>
      <c r="E271" s="9" t="s">
        <v>54</v>
      </c>
      <c r="F271" s="9" t="s">
        <v>55</v>
      </c>
      <c r="G271" s="10" t="s">
        <v>17</v>
      </c>
      <c r="H271" s="10" t="s">
        <v>17</v>
      </c>
      <c r="I271" s="10" t="s">
        <v>17</v>
      </c>
      <c r="J271" s="11" t="str">
        <f aca="false">IF(IFERROR(K271,7)=7,"",RIGHT(K271,LEN(K271)-2)&amp;".")</f>
        <v>/A.</v>
      </c>
      <c r="K271" s="10" t="str">
        <f aca="false">IFERROR(__xludf.dummyfunction("CONCATENATE(ArrayFormula(""; ""&amp;QUERY(Hallazgos!A:F,""SELECT B WHERE E CONTAINS '""&amp;B271&amp;""' LABEL B ''"")))"),"#N/A")</f>
        <v>#N/A</v>
      </c>
    </row>
    <row r="272" customFormat="false" ht="15.75" hidden="false" customHeight="true" outlineLevel="0" collapsed="false">
      <c r="A272" s="7" t="s">
        <v>604</v>
      </c>
      <c r="B272" s="8" t="s">
        <v>605</v>
      </c>
      <c r="C272" s="9" t="s">
        <v>41</v>
      </c>
      <c r="D272" s="9" t="s">
        <v>599</v>
      </c>
      <c r="E272" s="9" t="s">
        <v>184</v>
      </c>
      <c r="F272" s="9" t="s">
        <v>55</v>
      </c>
      <c r="G272" s="10" t="s">
        <v>17</v>
      </c>
      <c r="H272" s="10" t="s">
        <v>17</v>
      </c>
      <c r="I272" s="10" t="s">
        <v>17</v>
      </c>
      <c r="J272" s="11" t="str">
        <f aca="false">IF(IFERROR(K272,7)=7,"",RIGHT(K272,LEN(K272)-2)&amp;".")</f>
        <v>/A.</v>
      </c>
      <c r="K272" s="10" t="str">
        <f aca="false">IFERROR(__xludf.dummyfunction("CONCATENATE(ArrayFormula(""; ""&amp;QUERY(Hallazgos!A:F,""SELECT B WHERE E CONTAINS '""&amp;B272&amp;""' LABEL B ''"")))"),"#N/A")</f>
        <v>#N/A</v>
      </c>
    </row>
    <row r="273" customFormat="false" ht="15.75" hidden="false" customHeight="true" outlineLevel="0" collapsed="false">
      <c r="A273" s="7" t="s">
        <v>606</v>
      </c>
      <c r="B273" s="8" t="s">
        <v>607</v>
      </c>
      <c r="C273" s="9" t="s">
        <v>13</v>
      </c>
      <c r="D273" s="9" t="s">
        <v>599</v>
      </c>
      <c r="E273" s="9" t="s">
        <v>184</v>
      </c>
      <c r="F273" s="9" t="s">
        <v>55</v>
      </c>
      <c r="G273" s="10" t="s">
        <v>17</v>
      </c>
      <c r="H273" s="10" t="s">
        <v>17</v>
      </c>
      <c r="I273" s="10" t="s">
        <v>17</v>
      </c>
      <c r="J273" s="11" t="str">
        <f aca="false">IF(IFERROR(K273,7)=7,"",RIGHT(K273,LEN(K273)-2)&amp;".")</f>
        <v>/A.</v>
      </c>
      <c r="K273" s="10" t="str">
        <f aca="false">IFERROR(__xludf.dummyfunction("CONCATENATE(ArrayFormula(""; ""&amp;QUERY(Hallazgos!A:F,""SELECT B WHERE E CONTAINS '""&amp;B273&amp;""' LABEL B ''"")))"),"#N/A")</f>
        <v>#N/A</v>
      </c>
    </row>
    <row r="274" customFormat="false" ht="15.75" hidden="false" customHeight="true" outlineLevel="0" collapsed="false">
      <c r="A274" s="7" t="s">
        <v>608</v>
      </c>
      <c r="B274" s="8" t="s">
        <v>609</v>
      </c>
      <c r="C274" s="9" t="s">
        <v>13</v>
      </c>
      <c r="D274" s="9" t="s">
        <v>599</v>
      </c>
      <c r="E274" s="9" t="s">
        <v>15</v>
      </c>
      <c r="F274" s="9" t="s">
        <v>55</v>
      </c>
      <c r="G274" s="10" t="s">
        <v>17</v>
      </c>
      <c r="H274" s="10" t="s">
        <v>17</v>
      </c>
      <c r="I274" s="10" t="s">
        <v>17</v>
      </c>
      <c r="J274" s="11" t="str">
        <f aca="false">IF(IFERROR(K274,7)=7,"",RIGHT(K274,LEN(K274)-2)&amp;".")</f>
        <v>/A.</v>
      </c>
      <c r="K274" s="10" t="str">
        <f aca="false">IFERROR(__xludf.dummyfunction("CONCATENATE(ArrayFormula(""; ""&amp;QUERY(Hallazgos!A:F,""SELECT B WHERE E CONTAINS '""&amp;B274&amp;""' LABEL B ''"")))"),"#N/A")</f>
        <v>#N/A</v>
      </c>
    </row>
    <row r="275" customFormat="false" ht="15.75" hidden="false" customHeight="true" outlineLevel="0" collapsed="false">
      <c r="A275" s="7" t="s">
        <v>610</v>
      </c>
      <c r="B275" s="8" t="s">
        <v>611</v>
      </c>
      <c r="C275" s="9" t="s">
        <v>38</v>
      </c>
      <c r="D275" s="9" t="s">
        <v>599</v>
      </c>
      <c r="E275" s="9" t="s">
        <v>15</v>
      </c>
      <c r="F275" s="9" t="s">
        <v>55</v>
      </c>
      <c r="G275" s="10" t="s">
        <v>17</v>
      </c>
      <c r="H275" s="10" t="s">
        <v>17</v>
      </c>
      <c r="I275" s="10" t="s">
        <v>17</v>
      </c>
      <c r="J275" s="11" t="str">
        <f aca="false">IF(IFERROR(K275,7)=7,"",RIGHT(K275,LEN(K275)-2)&amp;".")</f>
        <v>/A.</v>
      </c>
      <c r="K275" s="10" t="str">
        <f aca="false">IFERROR(__xludf.dummyfunction("CONCATENATE(ArrayFormula(""; ""&amp;QUERY(Hallazgos!A:F,""SELECT B WHERE E CONTAINS '""&amp;B275&amp;""' LABEL B ''"")))"),"#N/A")</f>
        <v>#N/A</v>
      </c>
    </row>
    <row r="276" customFormat="false" ht="15.75" hidden="false" customHeight="true" outlineLevel="0" collapsed="false">
      <c r="A276" s="7" t="s">
        <v>612</v>
      </c>
      <c r="B276" s="8" t="s">
        <v>613</v>
      </c>
      <c r="C276" s="9" t="s">
        <v>13</v>
      </c>
      <c r="D276" s="9" t="s">
        <v>599</v>
      </c>
      <c r="E276" s="9" t="s">
        <v>184</v>
      </c>
      <c r="F276" s="9" t="s">
        <v>55</v>
      </c>
      <c r="G276" s="10" t="s">
        <v>17</v>
      </c>
      <c r="H276" s="10" t="s">
        <v>17</v>
      </c>
      <c r="I276" s="10" t="s">
        <v>17</v>
      </c>
      <c r="J276" s="11" t="str">
        <f aca="false">IF(IFERROR(K276,7)=7,"",RIGHT(K276,LEN(K276)-2)&amp;".")</f>
        <v>/A.</v>
      </c>
      <c r="K276" s="10" t="str">
        <f aca="false">IFERROR(__xludf.dummyfunction("CONCATENATE(ArrayFormula(""; ""&amp;QUERY(Hallazgos!A:F,""SELECT B WHERE E CONTAINS '""&amp;B276&amp;""' LABEL B ''"")))"),"#N/A")</f>
        <v>#N/A</v>
      </c>
    </row>
    <row r="277" customFormat="false" ht="15.75" hidden="false" customHeight="true" outlineLevel="0" collapsed="false">
      <c r="A277" s="7" t="s">
        <v>614</v>
      </c>
      <c r="B277" s="8" t="s">
        <v>615</v>
      </c>
      <c r="C277" s="9" t="s">
        <v>13</v>
      </c>
      <c r="D277" s="9" t="s">
        <v>599</v>
      </c>
      <c r="E277" s="9" t="s">
        <v>184</v>
      </c>
      <c r="F277" s="9" t="s">
        <v>55</v>
      </c>
      <c r="G277" s="10" t="s">
        <v>17</v>
      </c>
      <c r="H277" s="10" t="s">
        <v>17</v>
      </c>
      <c r="I277" s="10" t="s">
        <v>17</v>
      </c>
      <c r="J277" s="11" t="str">
        <f aca="false">IF(IFERROR(K277,7)=7,"",RIGHT(K277,LEN(K277)-2)&amp;".")</f>
        <v>/A.</v>
      </c>
      <c r="K277" s="10" t="str">
        <f aca="false">IFERROR(__xludf.dummyfunction("CONCATENATE(ArrayFormula(""; ""&amp;QUERY(Hallazgos!A:F,""SELECT B WHERE E CONTAINS '""&amp;B277&amp;""' LABEL B ''"")))"),"#N/A")</f>
        <v>#N/A</v>
      </c>
    </row>
    <row r="278" customFormat="false" ht="15.75" hidden="false" customHeight="true" outlineLevel="0" collapsed="false">
      <c r="A278" s="7" t="s">
        <v>616</v>
      </c>
      <c r="B278" s="8" t="s">
        <v>617</v>
      </c>
      <c r="C278" s="9" t="s">
        <v>13</v>
      </c>
      <c r="D278" s="9" t="s">
        <v>599</v>
      </c>
      <c r="E278" s="9" t="s">
        <v>81</v>
      </c>
      <c r="F278" s="9" t="s">
        <v>55</v>
      </c>
      <c r="G278" s="10" t="s">
        <v>17</v>
      </c>
      <c r="H278" s="10" t="s">
        <v>17</v>
      </c>
      <c r="I278" s="10" t="s">
        <v>17</v>
      </c>
      <c r="J278" s="11" t="str">
        <f aca="false">IF(IFERROR(K278,7)=7,"",RIGHT(K278,LEN(K278)-2)&amp;".")</f>
        <v>/A.</v>
      </c>
      <c r="K278" s="10" t="str">
        <f aca="false">IFERROR(__xludf.dummyfunction("CONCATENATE(ArrayFormula(""; ""&amp;QUERY(Hallazgos!A:F,""SELECT B WHERE E CONTAINS '""&amp;B278&amp;""' LABEL B ''"")))"),"#N/A")</f>
        <v>#N/A</v>
      </c>
    </row>
    <row r="279" customFormat="false" ht="15.75" hidden="false" customHeight="true" outlineLevel="0" collapsed="false">
      <c r="A279" s="7" t="s">
        <v>618</v>
      </c>
      <c r="B279" s="8" t="s">
        <v>619</v>
      </c>
      <c r="C279" s="9" t="s">
        <v>13</v>
      </c>
      <c r="D279" s="9" t="s">
        <v>599</v>
      </c>
      <c r="E279" s="9" t="s">
        <v>98</v>
      </c>
      <c r="F279" s="9" t="s">
        <v>55</v>
      </c>
      <c r="G279" s="10" t="s">
        <v>17</v>
      </c>
      <c r="H279" s="10" t="s">
        <v>17</v>
      </c>
      <c r="I279" s="10" t="s">
        <v>17</v>
      </c>
      <c r="J279" s="11" t="str">
        <f aca="false">IF(IFERROR(K279,7)=7,"",RIGHT(K279,LEN(K279)-2)&amp;".")</f>
        <v>/A.</v>
      </c>
      <c r="K279" s="10" t="str">
        <f aca="false">IFERROR(__xludf.dummyfunction("CONCATENATE(ArrayFormula(""; ""&amp;QUERY(Hallazgos!A:F,""SELECT B WHERE E CONTAINS '""&amp;B279&amp;""' LABEL B ''"")))"),"#N/A")</f>
        <v>#N/A</v>
      </c>
    </row>
    <row r="280" customFormat="false" ht="15.75" hidden="false" customHeight="true" outlineLevel="0" collapsed="false">
      <c r="A280" s="7" t="s">
        <v>620</v>
      </c>
      <c r="B280" s="8" t="s">
        <v>621</v>
      </c>
      <c r="C280" s="9" t="s">
        <v>13</v>
      </c>
      <c r="D280" s="9" t="s">
        <v>599</v>
      </c>
      <c r="E280" s="9" t="s">
        <v>98</v>
      </c>
      <c r="F280" s="9" t="s">
        <v>55</v>
      </c>
      <c r="G280" s="10" t="s">
        <v>17</v>
      </c>
      <c r="H280" s="10" t="s">
        <v>17</v>
      </c>
      <c r="I280" s="10" t="s">
        <v>17</v>
      </c>
      <c r="J280" s="11" t="str">
        <f aca="false">IF(IFERROR(K280,7)=7,"",RIGHT(K280,LEN(K280)-2)&amp;".")</f>
        <v>/A.</v>
      </c>
      <c r="K280" s="10" t="str">
        <f aca="false">IFERROR(__xludf.dummyfunction("CONCATENATE(ArrayFormula(""; ""&amp;QUERY(Hallazgos!A:F,""SELECT B WHERE E CONTAINS '""&amp;B280&amp;""' LABEL B ''"")))"),"#N/A")</f>
        <v>#N/A</v>
      </c>
    </row>
    <row r="281" customFormat="false" ht="15.75" hidden="false" customHeight="true" outlineLevel="0" collapsed="false">
      <c r="A281" s="7" t="s">
        <v>622</v>
      </c>
      <c r="B281" s="8" t="s">
        <v>623</v>
      </c>
      <c r="C281" s="9" t="s">
        <v>13</v>
      </c>
      <c r="D281" s="9" t="s">
        <v>599</v>
      </c>
      <c r="E281" s="9" t="s">
        <v>76</v>
      </c>
      <c r="F281" s="9" t="s">
        <v>104</v>
      </c>
      <c r="G281" s="10" t="s">
        <v>17</v>
      </c>
      <c r="H281" s="10" t="s">
        <v>17</v>
      </c>
      <c r="I281" s="10" t="s">
        <v>17</v>
      </c>
      <c r="J281" s="11" t="str">
        <f aca="false">IF(IFERROR(K281,7)=7,"",RIGHT(K281,LEN(K281)-2)&amp;".")</f>
        <v>/A.</v>
      </c>
      <c r="K281" s="10" t="str">
        <f aca="false">IFERROR(__xludf.dummyfunction("CONCATENATE(ArrayFormula(""; ""&amp;QUERY(Hallazgos!A:F,""SELECT B WHERE E CONTAINS '""&amp;B281&amp;""' LABEL B ''"")))"),"#N/A")</f>
        <v>#N/A</v>
      </c>
    </row>
    <row r="282" customFormat="false" ht="15.75" hidden="false" customHeight="true" outlineLevel="0" collapsed="false">
      <c r="A282" s="7" t="s">
        <v>624</v>
      </c>
      <c r="B282" s="8" t="s">
        <v>625</v>
      </c>
      <c r="C282" s="9" t="s">
        <v>13</v>
      </c>
      <c r="D282" s="9" t="s">
        <v>599</v>
      </c>
      <c r="E282" s="9" t="s">
        <v>76</v>
      </c>
      <c r="F282" s="9" t="s">
        <v>104</v>
      </c>
      <c r="G282" s="10" t="s">
        <v>17</v>
      </c>
      <c r="H282" s="10" t="s">
        <v>17</v>
      </c>
      <c r="I282" s="10" t="s">
        <v>17</v>
      </c>
      <c r="J282" s="11" t="str">
        <f aca="false">IF(IFERROR(K282,7)=7,"",RIGHT(K282,LEN(K282)-2)&amp;".")</f>
        <v>/A.</v>
      </c>
      <c r="K282" s="10" t="str">
        <f aca="false">IFERROR(__xludf.dummyfunction("CONCATENATE(ArrayFormula(""; ""&amp;QUERY(Hallazgos!A:F,""SELECT B WHERE E CONTAINS '""&amp;B282&amp;""' LABEL B ''"")))"),"#N/A")</f>
        <v>#N/A</v>
      </c>
    </row>
    <row r="283" customFormat="false" ht="15.75" hidden="false" customHeight="true" outlineLevel="0" collapsed="false">
      <c r="A283" s="7" t="s">
        <v>626</v>
      </c>
      <c r="B283" s="8" t="s">
        <v>627</v>
      </c>
      <c r="C283" s="9" t="s">
        <v>41</v>
      </c>
      <c r="D283" s="9" t="s">
        <v>599</v>
      </c>
      <c r="E283" s="9" t="s">
        <v>184</v>
      </c>
      <c r="F283" s="9" t="s">
        <v>55</v>
      </c>
      <c r="G283" s="10" t="s">
        <v>17</v>
      </c>
      <c r="H283" s="10" t="s">
        <v>17</v>
      </c>
      <c r="I283" s="10" t="s">
        <v>17</v>
      </c>
      <c r="J283" s="11" t="str">
        <f aca="false">IF(IFERROR(K283,7)=7,"",RIGHT(K283,LEN(K283)-2)&amp;".")</f>
        <v>/A.</v>
      </c>
      <c r="K283" s="10" t="str">
        <f aca="false">IFERROR(__xludf.dummyfunction("CONCATENATE(ArrayFormula(""; ""&amp;QUERY(Hallazgos!A:F,""SELECT B WHERE E CONTAINS '""&amp;B283&amp;""' LABEL B ''"")))"),"#N/A")</f>
        <v>#N/A</v>
      </c>
    </row>
    <row r="284" customFormat="false" ht="15.75" hidden="false" customHeight="true" outlineLevel="0" collapsed="false">
      <c r="A284" s="7" t="s">
        <v>628</v>
      </c>
      <c r="B284" s="8" t="s">
        <v>629</v>
      </c>
      <c r="C284" s="9" t="s">
        <v>13</v>
      </c>
      <c r="D284" s="9" t="s">
        <v>599</v>
      </c>
      <c r="E284" s="9" t="s">
        <v>54</v>
      </c>
      <c r="F284" s="9" t="s">
        <v>55</v>
      </c>
      <c r="G284" s="10" t="s">
        <v>17</v>
      </c>
      <c r="H284" s="10" t="s">
        <v>17</v>
      </c>
      <c r="I284" s="10" t="s">
        <v>17</v>
      </c>
      <c r="J284" s="11" t="str">
        <f aca="false">IF(IFERROR(K284,7)=7,"",RIGHT(K284,LEN(K284)-2)&amp;".")</f>
        <v>/A.</v>
      </c>
      <c r="K284" s="10" t="str">
        <f aca="false">IFERROR(__xludf.dummyfunction("CONCATENATE(ArrayFormula(""; ""&amp;QUERY(Hallazgos!A:F,""SELECT B WHERE E CONTAINS '""&amp;B284&amp;""' LABEL B ''"")))"),"#N/A")</f>
        <v>#N/A</v>
      </c>
    </row>
    <row r="285" customFormat="false" ht="15.75" hidden="false" customHeight="true" outlineLevel="0" collapsed="false">
      <c r="A285" s="7" t="s">
        <v>630</v>
      </c>
      <c r="B285" s="8" t="s">
        <v>631</v>
      </c>
      <c r="C285" s="9" t="s">
        <v>13</v>
      </c>
      <c r="D285" s="9" t="s">
        <v>599</v>
      </c>
      <c r="E285" s="9" t="s">
        <v>111</v>
      </c>
      <c r="F285" s="9" t="s">
        <v>55</v>
      </c>
      <c r="G285" s="10" t="s">
        <v>17</v>
      </c>
      <c r="H285" s="10" t="s">
        <v>17</v>
      </c>
      <c r="I285" s="10" t="s">
        <v>17</v>
      </c>
      <c r="J285" s="11" t="str">
        <f aca="false">IF(IFERROR(K285,7)=7,"",RIGHT(K285,LEN(K285)-2)&amp;".")</f>
        <v>/A.</v>
      </c>
      <c r="K285" s="10" t="str">
        <f aca="false">IFERROR(__xludf.dummyfunction("CONCATENATE(ArrayFormula(""; ""&amp;QUERY(Hallazgos!A:F,""SELECT B WHERE E CONTAINS '""&amp;B285&amp;""' LABEL B ''"")))"),"#N/A")</f>
        <v>#N/A</v>
      </c>
    </row>
    <row r="286" customFormat="false" ht="15.75" hidden="false" customHeight="true" outlineLevel="0" collapsed="false">
      <c r="A286" s="7" t="s">
        <v>632</v>
      </c>
      <c r="B286" s="8" t="s">
        <v>633</v>
      </c>
      <c r="C286" s="9" t="s">
        <v>13</v>
      </c>
      <c r="D286" s="9" t="s">
        <v>599</v>
      </c>
      <c r="E286" s="9" t="s">
        <v>181</v>
      </c>
      <c r="F286" s="9" t="s">
        <v>55</v>
      </c>
      <c r="G286" s="10" t="s">
        <v>17</v>
      </c>
      <c r="H286" s="10" t="s">
        <v>17</v>
      </c>
      <c r="I286" s="10" t="s">
        <v>17</v>
      </c>
      <c r="J286" s="11" t="str">
        <f aca="false">IF(IFERROR(K286,7)=7,"",RIGHT(K286,LEN(K286)-2)&amp;".")</f>
        <v>/A.</v>
      </c>
      <c r="K286" s="10" t="str">
        <f aca="false">IFERROR(__xludf.dummyfunction("CONCATENATE(ArrayFormula(""; ""&amp;QUERY(Hallazgos!A:F,""SELECT B WHERE E CONTAINS '""&amp;B286&amp;""' LABEL B ''"")))"),"#N/A")</f>
        <v>#N/A</v>
      </c>
    </row>
    <row r="287" customFormat="false" ht="15.75" hidden="false" customHeight="true" outlineLevel="0" collapsed="false">
      <c r="A287" s="7" t="s">
        <v>634</v>
      </c>
      <c r="B287" s="8" t="s">
        <v>635</v>
      </c>
      <c r="C287" s="9" t="s">
        <v>38</v>
      </c>
      <c r="D287" s="9" t="s">
        <v>599</v>
      </c>
      <c r="E287" s="9" t="s">
        <v>15</v>
      </c>
      <c r="F287" s="9" t="s">
        <v>44</v>
      </c>
      <c r="G287" s="10" t="s">
        <v>17</v>
      </c>
      <c r="H287" s="10" t="s">
        <v>17</v>
      </c>
      <c r="I287" s="10" t="s">
        <v>17</v>
      </c>
      <c r="J287" s="11" t="str">
        <f aca="false">IF(IFERROR(K287,7)=7,"",RIGHT(K287,LEN(K287)-2)&amp;".")</f>
        <v>/A.</v>
      </c>
      <c r="K287" s="10" t="str">
        <f aca="false">IFERROR(__xludf.dummyfunction("CONCATENATE(ArrayFormula(""; ""&amp;QUERY(Hallazgos!A:F,""SELECT B WHERE E CONTAINS '""&amp;B287&amp;""' LABEL B ''"")))"),"#N/A")</f>
        <v>#N/A</v>
      </c>
    </row>
    <row r="288" customFormat="false" ht="15.75" hidden="false" customHeight="true" outlineLevel="0" collapsed="false">
      <c r="A288" s="7" t="s">
        <v>636</v>
      </c>
      <c r="B288" s="8" t="s">
        <v>637</v>
      </c>
      <c r="C288" s="9" t="s">
        <v>13</v>
      </c>
      <c r="D288" s="9" t="s">
        <v>599</v>
      </c>
      <c r="E288" s="9" t="s">
        <v>192</v>
      </c>
      <c r="F288" s="9" t="s">
        <v>55</v>
      </c>
      <c r="G288" s="10" t="s">
        <v>17</v>
      </c>
      <c r="H288" s="10" t="s">
        <v>17</v>
      </c>
      <c r="I288" s="10" t="s">
        <v>17</v>
      </c>
      <c r="J288" s="11" t="str">
        <f aca="false">IF(IFERROR(K288,7)=7,"",RIGHT(K288,LEN(K288)-2)&amp;".")</f>
        <v>/A.</v>
      </c>
      <c r="K288" s="10" t="str">
        <f aca="false">IFERROR(__xludf.dummyfunction("CONCATENATE(ArrayFormula(""; ""&amp;QUERY(Hallazgos!A:F,""SELECT B WHERE E CONTAINS '""&amp;B288&amp;""' LABEL B ''"")))"),"#N/A")</f>
        <v>#N/A</v>
      </c>
    </row>
    <row r="289" customFormat="false" ht="15.75" hidden="false" customHeight="true" outlineLevel="0" collapsed="false">
      <c r="A289" s="7" t="s">
        <v>638</v>
      </c>
      <c r="B289" s="8" t="s">
        <v>639</v>
      </c>
      <c r="C289" s="9" t="s">
        <v>13</v>
      </c>
      <c r="D289" s="9" t="s">
        <v>599</v>
      </c>
      <c r="E289" s="9" t="s">
        <v>81</v>
      </c>
      <c r="F289" s="9" t="s">
        <v>55</v>
      </c>
      <c r="G289" s="10" t="s">
        <v>17</v>
      </c>
      <c r="H289" s="10" t="s">
        <v>17</v>
      </c>
      <c r="I289" s="10" t="s">
        <v>17</v>
      </c>
      <c r="J289" s="11" t="str">
        <f aca="false">IF(IFERROR(K289,7)=7,"",RIGHT(K289,LEN(K289)-2)&amp;".")</f>
        <v>/A.</v>
      </c>
      <c r="K289" s="10" t="str">
        <f aca="false">IFERROR(__xludf.dummyfunction("CONCATENATE(ArrayFormula(""; ""&amp;QUERY(Hallazgos!A:F,""SELECT B WHERE E CONTAINS '""&amp;B289&amp;""' LABEL B ''"")))"),"#N/A")</f>
        <v>#N/A</v>
      </c>
    </row>
    <row r="290" customFormat="false" ht="15.75" hidden="false" customHeight="true" outlineLevel="0" collapsed="false">
      <c r="A290" s="7" t="s">
        <v>640</v>
      </c>
      <c r="B290" s="8" t="s">
        <v>641</v>
      </c>
      <c r="C290" s="9" t="s">
        <v>38</v>
      </c>
      <c r="D290" s="9" t="s">
        <v>599</v>
      </c>
      <c r="E290" s="9" t="s">
        <v>15</v>
      </c>
      <c r="F290" s="9" t="s">
        <v>104</v>
      </c>
      <c r="G290" s="10" t="s">
        <v>17</v>
      </c>
      <c r="H290" s="10" t="s">
        <v>17</v>
      </c>
      <c r="I290" s="10" t="s">
        <v>17</v>
      </c>
      <c r="J290" s="11" t="str">
        <f aca="false">IF(IFERROR(K290,7)=7,"",RIGHT(K290,LEN(K290)-2)&amp;".")</f>
        <v>/A.</v>
      </c>
      <c r="K290" s="10" t="str">
        <f aca="false">IFERROR(__xludf.dummyfunction("CONCATENATE(ArrayFormula(""; ""&amp;QUERY(Hallazgos!A:F,""SELECT B WHERE E CONTAINS '""&amp;B290&amp;""' LABEL B ''"")))"),"#N/A")</f>
        <v>#N/A</v>
      </c>
    </row>
    <row r="291" customFormat="false" ht="15.75" hidden="false" customHeight="true" outlineLevel="0" collapsed="false">
      <c r="A291" s="7" t="s">
        <v>642</v>
      </c>
      <c r="B291" s="8" t="s">
        <v>643</v>
      </c>
      <c r="C291" s="9" t="s">
        <v>38</v>
      </c>
      <c r="D291" s="9" t="s">
        <v>599</v>
      </c>
      <c r="E291" s="9" t="s">
        <v>15</v>
      </c>
      <c r="F291" s="9" t="s">
        <v>104</v>
      </c>
      <c r="G291" s="10" t="s">
        <v>17</v>
      </c>
      <c r="H291" s="10" t="s">
        <v>17</v>
      </c>
      <c r="I291" s="10" t="s">
        <v>17</v>
      </c>
      <c r="J291" s="11" t="str">
        <f aca="false">IF(IFERROR(K291,7)=7,"",RIGHT(K291,LEN(K291)-2)&amp;".")</f>
        <v>/A.</v>
      </c>
      <c r="K291" s="10" t="str">
        <f aca="false">IFERROR(__xludf.dummyfunction("CONCATENATE(ArrayFormula(""; ""&amp;QUERY(Hallazgos!A:F,""SELECT B WHERE E CONTAINS '""&amp;B291&amp;""' LABEL B ''"")))"),"#N/A")</f>
        <v>#N/A</v>
      </c>
    </row>
    <row r="292" customFormat="false" ht="15.75" hidden="false" customHeight="true" outlineLevel="0" collapsed="false">
      <c r="A292" s="7" t="s">
        <v>644</v>
      </c>
      <c r="B292" s="8" t="s">
        <v>645</v>
      </c>
      <c r="C292" s="9" t="s">
        <v>13</v>
      </c>
      <c r="D292" s="9" t="s">
        <v>599</v>
      </c>
      <c r="E292" s="9" t="s">
        <v>646</v>
      </c>
      <c r="F292" s="9" t="s">
        <v>55</v>
      </c>
      <c r="G292" s="10" t="s">
        <v>17</v>
      </c>
      <c r="H292" s="10" t="s">
        <v>17</v>
      </c>
      <c r="I292" s="10" t="s">
        <v>17</v>
      </c>
      <c r="J292" s="11" t="str">
        <f aca="false">IF(IFERROR(K292,7)=7,"",RIGHT(K292,LEN(K292)-2)&amp;".")</f>
        <v>/A.</v>
      </c>
      <c r="K292" s="10" t="str">
        <f aca="false">IFERROR(__xludf.dummyfunction("CONCATENATE(ArrayFormula(""; ""&amp;QUERY(Hallazgos!A:F,""SELECT B WHERE E CONTAINS '""&amp;B292&amp;""' LABEL B ''"")))"),"#N/A")</f>
        <v>#N/A</v>
      </c>
    </row>
    <row r="293" customFormat="false" ht="15.75" hidden="false" customHeight="true" outlineLevel="0" collapsed="false">
      <c r="A293" s="7" t="s">
        <v>647</v>
      </c>
      <c r="B293" s="8" t="s">
        <v>648</v>
      </c>
      <c r="C293" s="9" t="s">
        <v>13</v>
      </c>
      <c r="D293" s="9" t="s">
        <v>599</v>
      </c>
      <c r="E293" s="9" t="s">
        <v>116</v>
      </c>
      <c r="F293" s="9" t="s">
        <v>55</v>
      </c>
      <c r="G293" s="10" t="s">
        <v>17</v>
      </c>
      <c r="H293" s="10" t="s">
        <v>17</v>
      </c>
      <c r="I293" s="10" t="s">
        <v>17</v>
      </c>
      <c r="J293" s="11" t="str">
        <f aca="false">IF(IFERROR(K293,7)=7,"",RIGHT(K293,LEN(K293)-2)&amp;".")</f>
        <v>/A.</v>
      </c>
      <c r="K293" s="10" t="str">
        <f aca="false">IFERROR(__xludf.dummyfunction("CONCATENATE(ArrayFormula(""; ""&amp;QUERY(Hallazgos!A:F,""SELECT B WHERE E CONTAINS '""&amp;B293&amp;""' LABEL B ''"")))"),"#N/A")</f>
        <v>#N/A</v>
      </c>
    </row>
    <row r="294" customFormat="false" ht="15.75" hidden="false" customHeight="true" outlineLevel="0" collapsed="false">
      <c r="A294" s="7" t="s">
        <v>649</v>
      </c>
      <c r="B294" s="8" t="s">
        <v>650</v>
      </c>
      <c r="C294" s="9" t="s">
        <v>13</v>
      </c>
      <c r="D294" s="9" t="s">
        <v>599</v>
      </c>
      <c r="E294" s="9" t="s">
        <v>184</v>
      </c>
      <c r="F294" s="9" t="s">
        <v>104</v>
      </c>
      <c r="G294" s="10" t="s">
        <v>17</v>
      </c>
      <c r="H294" s="10" t="s">
        <v>17</v>
      </c>
      <c r="I294" s="10" t="s">
        <v>17</v>
      </c>
      <c r="J294" s="11" t="str">
        <f aca="false">IF(IFERROR(K294,7)=7,"",RIGHT(K294,LEN(K294)-2)&amp;".")</f>
        <v>/A.</v>
      </c>
      <c r="K294" s="10" t="str">
        <f aca="false">IFERROR(__xludf.dummyfunction("CONCATENATE(ArrayFormula(""; ""&amp;QUERY(Hallazgos!A:F,""SELECT B WHERE E CONTAINS '""&amp;B294&amp;""' LABEL B ''"")))"),"#N/A")</f>
        <v>#N/A</v>
      </c>
    </row>
    <row r="295" customFormat="false" ht="15.75" hidden="false" customHeight="true" outlineLevel="0" collapsed="false">
      <c r="A295" s="7" t="s">
        <v>651</v>
      </c>
      <c r="B295" s="8" t="s">
        <v>652</v>
      </c>
      <c r="C295" s="9" t="s">
        <v>38</v>
      </c>
      <c r="D295" s="9" t="s">
        <v>599</v>
      </c>
      <c r="E295" s="9" t="s">
        <v>15</v>
      </c>
      <c r="F295" s="9" t="s">
        <v>55</v>
      </c>
      <c r="G295" s="10" t="s">
        <v>17</v>
      </c>
      <c r="H295" s="10" t="s">
        <v>17</v>
      </c>
      <c r="I295" s="10" t="s">
        <v>17</v>
      </c>
      <c r="J295" s="11" t="str">
        <f aca="false">IF(IFERROR(K295,7)=7,"",RIGHT(K295,LEN(K295)-2)&amp;".")</f>
        <v>/A.</v>
      </c>
      <c r="K295" s="10" t="str">
        <f aca="false">IFERROR(__xludf.dummyfunction("CONCATENATE(ArrayFormula(""; ""&amp;QUERY(Hallazgos!A:F,""SELECT B WHERE E CONTAINS '""&amp;B295&amp;""' LABEL B ''"")))"),"#N/A")</f>
        <v>#N/A</v>
      </c>
    </row>
    <row r="296" customFormat="false" ht="15.75" hidden="false" customHeight="true" outlineLevel="0" collapsed="false">
      <c r="A296" s="7" t="s">
        <v>653</v>
      </c>
      <c r="B296" s="8" t="s">
        <v>654</v>
      </c>
      <c r="C296" s="9" t="s">
        <v>38</v>
      </c>
      <c r="D296" s="9" t="s">
        <v>599</v>
      </c>
      <c r="E296" s="9" t="s">
        <v>15</v>
      </c>
      <c r="F296" s="9" t="s">
        <v>55</v>
      </c>
      <c r="G296" s="10" t="s">
        <v>17</v>
      </c>
      <c r="H296" s="10" t="s">
        <v>17</v>
      </c>
      <c r="I296" s="10" t="s">
        <v>17</v>
      </c>
      <c r="J296" s="11"/>
      <c r="K296" s="3"/>
    </row>
    <row r="297" customFormat="false" ht="15.75" hidden="false" customHeight="true" outlineLevel="0" collapsed="false">
      <c r="A297" s="7" t="s">
        <v>655</v>
      </c>
      <c r="B297" s="8" t="s">
        <v>656</v>
      </c>
      <c r="C297" s="9" t="s">
        <v>239</v>
      </c>
      <c r="D297" s="9" t="s">
        <v>657</v>
      </c>
      <c r="E297" s="9" t="s">
        <v>54</v>
      </c>
      <c r="F297" s="9" t="s">
        <v>55</v>
      </c>
      <c r="G297" s="10" t="s">
        <v>17</v>
      </c>
      <c r="H297" s="10" t="s">
        <v>17</v>
      </c>
      <c r="I297" s="10" t="s">
        <v>17</v>
      </c>
      <c r="J297" s="11"/>
      <c r="K297" s="3"/>
    </row>
    <row r="298" customFormat="false" ht="15.75" hidden="false" customHeight="true" outlineLevel="0" collapsed="false">
      <c r="A298" s="7" t="s">
        <v>658</v>
      </c>
      <c r="B298" s="8" t="s">
        <v>659</v>
      </c>
      <c r="C298" s="9" t="s">
        <v>239</v>
      </c>
      <c r="D298" s="9" t="s">
        <v>657</v>
      </c>
      <c r="E298" s="9" t="s">
        <v>184</v>
      </c>
      <c r="F298" s="9" t="s">
        <v>55</v>
      </c>
      <c r="G298" s="10" t="s">
        <v>17</v>
      </c>
      <c r="H298" s="10" t="s">
        <v>17</v>
      </c>
      <c r="I298" s="10" t="s">
        <v>17</v>
      </c>
      <c r="J298" s="11"/>
      <c r="K298" s="3"/>
    </row>
    <row r="299" customFormat="false" ht="15.75" hidden="false" customHeight="true" outlineLevel="0" collapsed="false">
      <c r="A299" s="7" t="s">
        <v>660</v>
      </c>
      <c r="B299" s="8" t="s">
        <v>661</v>
      </c>
      <c r="C299" s="9" t="s">
        <v>38</v>
      </c>
      <c r="D299" s="9" t="s">
        <v>657</v>
      </c>
      <c r="E299" s="9" t="s">
        <v>406</v>
      </c>
      <c r="F299" s="9" t="s">
        <v>55</v>
      </c>
      <c r="G299" s="10" t="s">
        <v>17</v>
      </c>
      <c r="H299" s="10" t="s">
        <v>17</v>
      </c>
      <c r="I299" s="10" t="s">
        <v>17</v>
      </c>
      <c r="J299" s="11"/>
      <c r="K299" s="3"/>
    </row>
    <row r="300" customFormat="false" ht="15.75" hidden="false" customHeight="true" outlineLevel="0" collapsed="false">
      <c r="A300" s="7" t="s">
        <v>662</v>
      </c>
      <c r="B300" s="8" t="s">
        <v>663</v>
      </c>
      <c r="C300" s="9" t="s">
        <v>239</v>
      </c>
      <c r="D300" s="9" t="s">
        <v>657</v>
      </c>
      <c r="E300" s="9" t="s">
        <v>406</v>
      </c>
      <c r="F300" s="9" t="s">
        <v>55</v>
      </c>
      <c r="G300" s="10" t="s">
        <v>17</v>
      </c>
      <c r="H300" s="10" t="s">
        <v>17</v>
      </c>
      <c r="I300" s="10" t="s">
        <v>17</v>
      </c>
      <c r="J300" s="11"/>
      <c r="K300" s="3"/>
    </row>
    <row r="301" customFormat="false" ht="15.75" hidden="false" customHeight="true" outlineLevel="0" collapsed="false">
      <c r="A301" s="7" t="s">
        <v>664</v>
      </c>
      <c r="B301" s="8" t="s">
        <v>665</v>
      </c>
      <c r="C301" s="9" t="s">
        <v>13</v>
      </c>
      <c r="D301" s="9" t="s">
        <v>399</v>
      </c>
      <c r="E301" s="9" t="s">
        <v>15</v>
      </c>
      <c r="F301" s="9" t="s">
        <v>55</v>
      </c>
      <c r="G301" s="10" t="s">
        <v>17</v>
      </c>
      <c r="H301" s="10" t="s">
        <v>17</v>
      </c>
      <c r="I301" s="10" t="s">
        <v>17</v>
      </c>
      <c r="J301" s="11"/>
      <c r="K301" s="3"/>
    </row>
    <row r="302" customFormat="false" ht="15.75" hidden="false" customHeight="true" outlineLevel="0" collapsed="false">
      <c r="A302" s="7" t="s">
        <v>666</v>
      </c>
      <c r="B302" s="8" t="s">
        <v>667</v>
      </c>
      <c r="C302" s="9" t="s">
        <v>13</v>
      </c>
      <c r="D302" s="9" t="s">
        <v>399</v>
      </c>
      <c r="E302" s="9" t="s">
        <v>54</v>
      </c>
      <c r="F302" s="9" t="s">
        <v>44</v>
      </c>
      <c r="G302" s="10" t="s">
        <v>17</v>
      </c>
      <c r="H302" s="10" t="s">
        <v>17</v>
      </c>
      <c r="I302" s="10" t="s">
        <v>17</v>
      </c>
      <c r="J302" s="11"/>
      <c r="K302" s="3"/>
    </row>
    <row r="303" customFormat="false" ht="15.75" hidden="false" customHeight="true" outlineLevel="0" collapsed="false">
      <c r="A303" s="7" t="s">
        <v>668</v>
      </c>
      <c r="B303" s="8" t="s">
        <v>669</v>
      </c>
      <c r="C303" s="9" t="s">
        <v>41</v>
      </c>
      <c r="D303" s="9" t="s">
        <v>352</v>
      </c>
      <c r="E303" s="9" t="s">
        <v>132</v>
      </c>
      <c r="F303" s="9" t="s">
        <v>73</v>
      </c>
      <c r="G303" s="10" t="s">
        <v>17</v>
      </c>
      <c r="H303" s="10" t="s">
        <v>17</v>
      </c>
      <c r="I303" s="10" t="s">
        <v>17</v>
      </c>
      <c r="J303" s="11"/>
      <c r="K303" s="3"/>
    </row>
    <row r="304" customFormat="false" ht="15.75" hidden="false" customHeight="true" outlineLevel="0" collapsed="false">
      <c r="A304" s="7" t="s">
        <v>670</v>
      </c>
      <c r="B304" s="8" t="s">
        <v>671</v>
      </c>
      <c r="C304" s="9" t="s">
        <v>13</v>
      </c>
      <c r="D304" s="9" t="s">
        <v>461</v>
      </c>
      <c r="E304" s="9" t="s">
        <v>76</v>
      </c>
      <c r="F304" s="9" t="s">
        <v>104</v>
      </c>
      <c r="G304" s="10" t="s">
        <v>17</v>
      </c>
      <c r="H304" s="10" t="s">
        <v>17</v>
      </c>
      <c r="I304" s="10" t="s">
        <v>17</v>
      </c>
      <c r="J304" s="11"/>
      <c r="K304" s="3"/>
    </row>
    <row r="305" customFormat="false" ht="15.75" hidden="false" customHeight="true" outlineLevel="0" collapsed="false">
      <c r="A305" s="7" t="s">
        <v>672</v>
      </c>
      <c r="B305" s="8" t="s">
        <v>673</v>
      </c>
      <c r="C305" s="9" t="s">
        <v>38</v>
      </c>
      <c r="D305" s="9" t="s">
        <v>14</v>
      </c>
      <c r="E305" s="9" t="s">
        <v>54</v>
      </c>
      <c r="F305" s="9" t="s">
        <v>55</v>
      </c>
      <c r="G305" s="10" t="s">
        <v>17</v>
      </c>
      <c r="H305" s="10" t="s">
        <v>17</v>
      </c>
      <c r="I305" s="10" t="s">
        <v>17</v>
      </c>
      <c r="J305" s="11"/>
      <c r="K305" s="3"/>
    </row>
    <row r="306" customFormat="false" ht="15.75" hidden="false" customHeight="true" outlineLevel="0" collapsed="false">
      <c r="A306" s="7" t="s">
        <v>674</v>
      </c>
      <c r="B306" s="8" t="s">
        <v>675</v>
      </c>
      <c r="C306" s="9" t="s">
        <v>13</v>
      </c>
      <c r="D306" s="9" t="s">
        <v>399</v>
      </c>
      <c r="E306" s="9" t="s">
        <v>81</v>
      </c>
      <c r="F306" s="9" t="s">
        <v>55</v>
      </c>
      <c r="G306" s="10" t="s">
        <v>17</v>
      </c>
      <c r="H306" s="10" t="s">
        <v>17</v>
      </c>
      <c r="I306" s="10" t="s">
        <v>17</v>
      </c>
      <c r="J306" s="11"/>
      <c r="K306" s="3"/>
    </row>
    <row r="307" customFormat="false" ht="15.75" hidden="false" customHeight="true" outlineLevel="0" collapsed="false">
      <c r="A307" s="7" t="s">
        <v>676</v>
      </c>
      <c r="B307" s="8" t="s">
        <v>677</v>
      </c>
      <c r="C307" s="9" t="s">
        <v>13</v>
      </c>
      <c r="D307" s="9" t="s">
        <v>399</v>
      </c>
      <c r="E307" s="9" t="s">
        <v>81</v>
      </c>
      <c r="F307" s="9" t="s">
        <v>55</v>
      </c>
      <c r="G307" s="10" t="s">
        <v>17</v>
      </c>
      <c r="H307" s="10" t="s">
        <v>17</v>
      </c>
      <c r="I307" s="10" t="s">
        <v>17</v>
      </c>
      <c r="J307" s="11"/>
      <c r="K307" s="3"/>
    </row>
    <row r="308" customFormat="false" ht="15.75" hidden="false" customHeight="true" outlineLevel="0" collapsed="false">
      <c r="A308" s="7" t="s">
        <v>678</v>
      </c>
      <c r="B308" s="8" t="s">
        <v>679</v>
      </c>
      <c r="C308" s="9" t="s">
        <v>38</v>
      </c>
      <c r="D308" s="9" t="s">
        <v>58</v>
      </c>
      <c r="E308" s="9" t="s">
        <v>15</v>
      </c>
      <c r="F308" s="9" t="s">
        <v>55</v>
      </c>
      <c r="G308" s="10" t="s">
        <v>17</v>
      </c>
      <c r="H308" s="10" t="s">
        <v>17</v>
      </c>
      <c r="I308" s="10" t="s">
        <v>17</v>
      </c>
      <c r="J308" s="11"/>
      <c r="K308" s="3"/>
    </row>
    <row r="309" customFormat="false" ht="15.75" hidden="false" customHeight="true" outlineLevel="0" collapsed="false">
      <c r="A309" s="7" t="s">
        <v>680</v>
      </c>
      <c r="B309" s="8" t="s">
        <v>681</v>
      </c>
      <c r="C309" s="9" t="s">
        <v>38</v>
      </c>
      <c r="D309" s="9" t="s">
        <v>58</v>
      </c>
      <c r="E309" s="9" t="s">
        <v>15</v>
      </c>
      <c r="F309" s="9" t="s">
        <v>55</v>
      </c>
      <c r="G309" s="10" t="s">
        <v>17</v>
      </c>
      <c r="H309" s="10" t="s">
        <v>17</v>
      </c>
      <c r="I309" s="10" t="s">
        <v>17</v>
      </c>
      <c r="J309" s="11"/>
      <c r="K309" s="3"/>
    </row>
    <row r="310" customFormat="false" ht="15.75" hidden="false" customHeight="true" outlineLevel="0" collapsed="false">
      <c r="A310" s="7" t="s">
        <v>682</v>
      </c>
      <c r="B310" s="8" t="s">
        <v>683</v>
      </c>
      <c r="C310" s="9" t="s">
        <v>38</v>
      </c>
      <c r="D310" s="9" t="s">
        <v>58</v>
      </c>
      <c r="E310" s="9" t="s">
        <v>184</v>
      </c>
      <c r="F310" s="9" t="s">
        <v>55</v>
      </c>
      <c r="G310" s="10" t="s">
        <v>17</v>
      </c>
      <c r="H310" s="10" t="s">
        <v>17</v>
      </c>
      <c r="I310" s="10" t="s">
        <v>17</v>
      </c>
      <c r="J310" s="11"/>
      <c r="K310" s="3"/>
    </row>
    <row r="311" customFormat="false" ht="15.75" hidden="false" customHeight="true" outlineLevel="0" collapsed="false">
      <c r="A311" s="13"/>
      <c r="B311" s="3"/>
      <c r="C311" s="14"/>
      <c r="D311" s="14"/>
      <c r="E311" s="14"/>
      <c r="F311" s="14"/>
      <c r="G311" s="3"/>
      <c r="H311" s="3"/>
      <c r="I311" s="3"/>
      <c r="J311" s="3"/>
      <c r="K311" s="3"/>
    </row>
    <row r="312" customFormat="false" ht="15.75" hidden="false" customHeight="true" outlineLevel="0" collapsed="false">
      <c r="A312" s="13"/>
      <c r="B312" s="3"/>
      <c r="C312" s="14"/>
      <c r="D312" s="14"/>
      <c r="E312" s="14"/>
      <c r="F312" s="14"/>
      <c r="G312" s="3"/>
      <c r="H312" s="3"/>
      <c r="I312" s="3"/>
      <c r="J312" s="3"/>
      <c r="K312" s="3"/>
    </row>
    <row r="313" customFormat="false" ht="15.75" hidden="false" customHeight="true" outlineLevel="0" collapsed="false">
      <c r="A313" s="13"/>
      <c r="B313" s="15" t="s">
        <v>684</v>
      </c>
      <c r="C313" s="16" t="s">
        <v>685</v>
      </c>
      <c r="D313" s="16" t="s">
        <v>686</v>
      </c>
      <c r="E313" s="14"/>
      <c r="F313" s="14"/>
      <c r="G313" s="3"/>
      <c r="H313" s="3"/>
      <c r="I313" s="3"/>
      <c r="J313" s="3"/>
      <c r="K313" s="3"/>
    </row>
    <row r="314" customFormat="false" ht="15.75" hidden="false" customHeight="true" outlineLevel="0" collapsed="false">
      <c r="A314" s="13"/>
      <c r="B314" s="17" t="s">
        <v>687</v>
      </c>
      <c r="C314" s="10" t="n">
        <f aca="false">COUNTIF(G3:G310,"Sí")</f>
        <v>0</v>
      </c>
      <c r="D314" s="10" t="n">
        <f aca="false">COUNTIF(G3:G310,"No")</f>
        <v>0</v>
      </c>
      <c r="E314" s="14"/>
      <c r="F314" s="14"/>
      <c r="G314" s="3"/>
      <c r="H314" s="3"/>
      <c r="I314" s="3"/>
      <c r="J314" s="3"/>
      <c r="K314" s="3"/>
    </row>
    <row r="315" customFormat="false" ht="15.75" hidden="false" customHeight="true" outlineLevel="0" collapsed="false">
      <c r="A315" s="13"/>
      <c r="B315" s="17" t="s">
        <v>688</v>
      </c>
      <c r="C315" s="10" t="n">
        <f aca="false">COUNTIF(H3:H310,"Sí")</f>
        <v>0</v>
      </c>
      <c r="D315" s="10" t="n">
        <f aca="false">COUNTIF(H3:H310,"No")</f>
        <v>0</v>
      </c>
      <c r="E315" s="14"/>
      <c r="F315" s="14"/>
      <c r="G315" s="3"/>
      <c r="H315" s="3"/>
      <c r="I315" s="3"/>
      <c r="J315" s="3"/>
      <c r="K315" s="3"/>
    </row>
    <row r="316" customFormat="false" ht="15.75" hidden="false" customHeight="true" outlineLevel="0" collapsed="false">
      <c r="A316" s="13"/>
      <c r="B316" s="17" t="s">
        <v>689</v>
      </c>
      <c r="C316" s="10" t="n">
        <f aca="false">COUNTIF(I3:I310,"Sí")</f>
        <v>0</v>
      </c>
      <c r="D316" s="10" t="n">
        <f aca="false">COUNTIF(I3:I310,"No")</f>
        <v>0</v>
      </c>
      <c r="E316" s="14"/>
      <c r="F316" s="14"/>
      <c r="G316" s="3"/>
      <c r="H316" s="3"/>
      <c r="I316" s="3"/>
      <c r="J316" s="3"/>
      <c r="K316" s="3"/>
    </row>
    <row r="317" customFormat="false" ht="15.75" hidden="false" customHeight="true" outlineLevel="0" collapsed="false"/>
    <row r="318" customFormat="false" ht="15.75" hidden="false" customHeight="true" outlineLevel="0" collapsed="false"/>
  </sheetData>
  <mergeCells count="1">
    <mergeCell ref="A1:G1"/>
  </mergeCells>
  <dataValidations count="1">
    <dataValidation allowBlank="true" operator="equal" prompt="Click and enter a value from the list of items" showDropDown="false" showErrorMessage="false" showInputMessage="true" sqref="G3:I310" type="list">
      <formula1>"Sí,No,-"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5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 activeCellId="0" sqref="D3"/>
    </sheetView>
  </sheetViews>
  <sheetFormatPr defaultRowHeight="12.8" zeroHeight="true" outlineLevelRow="0" outlineLevelCol="0"/>
  <cols>
    <col collapsed="false" customWidth="true" hidden="false" outlineLevel="0" max="1" min="1" style="0" width="5.81"/>
    <col collapsed="false" customWidth="true" hidden="false" outlineLevel="0" max="2" min="2" style="0" width="28.21"/>
    <col collapsed="false" customWidth="true" hidden="false" outlineLevel="0" max="6" min="3" style="0" width="39.42"/>
    <col collapsed="false" customWidth="true" hidden="false" outlineLevel="0" max="7" min="7" style="0" width="29.7"/>
    <col collapsed="false" customWidth="true" hidden="false" outlineLevel="0" max="8" min="8" style="0" width="16.2"/>
    <col collapsed="false" customWidth="true" hidden="false" outlineLevel="0" max="9" min="9" style="0" width="12.15"/>
    <col collapsed="false" customWidth="true" hidden="false" outlineLevel="0" max="11" min="10" style="0" width="22.68"/>
    <col collapsed="false" customWidth="true" hidden="false" outlineLevel="0" max="13" min="12" style="0" width="30.78"/>
    <col collapsed="false" customWidth="true" hidden="true" outlineLevel="0" max="14" min="14" style="0" width="30.78"/>
    <col collapsed="false" customWidth="true" hidden="false" outlineLevel="0" max="15" min="15" style="0" width="16.2"/>
    <col collapsed="false" customWidth="true" hidden="true" outlineLevel="0" max="1025" min="16" style="0" width="19.44"/>
  </cols>
  <sheetData>
    <row r="1" customFormat="false" ht="27.75" hidden="false" customHeight="true" outlineLevel="0" collapsed="false">
      <c r="A1" s="18" t="s">
        <v>690</v>
      </c>
      <c r="B1" s="18"/>
      <c r="C1" s="19"/>
      <c r="D1" s="19"/>
      <c r="E1" s="19"/>
      <c r="F1" s="19"/>
      <c r="G1" s="19"/>
      <c r="H1" s="19"/>
      <c r="I1" s="19"/>
      <c r="J1" s="19"/>
      <c r="K1" s="19"/>
      <c r="L1" s="19"/>
      <c r="M1" s="19"/>
      <c r="N1" s="19"/>
      <c r="O1" s="19"/>
    </row>
    <row r="2" customFormat="false" ht="34.5" hidden="false" customHeight="true" outlineLevel="0" collapsed="false">
      <c r="A2" s="20" t="s">
        <v>691</v>
      </c>
      <c r="B2" s="21" t="s">
        <v>692</v>
      </c>
      <c r="C2" s="21" t="s">
        <v>693</v>
      </c>
      <c r="D2" s="21" t="s">
        <v>694</v>
      </c>
      <c r="E2" s="21" t="s">
        <v>695</v>
      </c>
      <c r="F2" s="21" t="s">
        <v>696</v>
      </c>
      <c r="G2" s="21" t="s">
        <v>697</v>
      </c>
      <c r="H2" s="21"/>
      <c r="I2" s="21" t="s">
        <v>698</v>
      </c>
      <c r="J2" s="21" t="s">
        <v>699</v>
      </c>
      <c r="K2" s="22" t="s">
        <v>700</v>
      </c>
      <c r="L2" s="21" t="s">
        <v>701</v>
      </c>
      <c r="M2" s="21" t="s">
        <v>702</v>
      </c>
      <c r="N2" s="21" t="s">
        <v>703</v>
      </c>
      <c r="O2" s="21" t="s">
        <v>704</v>
      </c>
    </row>
    <row r="3" s="29" customFormat="true" ht="15.75" hidden="false" customHeight="true" outlineLevel="0" collapsed="false">
      <c r="A3" s="23" t="n">
        <v>1</v>
      </c>
      <c r="B3" s="24" t="s">
        <v>705</v>
      </c>
      <c r="C3" s="24" t="s">
        <v>17</v>
      </c>
      <c r="D3" s="24" t="s">
        <v>17</v>
      </c>
      <c r="E3" s="24" t="s">
        <v>17</v>
      </c>
      <c r="F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 s="26" t="str">
        <f aca="false">CVSSv2!$A$4</f>
        <v>Vector de acceso:</v>
      </c>
      <c r="H3" s="27" t="s">
        <v>706</v>
      </c>
      <c r="I3" s="28" t="n">
        <f aca="false">ROUND(((0.6*(10.41*(1-(1-IF(H6=CVSSv2!$C$7,CVSSv2!$C$18,IF(H6=CVSSv2!$D$7,CVSSv2!$D$18,IF(H6=CVSSv2!$E$7,CVSSv2!$E$18,0))))*(1-IF(H7=CVSSv2!$C$8,CVSSv2!$C$19,IF(H7=CVSSv2!$D$8,CVSSv2!$D$19,IF(H7=CVSSv2!$E$8,CVSSv2!$E$19,0))))*(1-IF(H8=CVSSv2!$C$9,CVSSv2!$C$20,IF(H8=CVSSv2!$D$9,CVSSv2!$D$20,IF(H8=CVSSv2!$E$9,CVSSv2!$E$20,0))))))+0.4*(20*IF(H3=CVSSv2!$C$4,CVSSv2!$C$15,IF(H3=CVSSv2!$D$4,CVSSv2!$D$15,IF(H3=CVSSv2!$E$4,CVSSv2!$E$15,0)))*IF(H4=CVSSv2!$C$5,CVSSv2!$C$16,IF(H4=CVSSv2!$D$5,CVSSv2!$D$16,IF(H4=CVSSv2!$E$5,CVSSv2!$E$16,0)))*IF(H5=CVSSv2!$C$6,CVSSv2!$C$17,IF(H5=CVSSv2!$D$6,CVSSv2!$D$17,IF(H5=CVSSv2!$E$6,CVSSv2!$E$17,0))))-1.5)*(IF(10.41*(1-(1-IF(H6=CVSSv2!$C$7,CVSSv2!$C$18,IF(H6=CVSSv2!$D$7,CVSSv2!$D$18,IF(H6=CVSSv2!$E$7,CVSSv2!$E$18,0))))*(1-IF(H7=CVSSv2!$C$8,CVSSv2!$C$19,IF(H7=CVSSv2!$D$8,CVSSv2!$D$19,IF(H7=CVSSv2!$E$8,CVSSv2!$E$19,0))))*(1-IF(H8=CVSSv2!$C$9,CVSSv2!$C$20,IF(H8=CVSSv2!$D$9,CVSSv2!$D$20,IF(H8=CVSSv2!$E$9,CVSSv2!$E$20,0)))))=0,0,1.176)))*(IF(H9=CVSSv2!$C$10,CVSSv2!$C$21,IF(H9=CVSSv2!$D$10,CVSSv2!$D$21,IF(H9=CVSSv2!$E$10,CVSSv2!$E$21,IF(H9=CVSSv2!$F$10,CVSSv2!$F$21,0))))*IF(H10=CVSSv2!$C$11,CVSSv2!$C$22,IF(H10=CVSSv2!$D$11,CVSSv2!$D$22,IF(H10=CVSSv2!$E$11,CVSSv2!$E$22,IF(H10=CVSSv2!$F$11,CVSSv2!$F$22,0))))*IF(H11=CVSSv2!$C$12,CVSSv2!$C$23,IF(H11=CVSSv2!$D$12,CVSSv2!$D$23,IF(H11=CVSSv2!$E$12,CVSSv2!$E$23,0)))),1)</f>
        <v>9.5</v>
      </c>
      <c r="J3" s="23" t="n">
        <v>0</v>
      </c>
      <c r="K3" s="23" t="n">
        <v>0</v>
      </c>
      <c r="L3" s="24" t="s">
        <v>17</v>
      </c>
      <c r="M3" s="24" t="s">
        <v>17</v>
      </c>
      <c r="N3" s="24" t="s">
        <v>707</v>
      </c>
      <c r="O3" s="24" t="s">
        <v>708</v>
      </c>
      <c r="AMJ3" s="0"/>
    </row>
    <row r="4" s="29" customFormat="true" ht="15.75" hidden="false" customHeight="true" outlineLevel="0" collapsed="false">
      <c r="A4" s="23"/>
      <c r="B4" s="24"/>
      <c r="C4" s="24"/>
      <c r="D4" s="24"/>
      <c r="E4" s="24"/>
      <c r="F4" s="25"/>
      <c r="G4" s="30" t="str">
        <f aca="false">CVSSv2!$A$5</f>
        <v>Complejidad de acceso:</v>
      </c>
      <c r="H4" s="31" t="s">
        <v>709</v>
      </c>
      <c r="I4" s="28"/>
      <c r="J4" s="23"/>
      <c r="K4" s="23"/>
      <c r="L4" s="24"/>
      <c r="M4" s="24"/>
      <c r="N4" s="24"/>
      <c r="O4" s="24"/>
      <c r="AMJ4" s="0"/>
    </row>
    <row r="5" s="29" customFormat="true" ht="15.75" hidden="false" customHeight="true" outlineLevel="0" collapsed="false">
      <c r="A5" s="23"/>
      <c r="B5" s="24"/>
      <c r="C5" s="24"/>
      <c r="D5" s="24"/>
      <c r="E5" s="24"/>
      <c r="F5" s="25"/>
      <c r="G5" s="30" t="str">
        <f aca="false">CVSSv2!$A$6</f>
        <v>Autenticación:</v>
      </c>
      <c r="H5" s="31" t="s">
        <v>710</v>
      </c>
      <c r="I5" s="28"/>
      <c r="J5" s="23"/>
      <c r="K5" s="23"/>
      <c r="L5" s="24"/>
      <c r="M5" s="24"/>
      <c r="N5" s="24"/>
      <c r="O5" s="24"/>
      <c r="AMJ5" s="0"/>
    </row>
    <row r="6" s="29" customFormat="true" ht="15.75" hidden="false" customHeight="true" outlineLevel="0" collapsed="false">
      <c r="A6" s="23"/>
      <c r="B6" s="24"/>
      <c r="C6" s="24"/>
      <c r="D6" s="24"/>
      <c r="E6" s="24"/>
      <c r="F6" s="25"/>
      <c r="G6" s="30" t="str">
        <f aca="false">CVSSv2!$A$7</f>
        <v>Impacto a la confidencialidad:</v>
      </c>
      <c r="H6" s="31" t="s">
        <v>711</v>
      </c>
      <c r="I6" s="28"/>
      <c r="J6" s="23"/>
      <c r="K6" s="23"/>
      <c r="L6" s="24"/>
      <c r="M6" s="24"/>
      <c r="N6" s="24"/>
      <c r="O6" s="24"/>
      <c r="AMJ6" s="0"/>
    </row>
    <row r="7" s="29" customFormat="true" ht="15.75" hidden="false" customHeight="true" outlineLevel="0" collapsed="false">
      <c r="A7" s="23"/>
      <c r="B7" s="24"/>
      <c r="C7" s="24"/>
      <c r="D7" s="24"/>
      <c r="E7" s="24"/>
      <c r="F7" s="25"/>
      <c r="G7" s="30" t="str">
        <f aca="false">CVSSv2!$A$8</f>
        <v>Impacto a la integridad:</v>
      </c>
      <c r="H7" s="31" t="s">
        <v>711</v>
      </c>
      <c r="I7" s="28"/>
      <c r="J7" s="23"/>
      <c r="K7" s="23"/>
      <c r="L7" s="24"/>
      <c r="M7" s="24"/>
      <c r="N7" s="24"/>
      <c r="O7" s="24"/>
      <c r="AMJ7" s="0"/>
    </row>
    <row r="8" s="29" customFormat="true" ht="15.75" hidden="false" customHeight="true" outlineLevel="0" collapsed="false">
      <c r="A8" s="23"/>
      <c r="B8" s="24"/>
      <c r="C8" s="24"/>
      <c r="D8" s="24"/>
      <c r="E8" s="24"/>
      <c r="F8" s="25"/>
      <c r="G8" s="30" t="str">
        <f aca="false">CVSSv2!$A$9</f>
        <v>Impacto a la disponibilidad:</v>
      </c>
      <c r="H8" s="31" t="s">
        <v>711</v>
      </c>
      <c r="I8" s="28"/>
      <c r="J8" s="23"/>
      <c r="K8" s="23"/>
      <c r="L8" s="24"/>
      <c r="M8" s="24"/>
      <c r="N8" s="24"/>
      <c r="O8" s="24"/>
      <c r="AMJ8" s="0"/>
    </row>
    <row r="9" s="29" customFormat="true" ht="15.75" hidden="false" customHeight="true" outlineLevel="0" collapsed="false">
      <c r="A9" s="23"/>
      <c r="B9" s="24"/>
      <c r="C9" s="24"/>
      <c r="D9" s="24"/>
      <c r="E9" s="24"/>
      <c r="F9" s="25"/>
      <c r="G9" s="30" t="str">
        <f aca="false">CVSSv2!$A$10</f>
        <v>Explotabilidad:</v>
      </c>
      <c r="H9" s="31" t="s">
        <v>712</v>
      </c>
      <c r="I9" s="28"/>
      <c r="J9" s="23"/>
      <c r="K9" s="23"/>
      <c r="L9" s="24"/>
      <c r="M9" s="24"/>
      <c r="N9" s="24"/>
      <c r="O9" s="24"/>
      <c r="AMJ9" s="0"/>
    </row>
    <row r="10" s="29" customFormat="true" ht="15.75" hidden="false" customHeight="true" outlineLevel="0" collapsed="false">
      <c r="A10" s="23"/>
      <c r="B10" s="24"/>
      <c r="C10" s="24"/>
      <c r="D10" s="24"/>
      <c r="E10" s="24"/>
      <c r="F10" s="25"/>
      <c r="G10" s="30" t="str">
        <f aca="false">CVSSv2!$A$11</f>
        <v>Nivel de resolución:</v>
      </c>
      <c r="H10" s="31" t="s">
        <v>713</v>
      </c>
      <c r="I10" s="28"/>
      <c r="J10" s="23"/>
      <c r="K10" s="23"/>
      <c r="L10" s="24"/>
      <c r="M10" s="24"/>
      <c r="N10" s="24"/>
      <c r="O10" s="24"/>
      <c r="AMJ10" s="0"/>
    </row>
    <row r="11" s="29" customFormat="true" ht="15.75" hidden="false" customHeight="true" outlineLevel="0" collapsed="false">
      <c r="A11" s="23"/>
      <c r="B11" s="24"/>
      <c r="C11" s="24"/>
      <c r="D11" s="24"/>
      <c r="E11" s="24"/>
      <c r="F11" s="25"/>
      <c r="G11" s="30" t="str">
        <f aca="false">CVSSv2!$A$12</f>
        <v>Nivel de confianza:</v>
      </c>
      <c r="H11" s="31" t="s">
        <v>714</v>
      </c>
      <c r="I11" s="28"/>
      <c r="J11" s="23"/>
      <c r="K11" s="23"/>
      <c r="L11" s="24"/>
      <c r="M11" s="24"/>
      <c r="N11" s="24"/>
      <c r="O11" s="24"/>
      <c r="AMJ11" s="0"/>
    </row>
    <row r="12" s="29" customFormat="true" ht="15.75" hidden="false" customHeight="true" outlineLevel="0" collapsed="false">
      <c r="A12" s="23"/>
      <c r="B12" s="24"/>
      <c r="C12" s="24"/>
      <c r="D12" s="24"/>
      <c r="E12" s="24"/>
      <c r="F12" s="25"/>
      <c r="G12" s="32" t="str">
        <f aca="false">"("&amp;CVSSv2!$B$4&amp;":"&amp;IF(H3=CVSSv2!$C$4,CVSSv2!$C$26,IF(H3=CVSSv2!$D$4,CVSSv2!$D$26,IF(H3=CVSSv2!$E$4,CVSSv2!$E$26,"")))&amp;"/"&amp;CVSSv2!$B$5&amp;":"&amp;IF(H4=CVSSv2!$C$5,CVSSv2!$C$27,IF(H4=CVSSv2!$D$5,CVSSv2!$D$27,IF(H4=CVSSv2!$E$5,CVSSv2!$E$27,"")))&amp;"/"&amp;CVSSv2!$B$6&amp;":"&amp;IF(H5=CVSSv2!$C$6,CVSSv2!$C$28,IF(H5=CVSSv2!$D$6,CVSSv2!$D$28,IF(H5=CVSSv2!$E$6,CVSSv2!$E$28,"")))&amp;"/"&amp;CVSSv2!$B$7&amp;":"&amp;IF(H6=CVSSv2!$C$7,CVSSv2!$C$29,IF(H6=CVSSv2!$D$7,CVSSv2!$D$29,IF(H6=CVSSv2!$E$7,CVSSv2!$E$29,"")))&amp;"/"&amp;CVSSv2!$B$8&amp;":"&amp;IF(H7=CVSSv2!$C$8,CVSSv2!$C$30,IF(H7=CVSSv2!$D$8,CVSSv2!$D$30,IF(H7=CVSSv2!$E$8,CVSSv2!$E$30,"")))&amp;"/"&amp;CVSSv2!$B$9&amp;":"&amp;IF(H8=CVSSv2!$C$9,CVSSv2!$C$31,IF(H8=CVSSv2!$D$9,CVSSv2!$D$31,IF(H8=CVSSv2!$E$9,CVSSv2!$E$31,"")))&amp;"/"&amp;CVSSv2!$B$10&amp;":"&amp;IF(H9=CVSSv2!$C$10,CVSSv2!$C$32,IF(H9=CVSSv2!$D$10,CVSSv2!$D$32,IF(H9=CVSSv2!$E$10,CVSSv2!$E$32,IF(H9=CVSSv2!$F$10,CVSSv2!$F$32,""))))&amp;"/"&amp;CVSSv2!$B$11&amp;":"&amp;IF(H10=CVSSv2!$C$11,CVSSv2!$C$33,IF(H10=CVSSv2!$D$11,CVSSv2!$D$33,IF(H10=CVSSv2!$E$11,CVSSv2!$E$33,IF(H10=CVSSv2!$F$11,CVSSv2!$F$33,""))))&amp;"/"&amp;CVSSv2!$B$12&amp;":"&amp;IF(H11=CVSSv2!$C$12,CVSSv2!$C$34,IF(H11=CVSSv2!$D$12,CVSSv2!$D$34,IF(H11=CVSSv2!$E$12,CVSSv2!$E$34,"")))&amp;")"</f>
        <v>(AV:N/AC:L/Au:N/C:C/I:C/A:C/E:H/RL:W/RC:C)</v>
      </c>
      <c r="H12" s="32"/>
      <c r="I12" s="28"/>
      <c r="J12" s="23"/>
      <c r="K12" s="23"/>
      <c r="L12" s="24"/>
      <c r="M12" s="24"/>
      <c r="N12" s="24"/>
      <c r="O12" s="24"/>
      <c r="AMJ12" s="0"/>
    </row>
    <row r="13" customFormat="false" ht="15.75" hidden="false" customHeight="true" outlineLevel="0" collapsed="false">
      <c r="A13" s="23" t="n">
        <v>2</v>
      </c>
      <c r="B13" s="24" t="s">
        <v>715</v>
      </c>
      <c r="C13" s="24" t="s">
        <v>17</v>
      </c>
      <c r="D13" s="24" t="s">
        <v>17</v>
      </c>
      <c r="E13" s="24" t="s">
        <v>17</v>
      </c>
      <c r="F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 s="26" t="str">
        <f aca="false">CVSSv2!$A$4</f>
        <v>Vector de acceso:</v>
      </c>
      <c r="H13" s="27" t="s">
        <v>706</v>
      </c>
      <c r="I13" s="33" t="n">
        <f aca="false">ROUND(((0.6*(10.41*(1-(1-IF(H16=CVSSv2!$C$7,CVSSv2!$C$18,IF(H16=CVSSv2!$D$7,CVSSv2!$D$18,IF(H16=CVSSv2!$E$7,CVSSv2!$E$18,0))))*(1-IF(H17=CVSSv2!$C$8,CVSSv2!$C$19,IF(H17=CVSSv2!$D$8,CVSSv2!$D$19,IF(H17=CVSSv2!$E$8,CVSSv2!$E$19,0))))*(1-IF(H18=CVSSv2!$C$9,CVSSv2!$C$20,IF(H18=CVSSv2!$D$9,CVSSv2!$D$20,IF(H18=CVSSv2!$E$9,CVSSv2!$E$20,0))))))+0.4*(20*IF(H13=CVSSv2!$C$4,CVSSv2!$C$15,IF(H13=CVSSv2!$D$4,CVSSv2!$D$15,IF(H13=CVSSv2!$E$4,CVSSv2!$E$15,0)))*IF(H14=CVSSv2!$C$5,CVSSv2!$C$16,IF(H14=CVSSv2!$D$5,CVSSv2!$D$16,IF(H14=CVSSv2!$E$5,CVSSv2!$E$16,0)))*IF(H15=CVSSv2!$C$6,CVSSv2!$C$17,IF(H15=CVSSv2!$D$6,CVSSv2!$D$17,IF(H15=CVSSv2!$E$6,CVSSv2!$E$17,0))))-1.5)*(IF(10.41*(1-(1-IF(H16=CVSSv2!$C$7,CVSSv2!$C$18,IF(H16=CVSSv2!$D$7,CVSSv2!$D$18,IF(H16=CVSSv2!$E$7,CVSSv2!$E$18,0))))*(1-IF(H17=CVSSv2!$C$8,CVSSv2!$C$19,IF(H17=CVSSv2!$D$8,CVSSv2!$D$19,IF(H17=CVSSv2!$E$8,CVSSv2!$E$19,0))))*(1-IF(H18=CVSSv2!$C$9,CVSSv2!$C$20,IF(H18=CVSSv2!$D$9,CVSSv2!$D$20,IF(H18=CVSSv2!$E$9,CVSSv2!$E$20,0)))))=0,0,1.176)))*(IF(H19=CVSSv2!$C$10,CVSSv2!$C$21,IF(H19=CVSSv2!$D$10,CVSSv2!$D$21,IF(H19=CVSSv2!$E$10,CVSSv2!$E$21,IF(H19=CVSSv2!$F$10,CVSSv2!$F$21,0))))*IF(H20=CVSSv2!$C$11,CVSSv2!$C$22,IF(H20=CVSSv2!$D$11,CVSSv2!$D$22,IF(H20=CVSSv2!$E$11,CVSSv2!$E$22,IF(H20=CVSSv2!$F$11,CVSSv2!$F$22,0))))*IF(H21=CVSSv2!$C$12,CVSSv2!$C$23,IF(H21=CVSSv2!$D$12,CVSSv2!$D$23,IF(H21=CVSSv2!$E$12,CVSSv2!$E$23,0)))),1)</f>
        <v>9.5</v>
      </c>
      <c r="J13" s="23" t="n">
        <v>0</v>
      </c>
      <c r="K13" s="23" t="n">
        <v>0</v>
      </c>
      <c r="L13" s="24" t="s">
        <v>17</v>
      </c>
      <c r="M13" s="24" t="s">
        <v>17</v>
      </c>
      <c r="N13" s="24" t="s">
        <v>707</v>
      </c>
      <c r="O13" s="24" t="s">
        <v>708</v>
      </c>
    </row>
    <row r="14" customFormat="false" ht="15.75" hidden="false" customHeight="true" outlineLevel="0" collapsed="false">
      <c r="A14" s="23"/>
      <c r="B14" s="24"/>
      <c r="C14" s="24"/>
      <c r="D14" s="24"/>
      <c r="E14" s="24"/>
      <c r="F14" s="25"/>
      <c r="G14" s="30" t="str">
        <f aca="false">CVSSv2!$A$5</f>
        <v>Complejidad de acceso:</v>
      </c>
      <c r="H14" s="31" t="s">
        <v>709</v>
      </c>
      <c r="I14" s="33"/>
      <c r="J14" s="23"/>
      <c r="K14" s="23"/>
      <c r="L14" s="24"/>
      <c r="M14" s="24"/>
      <c r="N14" s="24"/>
      <c r="O14" s="24"/>
    </row>
    <row r="15" customFormat="false" ht="15.75" hidden="false" customHeight="true" outlineLevel="0" collapsed="false">
      <c r="A15" s="23"/>
      <c r="B15" s="24"/>
      <c r="C15" s="24"/>
      <c r="D15" s="24"/>
      <c r="E15" s="24"/>
      <c r="F15" s="25"/>
      <c r="G15" s="30" t="str">
        <f aca="false">CVSSv2!$A$6</f>
        <v>Autenticación:</v>
      </c>
      <c r="H15" s="31" t="s">
        <v>710</v>
      </c>
      <c r="I15" s="33"/>
      <c r="J15" s="23"/>
      <c r="K15" s="23"/>
      <c r="L15" s="24"/>
      <c r="M15" s="24"/>
      <c r="N15" s="24"/>
      <c r="O15" s="24"/>
    </row>
    <row r="16" customFormat="false" ht="15.75" hidden="false" customHeight="true" outlineLevel="0" collapsed="false">
      <c r="A16" s="23"/>
      <c r="B16" s="24"/>
      <c r="C16" s="24"/>
      <c r="D16" s="24"/>
      <c r="E16" s="24"/>
      <c r="F16" s="25"/>
      <c r="G16" s="30" t="str">
        <f aca="false">CVSSv2!$A$7</f>
        <v>Impacto a la confidencialidad:</v>
      </c>
      <c r="H16" s="31" t="s">
        <v>711</v>
      </c>
      <c r="I16" s="33"/>
      <c r="J16" s="23"/>
      <c r="K16" s="23"/>
      <c r="L16" s="24"/>
      <c r="M16" s="24"/>
      <c r="N16" s="24"/>
      <c r="O16" s="24"/>
    </row>
    <row r="17" customFormat="false" ht="15.75" hidden="false" customHeight="true" outlineLevel="0" collapsed="false">
      <c r="A17" s="23"/>
      <c r="B17" s="24"/>
      <c r="C17" s="24"/>
      <c r="D17" s="24"/>
      <c r="E17" s="24"/>
      <c r="F17" s="25"/>
      <c r="G17" s="30" t="str">
        <f aca="false">CVSSv2!$A$8</f>
        <v>Impacto a la integridad:</v>
      </c>
      <c r="H17" s="31" t="s">
        <v>711</v>
      </c>
      <c r="I17" s="33"/>
      <c r="J17" s="23"/>
      <c r="K17" s="23"/>
      <c r="L17" s="24"/>
      <c r="M17" s="24"/>
      <c r="N17" s="24"/>
      <c r="O17" s="24"/>
    </row>
    <row r="18" customFormat="false" ht="15.75" hidden="false" customHeight="true" outlineLevel="0" collapsed="false">
      <c r="A18" s="23"/>
      <c r="B18" s="24"/>
      <c r="C18" s="24"/>
      <c r="D18" s="24"/>
      <c r="E18" s="24"/>
      <c r="F18" s="25"/>
      <c r="G18" s="30" t="str">
        <f aca="false">CVSSv2!$A$9</f>
        <v>Impacto a la disponibilidad:</v>
      </c>
      <c r="H18" s="31" t="s">
        <v>711</v>
      </c>
      <c r="I18" s="33"/>
      <c r="J18" s="23"/>
      <c r="K18" s="23"/>
      <c r="L18" s="24"/>
      <c r="M18" s="24"/>
      <c r="N18" s="24"/>
      <c r="O18" s="24"/>
    </row>
    <row r="19" customFormat="false" ht="15.75" hidden="false" customHeight="true" outlineLevel="0" collapsed="false">
      <c r="A19" s="23"/>
      <c r="B19" s="24"/>
      <c r="C19" s="24"/>
      <c r="D19" s="24"/>
      <c r="E19" s="24"/>
      <c r="F19" s="25"/>
      <c r="G19" s="30" t="str">
        <f aca="false">CVSSv2!$A$10</f>
        <v>Explotabilidad:</v>
      </c>
      <c r="H19" s="31" t="s">
        <v>712</v>
      </c>
      <c r="I19" s="33"/>
      <c r="J19" s="23"/>
      <c r="K19" s="23"/>
      <c r="L19" s="24"/>
      <c r="M19" s="24"/>
      <c r="N19" s="24"/>
      <c r="O19" s="24"/>
    </row>
    <row r="20" customFormat="false" ht="15.75" hidden="false" customHeight="true" outlineLevel="0" collapsed="false">
      <c r="A20" s="23"/>
      <c r="B20" s="24"/>
      <c r="C20" s="24"/>
      <c r="D20" s="24"/>
      <c r="E20" s="24"/>
      <c r="F20" s="25"/>
      <c r="G20" s="30" t="str">
        <f aca="false">CVSSv2!$A$11</f>
        <v>Nivel de resolución:</v>
      </c>
      <c r="H20" s="31" t="s">
        <v>713</v>
      </c>
      <c r="I20" s="33"/>
      <c r="J20" s="23"/>
      <c r="K20" s="23"/>
      <c r="L20" s="24"/>
      <c r="M20" s="24"/>
      <c r="N20" s="24"/>
      <c r="O20" s="24"/>
    </row>
    <row r="21" customFormat="false" ht="15.75" hidden="false" customHeight="true" outlineLevel="0" collapsed="false">
      <c r="A21" s="23"/>
      <c r="B21" s="24"/>
      <c r="C21" s="24"/>
      <c r="D21" s="24"/>
      <c r="E21" s="24"/>
      <c r="F21" s="25"/>
      <c r="G21" s="30" t="str">
        <f aca="false">CVSSv2!$A$12</f>
        <v>Nivel de confianza:</v>
      </c>
      <c r="H21" s="31" t="s">
        <v>714</v>
      </c>
      <c r="I21" s="33"/>
      <c r="J21" s="23"/>
      <c r="K21" s="23"/>
      <c r="L21" s="24"/>
      <c r="M21" s="24"/>
      <c r="N21" s="24"/>
      <c r="O21" s="24"/>
    </row>
    <row r="22" customFormat="false" ht="15.75" hidden="false" customHeight="true" outlineLevel="0" collapsed="false">
      <c r="A22" s="23"/>
      <c r="B22" s="24"/>
      <c r="C22" s="24"/>
      <c r="D22" s="24"/>
      <c r="E22" s="24"/>
      <c r="F22" s="25"/>
      <c r="G22" s="32" t="str">
        <f aca="false">"("&amp;CVSSv2!$B$4&amp;":"&amp;IF(H13=CVSSv2!$C$4,CVSSv2!$C$26,IF(H13=CVSSv2!$D$4,CVSSv2!$D$26,IF(H13=CVSSv2!$E$4,CVSSv2!$E$26,"")))&amp;"/"&amp;CVSSv2!$B$5&amp;":"&amp;IF(H14=CVSSv2!$C$5,CVSSv2!$C$27,IF(H14=CVSSv2!$D$5,CVSSv2!$D$27,IF(H14=CVSSv2!$E$5,CVSSv2!$E$27,"")))&amp;"/"&amp;CVSSv2!$B$6&amp;":"&amp;IF(H15=CVSSv2!$C$6,CVSSv2!$C$28,IF(H15=CVSSv2!$D$6,CVSSv2!$D$28,IF(H15=CVSSv2!$E$6,CVSSv2!$E$28,"")))&amp;"/"&amp;CVSSv2!$B$7&amp;":"&amp;IF(H16=CVSSv2!$C$7,CVSSv2!$C$29,IF(H16=CVSSv2!$D$7,CVSSv2!$D$29,IF(H16=CVSSv2!$E$7,CVSSv2!$E$29,"")))&amp;"/"&amp;CVSSv2!$B$8&amp;":"&amp;IF(H17=CVSSv2!$C$8,CVSSv2!$C$30,IF(H17=CVSSv2!$D$8,CVSSv2!$D$30,IF(H17=CVSSv2!$E$8,CVSSv2!$E$30,"")))&amp;"/"&amp;CVSSv2!$B$9&amp;":"&amp;IF(H18=CVSSv2!$C$9,CVSSv2!$C$31,IF(H18=CVSSv2!$D$9,CVSSv2!$D$31,IF(H18=CVSSv2!$E$9,CVSSv2!$E$31,"")))&amp;"/"&amp;CVSSv2!$B$10&amp;":"&amp;IF(H19=CVSSv2!$C$10,CVSSv2!$C$32,IF(H19=CVSSv2!$D$10,CVSSv2!$D$32,IF(H19=CVSSv2!$E$10,CVSSv2!$E$32,IF(H19=CVSSv2!$F$10,CVSSv2!$F$32,""))))&amp;"/"&amp;CVSSv2!$B$11&amp;":"&amp;IF(H20=CVSSv2!$C$11,CVSSv2!$C$33,IF(H20=CVSSv2!$D$11,CVSSv2!$D$33,IF(H20=CVSSv2!$E$11,CVSSv2!$E$33,IF(H20=CVSSv2!$F$11,CVSSv2!$F$33,""))))&amp;"/"&amp;CVSSv2!$B$12&amp;":"&amp;IF(H21=CVSSv2!$C$12,CVSSv2!$C$34,IF(H21=CVSSv2!$D$12,CVSSv2!$D$34,IF(H21=CVSSv2!$E$12,CVSSv2!$E$34,"")))&amp;")"</f>
        <v>(AV:N/AC:L/Au:N/C:C/I:C/A:C/E:H/RL:W/RC:C)</v>
      </c>
      <c r="H22" s="32"/>
      <c r="I22" s="33"/>
      <c r="J22" s="23"/>
      <c r="K22" s="23"/>
      <c r="L22" s="24"/>
      <c r="M22" s="24"/>
      <c r="N22" s="24"/>
      <c r="O22" s="24"/>
    </row>
    <row r="23" customFormat="false" ht="15.75" hidden="false" customHeight="true" outlineLevel="0" collapsed="false">
      <c r="A23" s="23" t="n">
        <v>3</v>
      </c>
      <c r="B23" s="24" t="s">
        <v>716</v>
      </c>
      <c r="C23" s="24" t="s">
        <v>17</v>
      </c>
      <c r="D23" s="24" t="s">
        <v>17</v>
      </c>
      <c r="E23" s="24" t="s">
        <v>17</v>
      </c>
      <c r="F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 s="26" t="str">
        <f aca="false">CVSSv2!$A$4</f>
        <v>Vector de acceso:</v>
      </c>
      <c r="H23" s="27" t="s">
        <v>706</v>
      </c>
      <c r="I23" s="33" t="n">
        <f aca="false">ROUND(((0.6*(10.41*(1-(1-IF(H26=CVSSv2!$C$7,CVSSv2!$C$18,IF(H26=CVSSv2!$D$7,CVSSv2!$D$18,IF(H26=CVSSv2!$E$7,CVSSv2!$E$18,0))))*(1-IF(H27=CVSSv2!$C$8,CVSSv2!$C$19,IF(H27=CVSSv2!$D$8,CVSSv2!$D$19,IF(H27=CVSSv2!$E$8,CVSSv2!$E$19,0))))*(1-IF(H28=CVSSv2!$C$9,CVSSv2!$C$20,IF(H28=CVSSv2!$D$9,CVSSv2!$D$20,IF(H28=CVSSv2!$E$9,CVSSv2!$E$20,0))))))+0.4*(20*IF(H23=CVSSv2!$C$4,CVSSv2!$C$15,IF(H23=CVSSv2!$D$4,CVSSv2!$D$15,IF(H23=CVSSv2!$E$4,CVSSv2!$E$15,0)))*IF(H24=CVSSv2!$C$5,CVSSv2!$C$16,IF(H24=CVSSv2!$D$5,CVSSv2!$D$16,IF(H24=CVSSv2!$E$5,CVSSv2!$E$16,0)))*IF(H25=CVSSv2!$C$6,CVSSv2!$C$17,IF(H25=CVSSv2!$D$6,CVSSv2!$D$17,IF(H25=CVSSv2!$E$6,CVSSv2!$E$17,0))))-1.5)*(IF(10.41*(1-(1-IF(H26=CVSSv2!$C$7,CVSSv2!$C$18,IF(H26=CVSSv2!$D$7,CVSSv2!$D$18,IF(H26=CVSSv2!$E$7,CVSSv2!$E$18,0))))*(1-IF(H27=CVSSv2!$C$8,CVSSv2!$C$19,IF(H27=CVSSv2!$D$8,CVSSv2!$D$19,IF(H27=CVSSv2!$E$8,CVSSv2!$E$19,0))))*(1-IF(H28=CVSSv2!$C$9,CVSSv2!$C$20,IF(H28=CVSSv2!$D$9,CVSSv2!$D$20,IF(H28=CVSSv2!$E$9,CVSSv2!$E$20,0)))))=0,0,1.176)))*(IF(H29=CVSSv2!$C$10,CVSSv2!$C$21,IF(H29=CVSSv2!$D$10,CVSSv2!$D$21,IF(H29=CVSSv2!$E$10,CVSSv2!$E$21,IF(H29=CVSSv2!$F$10,CVSSv2!$F$21,0))))*IF(H30=CVSSv2!$C$11,CVSSv2!$C$22,IF(H30=CVSSv2!$D$11,CVSSv2!$D$22,IF(H30=CVSSv2!$E$11,CVSSv2!$E$22,IF(H30=CVSSv2!$F$11,CVSSv2!$F$22,0))))*IF(H31=CVSSv2!$C$12,CVSSv2!$C$23,IF(H31=CVSSv2!$D$12,CVSSv2!$D$23,IF(H31=CVSSv2!$E$12,CVSSv2!$E$23,0)))),1)</f>
        <v>9.5</v>
      </c>
      <c r="J23" s="23" t="n">
        <v>0</v>
      </c>
      <c r="K23" s="23" t="n">
        <v>0</v>
      </c>
      <c r="L23" s="24" t="s">
        <v>17</v>
      </c>
      <c r="M23" s="24" t="s">
        <v>17</v>
      </c>
      <c r="N23" s="24" t="s">
        <v>707</v>
      </c>
      <c r="O23" s="24" t="s">
        <v>708</v>
      </c>
    </row>
    <row r="24" customFormat="false" ht="15.75" hidden="false" customHeight="true" outlineLevel="0" collapsed="false">
      <c r="A24" s="23"/>
      <c r="B24" s="24"/>
      <c r="C24" s="24"/>
      <c r="D24" s="24"/>
      <c r="E24" s="24"/>
      <c r="F24" s="25"/>
      <c r="G24" s="30" t="str">
        <f aca="false">CVSSv2!$A$5</f>
        <v>Complejidad de acceso:</v>
      </c>
      <c r="H24" s="31" t="s">
        <v>709</v>
      </c>
      <c r="I24" s="33"/>
      <c r="J24" s="23"/>
      <c r="K24" s="23"/>
      <c r="L24" s="24"/>
      <c r="M24" s="24"/>
      <c r="N24" s="24"/>
      <c r="O24" s="24"/>
    </row>
    <row r="25" customFormat="false" ht="15.75" hidden="false" customHeight="true" outlineLevel="0" collapsed="false">
      <c r="A25" s="23"/>
      <c r="B25" s="24"/>
      <c r="C25" s="24"/>
      <c r="D25" s="24"/>
      <c r="E25" s="24"/>
      <c r="F25" s="25"/>
      <c r="G25" s="30" t="str">
        <f aca="false">CVSSv2!$A$6</f>
        <v>Autenticación:</v>
      </c>
      <c r="H25" s="31" t="s">
        <v>710</v>
      </c>
      <c r="I25" s="33"/>
      <c r="J25" s="23"/>
      <c r="K25" s="23"/>
      <c r="L25" s="24"/>
      <c r="M25" s="24"/>
      <c r="N25" s="24"/>
      <c r="O25" s="24"/>
    </row>
    <row r="26" customFormat="false" ht="15.75" hidden="false" customHeight="true" outlineLevel="0" collapsed="false">
      <c r="A26" s="23"/>
      <c r="B26" s="24"/>
      <c r="C26" s="24"/>
      <c r="D26" s="24"/>
      <c r="E26" s="24"/>
      <c r="F26" s="25"/>
      <c r="G26" s="30" t="str">
        <f aca="false">CVSSv2!$A$7</f>
        <v>Impacto a la confidencialidad:</v>
      </c>
      <c r="H26" s="31" t="s">
        <v>711</v>
      </c>
      <c r="I26" s="33"/>
      <c r="J26" s="23"/>
      <c r="K26" s="23"/>
      <c r="L26" s="24"/>
      <c r="M26" s="24"/>
      <c r="N26" s="24"/>
      <c r="O26" s="24"/>
    </row>
    <row r="27" customFormat="false" ht="15.75" hidden="false" customHeight="true" outlineLevel="0" collapsed="false">
      <c r="A27" s="23"/>
      <c r="B27" s="24"/>
      <c r="C27" s="24"/>
      <c r="D27" s="24"/>
      <c r="E27" s="24"/>
      <c r="F27" s="25"/>
      <c r="G27" s="30" t="str">
        <f aca="false">CVSSv2!$A$8</f>
        <v>Impacto a la integridad:</v>
      </c>
      <c r="H27" s="31" t="s">
        <v>711</v>
      </c>
      <c r="I27" s="33"/>
      <c r="J27" s="23"/>
      <c r="K27" s="23"/>
      <c r="L27" s="24"/>
      <c r="M27" s="24"/>
      <c r="N27" s="24"/>
      <c r="O27" s="24"/>
    </row>
    <row r="28" customFormat="false" ht="15.75" hidden="false" customHeight="true" outlineLevel="0" collapsed="false">
      <c r="A28" s="23"/>
      <c r="B28" s="24"/>
      <c r="C28" s="24"/>
      <c r="D28" s="24"/>
      <c r="E28" s="24"/>
      <c r="F28" s="25"/>
      <c r="G28" s="30" t="str">
        <f aca="false">CVSSv2!$A$9</f>
        <v>Impacto a la disponibilidad:</v>
      </c>
      <c r="H28" s="31" t="s">
        <v>711</v>
      </c>
      <c r="I28" s="33"/>
      <c r="J28" s="23"/>
      <c r="K28" s="23"/>
      <c r="L28" s="24"/>
      <c r="M28" s="24"/>
      <c r="N28" s="24"/>
      <c r="O28" s="24"/>
    </row>
    <row r="29" customFormat="false" ht="15.75" hidden="false" customHeight="true" outlineLevel="0" collapsed="false">
      <c r="A29" s="23"/>
      <c r="B29" s="24"/>
      <c r="C29" s="24"/>
      <c r="D29" s="24"/>
      <c r="E29" s="24"/>
      <c r="F29" s="25"/>
      <c r="G29" s="30" t="str">
        <f aca="false">CVSSv2!$A$10</f>
        <v>Explotabilidad:</v>
      </c>
      <c r="H29" s="31" t="s">
        <v>712</v>
      </c>
      <c r="I29" s="33"/>
      <c r="J29" s="23"/>
      <c r="K29" s="23"/>
      <c r="L29" s="24"/>
      <c r="M29" s="24"/>
      <c r="N29" s="24"/>
      <c r="O29" s="24"/>
    </row>
    <row r="30" customFormat="false" ht="15.75" hidden="false" customHeight="true" outlineLevel="0" collapsed="false">
      <c r="A30" s="23"/>
      <c r="B30" s="24"/>
      <c r="C30" s="24"/>
      <c r="D30" s="24"/>
      <c r="E30" s="24"/>
      <c r="F30" s="25"/>
      <c r="G30" s="30" t="str">
        <f aca="false">CVSSv2!$A$11</f>
        <v>Nivel de resolución:</v>
      </c>
      <c r="H30" s="31" t="s">
        <v>713</v>
      </c>
      <c r="I30" s="33"/>
      <c r="J30" s="23"/>
      <c r="K30" s="23"/>
      <c r="L30" s="24"/>
      <c r="M30" s="24"/>
      <c r="N30" s="24"/>
      <c r="O30" s="24"/>
    </row>
    <row r="31" customFormat="false" ht="15.75" hidden="false" customHeight="true" outlineLevel="0" collapsed="false">
      <c r="A31" s="23"/>
      <c r="B31" s="24"/>
      <c r="C31" s="24"/>
      <c r="D31" s="24"/>
      <c r="E31" s="24"/>
      <c r="F31" s="25"/>
      <c r="G31" s="30" t="str">
        <f aca="false">CVSSv2!$A$12</f>
        <v>Nivel de confianza:</v>
      </c>
      <c r="H31" s="31" t="s">
        <v>714</v>
      </c>
      <c r="I31" s="33"/>
      <c r="J31" s="23"/>
      <c r="K31" s="23"/>
      <c r="L31" s="24"/>
      <c r="M31" s="24"/>
      <c r="N31" s="24"/>
      <c r="O31" s="24"/>
    </row>
    <row r="32" customFormat="false" ht="15.75" hidden="false" customHeight="true" outlineLevel="0" collapsed="false">
      <c r="A32" s="23"/>
      <c r="B32" s="24"/>
      <c r="C32" s="24"/>
      <c r="D32" s="24"/>
      <c r="E32" s="24"/>
      <c r="F32" s="25"/>
      <c r="G32" s="32" t="str">
        <f aca="false">"("&amp;CVSSv2!$B$4&amp;":"&amp;IF(H23=CVSSv2!$C$4,CVSSv2!$C$26,IF(H23=CVSSv2!$D$4,CVSSv2!$D$26,IF(H23=CVSSv2!$E$4,CVSSv2!$E$26,"")))&amp;"/"&amp;CVSSv2!$B$5&amp;":"&amp;IF(H24=CVSSv2!$C$5,CVSSv2!$C$27,IF(H24=CVSSv2!$D$5,CVSSv2!$D$27,IF(H24=CVSSv2!$E$5,CVSSv2!$E$27,"")))&amp;"/"&amp;CVSSv2!$B$6&amp;":"&amp;IF(H25=CVSSv2!$C$6,CVSSv2!$C$28,IF(H25=CVSSv2!$D$6,CVSSv2!$D$28,IF(H25=CVSSv2!$E$6,CVSSv2!$E$28,"")))&amp;"/"&amp;CVSSv2!$B$7&amp;":"&amp;IF(H26=CVSSv2!$C$7,CVSSv2!$C$29,IF(H26=CVSSv2!$D$7,CVSSv2!$D$29,IF(H26=CVSSv2!$E$7,CVSSv2!$E$29,"")))&amp;"/"&amp;CVSSv2!$B$8&amp;":"&amp;IF(H27=CVSSv2!$C$8,CVSSv2!$C$30,IF(H27=CVSSv2!$D$8,CVSSv2!$D$30,IF(H27=CVSSv2!$E$8,CVSSv2!$E$30,"")))&amp;"/"&amp;CVSSv2!$B$9&amp;":"&amp;IF(H28=CVSSv2!$C$9,CVSSv2!$C$31,IF(H28=CVSSv2!$D$9,CVSSv2!$D$31,IF(H28=CVSSv2!$E$9,CVSSv2!$E$31,"")))&amp;"/"&amp;CVSSv2!$B$10&amp;":"&amp;IF(H29=CVSSv2!$C$10,CVSSv2!$C$32,IF(H29=CVSSv2!$D$10,CVSSv2!$D$32,IF(H29=CVSSv2!$E$10,CVSSv2!$E$32,IF(H29=CVSSv2!$F$10,CVSSv2!$F$32,""))))&amp;"/"&amp;CVSSv2!$B$11&amp;":"&amp;IF(H30=CVSSv2!$C$11,CVSSv2!$C$33,IF(H30=CVSSv2!$D$11,CVSSv2!$D$33,IF(H30=CVSSv2!$E$11,CVSSv2!$E$33,IF(H30=CVSSv2!$F$11,CVSSv2!$F$33,""))))&amp;"/"&amp;CVSSv2!$B$12&amp;":"&amp;IF(H31=CVSSv2!$C$12,CVSSv2!$C$34,IF(H31=CVSSv2!$D$12,CVSSv2!$D$34,IF(H31=CVSSv2!$E$12,CVSSv2!$E$34,"")))&amp;")"</f>
        <v>(AV:N/AC:L/Au:N/C:C/I:C/A:C/E:H/RL:W/RC:C)</v>
      </c>
      <c r="H32" s="32"/>
      <c r="I32" s="33"/>
      <c r="J32" s="23"/>
      <c r="K32" s="23"/>
      <c r="L32" s="24"/>
      <c r="M32" s="24"/>
      <c r="N32" s="24"/>
      <c r="O32" s="24"/>
    </row>
    <row r="33" customFormat="false" ht="15.75" hidden="false" customHeight="true" outlineLevel="0" collapsed="false">
      <c r="A33" s="23" t="n">
        <v>4</v>
      </c>
      <c r="B33" s="24" t="s">
        <v>717</v>
      </c>
      <c r="C33" s="24" t="s">
        <v>17</v>
      </c>
      <c r="D33" s="24" t="s">
        <v>17</v>
      </c>
      <c r="E33" s="24" t="s">
        <v>17</v>
      </c>
      <c r="F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 s="26" t="str">
        <f aca="false">CVSSv2!$A$4</f>
        <v>Vector de acceso:</v>
      </c>
      <c r="H33" s="27" t="s">
        <v>706</v>
      </c>
      <c r="I33" s="33" t="n">
        <f aca="false">ROUND(((0.6*(10.41*(1-(1-IF(H36=CVSSv2!$C$7,CVSSv2!$C$18,IF(H36=CVSSv2!$D$7,CVSSv2!$D$18,IF(H36=CVSSv2!$E$7,CVSSv2!$E$18,0))))*(1-IF(H37=CVSSv2!$C$8,CVSSv2!$C$19,IF(H37=CVSSv2!$D$8,CVSSv2!$D$19,IF(H37=CVSSv2!$E$8,CVSSv2!$E$19,0))))*(1-IF(H38=CVSSv2!$C$9,CVSSv2!$C$20,IF(H38=CVSSv2!$D$9,CVSSv2!$D$20,IF(H38=CVSSv2!$E$9,CVSSv2!$E$20,0))))))+0.4*(20*IF(H33=CVSSv2!$C$4,CVSSv2!$C$15,IF(H33=CVSSv2!$D$4,CVSSv2!$D$15,IF(H33=CVSSv2!$E$4,CVSSv2!$E$15,0)))*IF(H34=CVSSv2!$C$5,CVSSv2!$C$16,IF(H34=CVSSv2!$D$5,CVSSv2!$D$16,IF(H34=CVSSv2!$E$5,CVSSv2!$E$16,0)))*IF(H35=CVSSv2!$C$6,CVSSv2!$C$17,IF(H35=CVSSv2!$D$6,CVSSv2!$D$17,IF(H35=CVSSv2!$E$6,CVSSv2!$E$17,0))))-1.5)*(IF(10.41*(1-(1-IF(H36=CVSSv2!$C$7,CVSSv2!$C$18,IF(H36=CVSSv2!$D$7,CVSSv2!$D$18,IF(H36=CVSSv2!$E$7,CVSSv2!$E$18,0))))*(1-IF(H37=CVSSv2!$C$8,CVSSv2!$C$19,IF(H37=CVSSv2!$D$8,CVSSv2!$D$19,IF(H37=CVSSv2!$E$8,CVSSv2!$E$19,0))))*(1-IF(H38=CVSSv2!$C$9,CVSSv2!$C$20,IF(H38=CVSSv2!$D$9,CVSSv2!$D$20,IF(H38=CVSSv2!$E$9,CVSSv2!$E$20,0)))))=0,0,1.176)))*(IF(H39=CVSSv2!$C$10,CVSSv2!$C$21,IF(H39=CVSSv2!$D$10,CVSSv2!$D$21,IF(H39=CVSSv2!$E$10,CVSSv2!$E$21,IF(H39=CVSSv2!$F$10,CVSSv2!$F$21,0))))*IF(H40=CVSSv2!$C$11,CVSSv2!$C$22,IF(H40=CVSSv2!$D$11,CVSSv2!$D$22,IF(H40=CVSSv2!$E$11,CVSSv2!$E$22,IF(H40=CVSSv2!$F$11,CVSSv2!$F$22,0))))*IF(H41=CVSSv2!$C$12,CVSSv2!$C$23,IF(H41=CVSSv2!$D$12,CVSSv2!$D$23,IF(H41=CVSSv2!$E$12,CVSSv2!$E$23,0)))),1)</f>
        <v>9.5</v>
      </c>
      <c r="J33" s="23" t="n">
        <v>0</v>
      </c>
      <c r="K33" s="23" t="n">
        <v>0</v>
      </c>
      <c r="L33" s="24" t="s">
        <v>17</v>
      </c>
      <c r="M33" s="24" t="s">
        <v>17</v>
      </c>
      <c r="N33" s="24" t="s">
        <v>707</v>
      </c>
      <c r="O33" s="24" t="s">
        <v>708</v>
      </c>
    </row>
    <row r="34" customFormat="false" ht="15.75" hidden="false" customHeight="true" outlineLevel="0" collapsed="false">
      <c r="A34" s="23"/>
      <c r="B34" s="24"/>
      <c r="C34" s="24"/>
      <c r="D34" s="24"/>
      <c r="E34" s="24"/>
      <c r="F34" s="25"/>
      <c r="G34" s="30" t="str">
        <f aca="false">CVSSv2!$A$5</f>
        <v>Complejidad de acceso:</v>
      </c>
      <c r="H34" s="31" t="s">
        <v>709</v>
      </c>
      <c r="I34" s="33"/>
      <c r="J34" s="23"/>
      <c r="K34" s="23"/>
      <c r="L34" s="24"/>
      <c r="M34" s="24"/>
      <c r="N34" s="24"/>
      <c r="O34" s="24"/>
    </row>
    <row r="35" customFormat="false" ht="15.75" hidden="false" customHeight="true" outlineLevel="0" collapsed="false">
      <c r="A35" s="23"/>
      <c r="B35" s="24"/>
      <c r="C35" s="24"/>
      <c r="D35" s="24"/>
      <c r="E35" s="24"/>
      <c r="F35" s="25"/>
      <c r="G35" s="30" t="str">
        <f aca="false">CVSSv2!$A$6</f>
        <v>Autenticación:</v>
      </c>
      <c r="H35" s="31" t="s">
        <v>710</v>
      </c>
      <c r="I35" s="33"/>
      <c r="J35" s="23"/>
      <c r="K35" s="23"/>
      <c r="L35" s="24"/>
      <c r="M35" s="24"/>
      <c r="N35" s="24"/>
      <c r="O35" s="24"/>
    </row>
    <row r="36" customFormat="false" ht="15.75" hidden="false" customHeight="true" outlineLevel="0" collapsed="false">
      <c r="A36" s="23"/>
      <c r="B36" s="24"/>
      <c r="C36" s="24"/>
      <c r="D36" s="24"/>
      <c r="E36" s="24"/>
      <c r="F36" s="25"/>
      <c r="G36" s="30" t="str">
        <f aca="false">CVSSv2!$A$7</f>
        <v>Impacto a la confidencialidad:</v>
      </c>
      <c r="H36" s="31" t="s">
        <v>711</v>
      </c>
      <c r="I36" s="33"/>
      <c r="J36" s="23"/>
      <c r="K36" s="23"/>
      <c r="L36" s="24"/>
      <c r="M36" s="24"/>
      <c r="N36" s="24"/>
      <c r="O36" s="24"/>
    </row>
    <row r="37" customFormat="false" ht="15.75" hidden="false" customHeight="true" outlineLevel="0" collapsed="false">
      <c r="A37" s="23"/>
      <c r="B37" s="24"/>
      <c r="C37" s="24"/>
      <c r="D37" s="24"/>
      <c r="E37" s="24"/>
      <c r="F37" s="25"/>
      <c r="G37" s="30" t="str">
        <f aca="false">CVSSv2!$A$8</f>
        <v>Impacto a la integridad:</v>
      </c>
      <c r="H37" s="31" t="s">
        <v>711</v>
      </c>
      <c r="I37" s="33"/>
      <c r="J37" s="23"/>
      <c r="K37" s="23"/>
      <c r="L37" s="24"/>
      <c r="M37" s="24"/>
      <c r="N37" s="24"/>
      <c r="O37" s="24"/>
    </row>
    <row r="38" customFormat="false" ht="15.75" hidden="false" customHeight="true" outlineLevel="0" collapsed="false">
      <c r="A38" s="23"/>
      <c r="B38" s="24"/>
      <c r="C38" s="24"/>
      <c r="D38" s="24"/>
      <c r="E38" s="24"/>
      <c r="F38" s="25"/>
      <c r="G38" s="30" t="str">
        <f aca="false">CVSSv2!$A$9</f>
        <v>Impacto a la disponibilidad:</v>
      </c>
      <c r="H38" s="31" t="s">
        <v>711</v>
      </c>
      <c r="I38" s="33"/>
      <c r="J38" s="23"/>
      <c r="K38" s="23"/>
      <c r="L38" s="24"/>
      <c r="M38" s="24"/>
      <c r="N38" s="24"/>
      <c r="O38" s="24"/>
    </row>
    <row r="39" customFormat="false" ht="15.75" hidden="false" customHeight="true" outlineLevel="0" collapsed="false">
      <c r="A39" s="23"/>
      <c r="B39" s="24"/>
      <c r="C39" s="24"/>
      <c r="D39" s="24"/>
      <c r="E39" s="24"/>
      <c r="F39" s="25"/>
      <c r="G39" s="30" t="str">
        <f aca="false">CVSSv2!$A$10</f>
        <v>Explotabilidad:</v>
      </c>
      <c r="H39" s="31" t="s">
        <v>712</v>
      </c>
      <c r="I39" s="33"/>
      <c r="J39" s="23"/>
      <c r="K39" s="23"/>
      <c r="L39" s="24"/>
      <c r="M39" s="24"/>
      <c r="N39" s="24"/>
      <c r="O39" s="24"/>
    </row>
    <row r="40" customFormat="false" ht="15.75" hidden="false" customHeight="true" outlineLevel="0" collapsed="false">
      <c r="A40" s="23"/>
      <c r="B40" s="24"/>
      <c r="C40" s="24"/>
      <c r="D40" s="24"/>
      <c r="E40" s="24"/>
      <c r="F40" s="25"/>
      <c r="G40" s="30" t="str">
        <f aca="false">CVSSv2!$A$11</f>
        <v>Nivel de resolución:</v>
      </c>
      <c r="H40" s="31" t="s">
        <v>713</v>
      </c>
      <c r="I40" s="33"/>
      <c r="J40" s="23"/>
      <c r="K40" s="23"/>
      <c r="L40" s="24"/>
      <c r="M40" s="24"/>
      <c r="N40" s="24"/>
      <c r="O40" s="24"/>
    </row>
    <row r="41" customFormat="false" ht="15.75" hidden="false" customHeight="true" outlineLevel="0" collapsed="false">
      <c r="A41" s="23"/>
      <c r="B41" s="24"/>
      <c r="C41" s="24"/>
      <c r="D41" s="24"/>
      <c r="E41" s="24"/>
      <c r="F41" s="25"/>
      <c r="G41" s="30" t="str">
        <f aca="false">CVSSv2!$A$12</f>
        <v>Nivel de confianza:</v>
      </c>
      <c r="H41" s="31" t="s">
        <v>714</v>
      </c>
      <c r="I41" s="33"/>
      <c r="J41" s="23"/>
      <c r="K41" s="23"/>
      <c r="L41" s="24"/>
      <c r="M41" s="24"/>
      <c r="N41" s="24"/>
      <c r="O41" s="24"/>
    </row>
    <row r="42" customFormat="false" ht="15.75" hidden="false" customHeight="true" outlineLevel="0" collapsed="false">
      <c r="A42" s="23"/>
      <c r="B42" s="24"/>
      <c r="C42" s="24"/>
      <c r="D42" s="24"/>
      <c r="E42" s="24"/>
      <c r="F42" s="25"/>
      <c r="G42" s="32" t="str">
        <f aca="false">"("&amp;CVSSv2!$B$4&amp;":"&amp;IF(H33=CVSSv2!$C$4,CVSSv2!$C$26,IF(H33=CVSSv2!$D$4,CVSSv2!$D$26,IF(H33=CVSSv2!$E$4,CVSSv2!$E$26,"")))&amp;"/"&amp;CVSSv2!$B$5&amp;":"&amp;IF(H34=CVSSv2!$C$5,CVSSv2!$C$27,IF(H34=CVSSv2!$D$5,CVSSv2!$D$27,IF(H34=CVSSv2!$E$5,CVSSv2!$E$27,"")))&amp;"/"&amp;CVSSv2!$B$6&amp;":"&amp;IF(H35=CVSSv2!$C$6,CVSSv2!$C$28,IF(H35=CVSSv2!$D$6,CVSSv2!$D$28,IF(H35=CVSSv2!$E$6,CVSSv2!$E$28,"")))&amp;"/"&amp;CVSSv2!$B$7&amp;":"&amp;IF(H36=CVSSv2!$C$7,CVSSv2!$C$29,IF(H36=CVSSv2!$D$7,CVSSv2!$D$29,IF(H36=CVSSv2!$E$7,CVSSv2!$E$29,"")))&amp;"/"&amp;CVSSv2!$B$8&amp;":"&amp;IF(H37=CVSSv2!$C$8,CVSSv2!$C$30,IF(H37=CVSSv2!$D$8,CVSSv2!$D$30,IF(H37=CVSSv2!$E$8,CVSSv2!$E$30,"")))&amp;"/"&amp;CVSSv2!$B$9&amp;":"&amp;IF(H38=CVSSv2!$C$9,CVSSv2!$C$31,IF(H38=CVSSv2!$D$9,CVSSv2!$D$31,IF(H38=CVSSv2!$E$9,CVSSv2!$E$31,"")))&amp;"/"&amp;CVSSv2!$B$10&amp;":"&amp;IF(H39=CVSSv2!$C$10,CVSSv2!$C$32,IF(H39=CVSSv2!$D$10,CVSSv2!$D$32,IF(H39=CVSSv2!$E$10,CVSSv2!$E$32,IF(H39=CVSSv2!$F$10,CVSSv2!$F$32,""))))&amp;"/"&amp;CVSSv2!$B$11&amp;":"&amp;IF(H40=CVSSv2!$C$11,CVSSv2!$C$33,IF(H40=CVSSv2!$D$11,CVSSv2!$D$33,IF(H40=CVSSv2!$E$11,CVSSv2!$E$33,IF(H40=CVSSv2!$F$11,CVSSv2!$F$33,""))))&amp;"/"&amp;CVSSv2!$B$12&amp;":"&amp;IF(H41=CVSSv2!$C$12,CVSSv2!$C$34,IF(H41=CVSSv2!$D$12,CVSSv2!$D$34,IF(H41=CVSSv2!$E$12,CVSSv2!$E$34,"")))&amp;")"</f>
        <v>(AV:N/AC:L/Au:N/C:C/I:C/A:C/E:H/RL:W/RC:C)</v>
      </c>
      <c r="H42" s="32"/>
      <c r="I42" s="33"/>
      <c r="J42" s="23"/>
      <c r="K42" s="23"/>
      <c r="L42" s="24"/>
      <c r="M42" s="24"/>
      <c r="N42" s="24"/>
      <c r="O42" s="24"/>
    </row>
    <row r="43" customFormat="false" ht="15.75" hidden="false" customHeight="true" outlineLevel="0" collapsed="false">
      <c r="A43" s="23" t="n">
        <v>5</v>
      </c>
      <c r="B43" s="24" t="s">
        <v>718</v>
      </c>
      <c r="C43" s="24" t="s">
        <v>17</v>
      </c>
      <c r="D43" s="24" t="s">
        <v>17</v>
      </c>
      <c r="E43" s="24" t="s">
        <v>17</v>
      </c>
      <c r="F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 s="26" t="str">
        <f aca="false">CVSSv2!$A$4</f>
        <v>Vector de acceso:</v>
      </c>
      <c r="H43" s="27" t="s">
        <v>706</v>
      </c>
      <c r="I43" s="33" t="n">
        <f aca="false">ROUND(((0.6*(10.41*(1-(1-IF(H46=CVSSv2!$C$7,CVSSv2!$C$18,IF(H46=CVSSv2!$D$7,CVSSv2!$D$18,IF(H46=CVSSv2!$E$7,CVSSv2!$E$18,0))))*(1-IF(H47=CVSSv2!$C$8,CVSSv2!$C$19,IF(H47=CVSSv2!$D$8,CVSSv2!$D$19,IF(H47=CVSSv2!$E$8,CVSSv2!$E$19,0))))*(1-IF(H48=CVSSv2!$C$9,CVSSv2!$C$20,IF(H48=CVSSv2!$D$9,CVSSv2!$D$20,IF(H48=CVSSv2!$E$9,CVSSv2!$E$20,0))))))+0.4*(20*IF(H43=CVSSv2!$C$4,CVSSv2!$C$15,IF(H43=CVSSv2!$D$4,CVSSv2!$D$15,IF(H43=CVSSv2!$E$4,CVSSv2!$E$15,0)))*IF(H44=CVSSv2!$C$5,CVSSv2!$C$16,IF(H44=CVSSv2!$D$5,CVSSv2!$D$16,IF(H44=CVSSv2!$E$5,CVSSv2!$E$16,0)))*IF(H45=CVSSv2!$C$6,CVSSv2!$C$17,IF(H45=CVSSv2!$D$6,CVSSv2!$D$17,IF(H45=CVSSv2!$E$6,CVSSv2!$E$17,0))))-1.5)*(IF(10.41*(1-(1-IF(H46=CVSSv2!$C$7,CVSSv2!$C$18,IF(H46=CVSSv2!$D$7,CVSSv2!$D$18,IF(H46=CVSSv2!$E$7,CVSSv2!$E$18,0))))*(1-IF(H47=CVSSv2!$C$8,CVSSv2!$C$19,IF(H47=CVSSv2!$D$8,CVSSv2!$D$19,IF(H47=CVSSv2!$E$8,CVSSv2!$E$19,0))))*(1-IF(H48=CVSSv2!$C$9,CVSSv2!$C$20,IF(H48=CVSSv2!$D$9,CVSSv2!$D$20,IF(H48=CVSSv2!$E$9,CVSSv2!$E$20,0)))))=0,0,1.176)))*(IF(H49=CVSSv2!$C$10,CVSSv2!$C$21,IF(H49=CVSSv2!$D$10,CVSSv2!$D$21,IF(H49=CVSSv2!$E$10,CVSSv2!$E$21,IF(H49=CVSSv2!$F$10,CVSSv2!$F$21,0))))*IF(H50=CVSSv2!$C$11,CVSSv2!$C$22,IF(H50=CVSSv2!$D$11,CVSSv2!$D$22,IF(H50=CVSSv2!$E$11,CVSSv2!$E$22,IF(H50=CVSSv2!$F$11,CVSSv2!$F$22,0))))*IF(H51=CVSSv2!$C$12,CVSSv2!$C$23,IF(H51=CVSSv2!$D$12,CVSSv2!$D$23,IF(H51=CVSSv2!$E$12,CVSSv2!$E$23,0)))),1)</f>
        <v>9.5</v>
      </c>
      <c r="J43" s="23" t="n">
        <v>0</v>
      </c>
      <c r="K43" s="23" t="n">
        <v>0</v>
      </c>
      <c r="L43" s="24" t="s">
        <v>17</v>
      </c>
      <c r="M43" s="24" t="s">
        <v>17</v>
      </c>
      <c r="N43" s="24" t="s">
        <v>707</v>
      </c>
      <c r="O43" s="24" t="s">
        <v>708</v>
      </c>
    </row>
    <row r="44" customFormat="false" ht="15.75" hidden="false" customHeight="true" outlineLevel="0" collapsed="false">
      <c r="A44" s="23"/>
      <c r="B44" s="24"/>
      <c r="C44" s="24"/>
      <c r="D44" s="24"/>
      <c r="E44" s="24"/>
      <c r="F44" s="25"/>
      <c r="G44" s="30" t="str">
        <f aca="false">CVSSv2!$A$5</f>
        <v>Complejidad de acceso:</v>
      </c>
      <c r="H44" s="31" t="s">
        <v>709</v>
      </c>
      <c r="I44" s="33"/>
      <c r="J44" s="23"/>
      <c r="K44" s="23"/>
      <c r="L44" s="24"/>
      <c r="M44" s="24"/>
      <c r="N44" s="24"/>
      <c r="O44" s="24"/>
    </row>
    <row r="45" customFormat="false" ht="15.75" hidden="false" customHeight="true" outlineLevel="0" collapsed="false">
      <c r="A45" s="23"/>
      <c r="B45" s="24"/>
      <c r="C45" s="24"/>
      <c r="D45" s="24"/>
      <c r="E45" s="24"/>
      <c r="F45" s="25"/>
      <c r="G45" s="30" t="str">
        <f aca="false">CVSSv2!$A$6</f>
        <v>Autenticación:</v>
      </c>
      <c r="H45" s="31" t="s">
        <v>710</v>
      </c>
      <c r="I45" s="33"/>
      <c r="J45" s="23"/>
      <c r="K45" s="23"/>
      <c r="L45" s="24"/>
      <c r="M45" s="24"/>
      <c r="N45" s="24"/>
      <c r="O45" s="24"/>
    </row>
    <row r="46" customFormat="false" ht="15.75" hidden="false" customHeight="true" outlineLevel="0" collapsed="false">
      <c r="A46" s="23"/>
      <c r="B46" s="24"/>
      <c r="C46" s="24"/>
      <c r="D46" s="24"/>
      <c r="E46" s="24"/>
      <c r="F46" s="25"/>
      <c r="G46" s="30" t="str">
        <f aca="false">CVSSv2!$A$7</f>
        <v>Impacto a la confidencialidad:</v>
      </c>
      <c r="H46" s="31" t="s">
        <v>711</v>
      </c>
      <c r="I46" s="33"/>
      <c r="J46" s="23"/>
      <c r="K46" s="23"/>
      <c r="L46" s="24"/>
      <c r="M46" s="24"/>
      <c r="N46" s="24"/>
      <c r="O46" s="24"/>
    </row>
    <row r="47" customFormat="false" ht="15.75" hidden="false" customHeight="true" outlineLevel="0" collapsed="false">
      <c r="A47" s="23"/>
      <c r="B47" s="24"/>
      <c r="C47" s="24"/>
      <c r="D47" s="24"/>
      <c r="E47" s="24"/>
      <c r="F47" s="25"/>
      <c r="G47" s="30" t="str">
        <f aca="false">CVSSv2!$A$8</f>
        <v>Impacto a la integridad:</v>
      </c>
      <c r="H47" s="31" t="s">
        <v>711</v>
      </c>
      <c r="I47" s="33"/>
      <c r="J47" s="23"/>
      <c r="K47" s="23"/>
      <c r="L47" s="24"/>
      <c r="M47" s="24"/>
      <c r="N47" s="24"/>
      <c r="O47" s="24"/>
    </row>
    <row r="48" customFormat="false" ht="15.75" hidden="false" customHeight="true" outlineLevel="0" collapsed="false">
      <c r="A48" s="23"/>
      <c r="B48" s="24"/>
      <c r="C48" s="24"/>
      <c r="D48" s="24"/>
      <c r="E48" s="24"/>
      <c r="F48" s="25"/>
      <c r="G48" s="30" t="str">
        <f aca="false">CVSSv2!$A$9</f>
        <v>Impacto a la disponibilidad:</v>
      </c>
      <c r="H48" s="31" t="s">
        <v>711</v>
      </c>
      <c r="I48" s="33"/>
      <c r="J48" s="23"/>
      <c r="K48" s="23"/>
      <c r="L48" s="24"/>
      <c r="M48" s="24"/>
      <c r="N48" s="24"/>
      <c r="O48" s="24"/>
    </row>
    <row r="49" customFormat="false" ht="15.75" hidden="false" customHeight="true" outlineLevel="0" collapsed="false">
      <c r="A49" s="23"/>
      <c r="B49" s="24"/>
      <c r="C49" s="24"/>
      <c r="D49" s="24"/>
      <c r="E49" s="24"/>
      <c r="F49" s="25"/>
      <c r="G49" s="30" t="str">
        <f aca="false">CVSSv2!$A$10</f>
        <v>Explotabilidad:</v>
      </c>
      <c r="H49" s="31" t="s">
        <v>712</v>
      </c>
      <c r="I49" s="33"/>
      <c r="J49" s="23"/>
      <c r="K49" s="23"/>
      <c r="L49" s="24"/>
      <c r="M49" s="24"/>
      <c r="N49" s="24"/>
      <c r="O49" s="24"/>
    </row>
    <row r="50" customFormat="false" ht="15.75" hidden="false" customHeight="true" outlineLevel="0" collapsed="false">
      <c r="A50" s="23"/>
      <c r="B50" s="24"/>
      <c r="C50" s="24"/>
      <c r="D50" s="24"/>
      <c r="E50" s="24"/>
      <c r="F50" s="25"/>
      <c r="G50" s="30" t="str">
        <f aca="false">CVSSv2!$A$11</f>
        <v>Nivel de resolución:</v>
      </c>
      <c r="H50" s="31" t="s">
        <v>713</v>
      </c>
      <c r="I50" s="33"/>
      <c r="J50" s="23"/>
      <c r="K50" s="23"/>
      <c r="L50" s="24"/>
      <c r="M50" s="24"/>
      <c r="N50" s="24"/>
      <c r="O50" s="24"/>
    </row>
    <row r="51" customFormat="false" ht="15.75" hidden="false" customHeight="true" outlineLevel="0" collapsed="false">
      <c r="A51" s="23"/>
      <c r="B51" s="24"/>
      <c r="C51" s="24"/>
      <c r="D51" s="24"/>
      <c r="E51" s="24"/>
      <c r="F51" s="25"/>
      <c r="G51" s="30" t="str">
        <f aca="false">CVSSv2!$A$12</f>
        <v>Nivel de confianza:</v>
      </c>
      <c r="H51" s="31" t="s">
        <v>714</v>
      </c>
      <c r="I51" s="33"/>
      <c r="J51" s="23"/>
      <c r="K51" s="23"/>
      <c r="L51" s="24"/>
      <c r="M51" s="24"/>
      <c r="N51" s="24"/>
      <c r="O51" s="24"/>
    </row>
    <row r="52" customFormat="false" ht="15.75" hidden="false" customHeight="true" outlineLevel="0" collapsed="false">
      <c r="A52" s="23"/>
      <c r="B52" s="24"/>
      <c r="C52" s="24"/>
      <c r="D52" s="24"/>
      <c r="E52" s="24"/>
      <c r="F52" s="25"/>
      <c r="G52" s="32" t="str">
        <f aca="false">"("&amp;CVSSv2!$B$4&amp;":"&amp;IF(H43=CVSSv2!$C$4,CVSSv2!$C$26,IF(H43=CVSSv2!$D$4,CVSSv2!$D$26,IF(H43=CVSSv2!$E$4,CVSSv2!$E$26,"")))&amp;"/"&amp;CVSSv2!$B$5&amp;":"&amp;IF(H44=CVSSv2!$C$5,CVSSv2!$C$27,IF(H44=CVSSv2!$D$5,CVSSv2!$D$27,IF(H44=CVSSv2!$E$5,CVSSv2!$E$27,"")))&amp;"/"&amp;CVSSv2!$B$6&amp;":"&amp;IF(H45=CVSSv2!$C$6,CVSSv2!$C$28,IF(H45=CVSSv2!$D$6,CVSSv2!$D$28,IF(H45=CVSSv2!$E$6,CVSSv2!$E$28,"")))&amp;"/"&amp;CVSSv2!$B$7&amp;":"&amp;IF(H46=CVSSv2!$C$7,CVSSv2!$C$29,IF(H46=CVSSv2!$D$7,CVSSv2!$D$29,IF(H46=CVSSv2!$E$7,CVSSv2!$E$29,"")))&amp;"/"&amp;CVSSv2!$B$8&amp;":"&amp;IF(H47=CVSSv2!$C$8,CVSSv2!$C$30,IF(H47=CVSSv2!$D$8,CVSSv2!$D$30,IF(H47=CVSSv2!$E$8,CVSSv2!$E$30,"")))&amp;"/"&amp;CVSSv2!$B$9&amp;":"&amp;IF(H48=CVSSv2!$C$9,CVSSv2!$C$31,IF(H48=CVSSv2!$D$9,CVSSv2!$D$31,IF(H48=CVSSv2!$E$9,CVSSv2!$E$31,"")))&amp;"/"&amp;CVSSv2!$B$10&amp;":"&amp;IF(H49=CVSSv2!$C$10,CVSSv2!$C$32,IF(H49=CVSSv2!$D$10,CVSSv2!$D$32,IF(H49=CVSSv2!$E$10,CVSSv2!$E$32,IF(H49=CVSSv2!$F$10,CVSSv2!$F$32,""))))&amp;"/"&amp;CVSSv2!$B$11&amp;":"&amp;IF(H50=CVSSv2!$C$11,CVSSv2!$C$33,IF(H50=CVSSv2!$D$11,CVSSv2!$D$33,IF(H50=CVSSv2!$E$11,CVSSv2!$E$33,IF(H50=CVSSv2!$F$11,CVSSv2!$F$33,""))))&amp;"/"&amp;CVSSv2!$B$12&amp;":"&amp;IF(H51=CVSSv2!$C$12,CVSSv2!$C$34,IF(H51=CVSSv2!$D$12,CVSSv2!$D$34,IF(H51=CVSSv2!$E$12,CVSSv2!$E$34,"")))&amp;")"</f>
        <v>(AV:N/AC:L/Au:N/C:C/I:C/A:C/E:H/RL:W/RC:C)</v>
      </c>
      <c r="H52" s="32"/>
      <c r="I52" s="33"/>
      <c r="J52" s="23"/>
      <c r="K52" s="23"/>
      <c r="L52" s="24"/>
      <c r="M52" s="24"/>
      <c r="N52" s="24"/>
      <c r="O52" s="24"/>
    </row>
    <row r="53" customFormat="false" ht="15.75" hidden="false" customHeight="true" outlineLevel="0" collapsed="false">
      <c r="A53" s="23" t="n">
        <v>6</v>
      </c>
      <c r="B53" s="24" t="s">
        <v>719</v>
      </c>
      <c r="C53" s="24" t="s">
        <v>17</v>
      </c>
      <c r="D53" s="24" t="s">
        <v>17</v>
      </c>
      <c r="E53" s="24" t="s">
        <v>17</v>
      </c>
      <c r="F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3" s="26" t="str">
        <f aca="false">CVSSv2!$A$4</f>
        <v>Vector de acceso:</v>
      </c>
      <c r="H53" s="27" t="s">
        <v>706</v>
      </c>
      <c r="I53" s="33" t="n">
        <f aca="false">ROUND(((0.6*(10.41*(1-(1-IF(H56=CVSSv2!$C$7,CVSSv2!$C$18,IF(H56=CVSSv2!$D$7,CVSSv2!$D$18,IF(H56=CVSSv2!$E$7,CVSSv2!$E$18,0))))*(1-IF(H57=CVSSv2!$C$8,CVSSv2!$C$19,IF(H57=CVSSv2!$D$8,CVSSv2!$D$19,IF(H57=CVSSv2!$E$8,CVSSv2!$E$19,0))))*(1-IF(H58=CVSSv2!$C$9,CVSSv2!$C$20,IF(H58=CVSSv2!$D$9,CVSSv2!$D$20,IF(H58=CVSSv2!$E$9,CVSSv2!$E$20,0))))))+0.4*(20*IF(H53=CVSSv2!$C$4,CVSSv2!$C$15,IF(H53=CVSSv2!$D$4,CVSSv2!$D$15,IF(H53=CVSSv2!$E$4,CVSSv2!$E$15,0)))*IF(H54=CVSSv2!$C$5,CVSSv2!$C$16,IF(H54=CVSSv2!$D$5,CVSSv2!$D$16,IF(H54=CVSSv2!$E$5,CVSSv2!$E$16,0)))*IF(H55=CVSSv2!$C$6,CVSSv2!$C$17,IF(H55=CVSSv2!$D$6,CVSSv2!$D$17,IF(H55=CVSSv2!$E$6,CVSSv2!$E$17,0))))-1.5)*(IF(10.41*(1-(1-IF(H56=CVSSv2!$C$7,CVSSv2!$C$18,IF(H56=CVSSv2!$D$7,CVSSv2!$D$18,IF(H56=CVSSv2!$E$7,CVSSv2!$E$18,0))))*(1-IF(H57=CVSSv2!$C$8,CVSSv2!$C$19,IF(H57=CVSSv2!$D$8,CVSSv2!$D$19,IF(H57=CVSSv2!$E$8,CVSSv2!$E$19,0))))*(1-IF(H58=CVSSv2!$C$9,CVSSv2!$C$20,IF(H58=CVSSv2!$D$9,CVSSv2!$D$20,IF(H58=CVSSv2!$E$9,CVSSv2!$E$20,0)))))=0,0,1.176)))*(IF(H59=CVSSv2!$C$10,CVSSv2!$C$21,IF(H59=CVSSv2!$D$10,CVSSv2!$D$21,IF(H59=CVSSv2!$E$10,CVSSv2!$E$21,IF(H59=CVSSv2!$F$10,CVSSv2!$F$21,0))))*IF(H60=CVSSv2!$C$11,CVSSv2!$C$22,IF(H60=CVSSv2!$D$11,CVSSv2!$D$22,IF(H60=CVSSv2!$E$11,CVSSv2!$E$22,IF(H60=CVSSv2!$F$11,CVSSv2!$F$22,0))))*IF(H61=CVSSv2!$C$12,CVSSv2!$C$23,IF(H61=CVSSv2!$D$12,CVSSv2!$D$23,IF(H61=CVSSv2!$E$12,CVSSv2!$E$23,0)))),1)</f>
        <v>9.5</v>
      </c>
      <c r="J53" s="23" t="n">
        <v>0</v>
      </c>
      <c r="K53" s="23" t="n">
        <v>0</v>
      </c>
      <c r="L53" s="24" t="s">
        <v>17</v>
      </c>
      <c r="M53" s="24" t="s">
        <v>17</v>
      </c>
      <c r="N53" s="24" t="s">
        <v>707</v>
      </c>
      <c r="O53" s="24" t="s">
        <v>708</v>
      </c>
    </row>
    <row r="54" customFormat="false" ht="15.75" hidden="false" customHeight="true" outlineLevel="0" collapsed="false">
      <c r="A54" s="23"/>
      <c r="B54" s="24"/>
      <c r="C54" s="24"/>
      <c r="D54" s="24"/>
      <c r="E54" s="24"/>
      <c r="F54" s="25"/>
      <c r="G54" s="30" t="str">
        <f aca="false">CVSSv2!$A$5</f>
        <v>Complejidad de acceso:</v>
      </c>
      <c r="H54" s="31" t="s">
        <v>709</v>
      </c>
      <c r="I54" s="33"/>
      <c r="J54" s="23"/>
      <c r="K54" s="23"/>
      <c r="L54" s="24"/>
      <c r="M54" s="24"/>
      <c r="N54" s="24"/>
      <c r="O54" s="24"/>
    </row>
    <row r="55" customFormat="false" ht="15.75" hidden="false" customHeight="true" outlineLevel="0" collapsed="false">
      <c r="A55" s="23"/>
      <c r="B55" s="24"/>
      <c r="C55" s="24"/>
      <c r="D55" s="24"/>
      <c r="E55" s="24"/>
      <c r="F55" s="25"/>
      <c r="G55" s="30" t="str">
        <f aca="false">CVSSv2!$A$6</f>
        <v>Autenticación:</v>
      </c>
      <c r="H55" s="31" t="s">
        <v>710</v>
      </c>
      <c r="I55" s="33"/>
      <c r="J55" s="23"/>
      <c r="K55" s="23"/>
      <c r="L55" s="24"/>
      <c r="M55" s="24"/>
      <c r="N55" s="24"/>
      <c r="O55" s="24"/>
    </row>
    <row r="56" customFormat="false" ht="15.75" hidden="false" customHeight="true" outlineLevel="0" collapsed="false">
      <c r="A56" s="23"/>
      <c r="B56" s="24"/>
      <c r="C56" s="24"/>
      <c r="D56" s="24"/>
      <c r="E56" s="24"/>
      <c r="F56" s="25"/>
      <c r="G56" s="30" t="str">
        <f aca="false">CVSSv2!$A$7</f>
        <v>Impacto a la confidencialidad:</v>
      </c>
      <c r="H56" s="31" t="s">
        <v>711</v>
      </c>
      <c r="I56" s="33"/>
      <c r="J56" s="23"/>
      <c r="K56" s="23"/>
      <c r="L56" s="24"/>
      <c r="M56" s="24"/>
      <c r="N56" s="24"/>
      <c r="O56" s="24"/>
    </row>
    <row r="57" customFormat="false" ht="15.75" hidden="false" customHeight="true" outlineLevel="0" collapsed="false">
      <c r="A57" s="23"/>
      <c r="B57" s="24"/>
      <c r="C57" s="24"/>
      <c r="D57" s="24"/>
      <c r="E57" s="24"/>
      <c r="F57" s="25"/>
      <c r="G57" s="30" t="str">
        <f aca="false">CVSSv2!$A$8</f>
        <v>Impacto a la integridad:</v>
      </c>
      <c r="H57" s="31" t="s">
        <v>711</v>
      </c>
      <c r="I57" s="33"/>
      <c r="J57" s="23"/>
      <c r="K57" s="23"/>
      <c r="L57" s="24"/>
      <c r="M57" s="24"/>
      <c r="N57" s="24"/>
      <c r="O57" s="24"/>
    </row>
    <row r="58" customFormat="false" ht="15.75" hidden="false" customHeight="true" outlineLevel="0" collapsed="false">
      <c r="A58" s="23"/>
      <c r="B58" s="24"/>
      <c r="C58" s="24"/>
      <c r="D58" s="24"/>
      <c r="E58" s="24"/>
      <c r="F58" s="25"/>
      <c r="G58" s="30" t="str">
        <f aca="false">CVSSv2!$A$9</f>
        <v>Impacto a la disponibilidad:</v>
      </c>
      <c r="H58" s="31" t="s">
        <v>711</v>
      </c>
      <c r="I58" s="33"/>
      <c r="J58" s="23"/>
      <c r="K58" s="23"/>
      <c r="L58" s="24"/>
      <c r="M58" s="24"/>
      <c r="N58" s="24"/>
      <c r="O58" s="24"/>
    </row>
    <row r="59" customFormat="false" ht="15.75" hidden="false" customHeight="true" outlineLevel="0" collapsed="false">
      <c r="A59" s="23"/>
      <c r="B59" s="24"/>
      <c r="C59" s="24"/>
      <c r="D59" s="24"/>
      <c r="E59" s="24"/>
      <c r="F59" s="25"/>
      <c r="G59" s="30" t="str">
        <f aca="false">CVSSv2!$A$10</f>
        <v>Explotabilidad:</v>
      </c>
      <c r="H59" s="31" t="s">
        <v>712</v>
      </c>
      <c r="I59" s="33"/>
      <c r="J59" s="23"/>
      <c r="K59" s="23"/>
      <c r="L59" s="24"/>
      <c r="M59" s="24"/>
      <c r="N59" s="24"/>
      <c r="O59" s="24"/>
    </row>
    <row r="60" customFormat="false" ht="15.75" hidden="false" customHeight="true" outlineLevel="0" collapsed="false">
      <c r="A60" s="23"/>
      <c r="B60" s="24"/>
      <c r="C60" s="24"/>
      <c r="D60" s="24"/>
      <c r="E60" s="24"/>
      <c r="F60" s="25"/>
      <c r="G60" s="30" t="str">
        <f aca="false">CVSSv2!$A$11</f>
        <v>Nivel de resolución:</v>
      </c>
      <c r="H60" s="31" t="s">
        <v>713</v>
      </c>
      <c r="I60" s="33"/>
      <c r="J60" s="23"/>
      <c r="K60" s="23"/>
      <c r="L60" s="24"/>
      <c r="M60" s="24"/>
      <c r="N60" s="24"/>
      <c r="O60" s="24"/>
    </row>
    <row r="61" customFormat="false" ht="15.75" hidden="false" customHeight="true" outlineLevel="0" collapsed="false">
      <c r="A61" s="23"/>
      <c r="B61" s="24"/>
      <c r="C61" s="24"/>
      <c r="D61" s="24"/>
      <c r="E61" s="24"/>
      <c r="F61" s="25"/>
      <c r="G61" s="30" t="str">
        <f aca="false">CVSSv2!$A$12</f>
        <v>Nivel de confianza:</v>
      </c>
      <c r="H61" s="31" t="s">
        <v>714</v>
      </c>
      <c r="I61" s="33"/>
      <c r="J61" s="23"/>
      <c r="K61" s="23"/>
      <c r="L61" s="24"/>
      <c r="M61" s="24"/>
      <c r="N61" s="24"/>
      <c r="O61" s="24"/>
    </row>
    <row r="62" customFormat="false" ht="15.75" hidden="false" customHeight="true" outlineLevel="0" collapsed="false">
      <c r="A62" s="23"/>
      <c r="B62" s="24"/>
      <c r="C62" s="24"/>
      <c r="D62" s="24"/>
      <c r="E62" s="24"/>
      <c r="F62" s="25"/>
      <c r="G62" s="32" t="str">
        <f aca="false">"("&amp;CVSSv2!$B$4&amp;":"&amp;IF(H53=CVSSv2!$C$4,CVSSv2!$C$26,IF(H53=CVSSv2!$D$4,CVSSv2!$D$26,IF(H53=CVSSv2!$E$4,CVSSv2!$E$26,"")))&amp;"/"&amp;CVSSv2!$B$5&amp;":"&amp;IF(H54=CVSSv2!$C$5,CVSSv2!$C$27,IF(H54=CVSSv2!$D$5,CVSSv2!$D$27,IF(H54=CVSSv2!$E$5,CVSSv2!$E$27,"")))&amp;"/"&amp;CVSSv2!$B$6&amp;":"&amp;IF(H55=CVSSv2!$C$6,CVSSv2!$C$28,IF(H55=CVSSv2!$D$6,CVSSv2!$D$28,IF(H55=CVSSv2!$E$6,CVSSv2!$E$28,"")))&amp;"/"&amp;CVSSv2!$B$7&amp;":"&amp;IF(H56=CVSSv2!$C$7,CVSSv2!$C$29,IF(H56=CVSSv2!$D$7,CVSSv2!$D$29,IF(H56=CVSSv2!$E$7,CVSSv2!$E$29,"")))&amp;"/"&amp;CVSSv2!$B$8&amp;":"&amp;IF(H57=CVSSv2!$C$8,CVSSv2!$C$30,IF(H57=CVSSv2!$D$8,CVSSv2!$D$30,IF(H57=CVSSv2!$E$8,CVSSv2!$E$30,"")))&amp;"/"&amp;CVSSv2!$B$9&amp;":"&amp;IF(H58=CVSSv2!$C$9,CVSSv2!$C$31,IF(H58=CVSSv2!$D$9,CVSSv2!$D$31,IF(H58=CVSSv2!$E$9,CVSSv2!$E$31,"")))&amp;"/"&amp;CVSSv2!$B$10&amp;":"&amp;IF(H59=CVSSv2!$C$10,CVSSv2!$C$32,IF(H59=CVSSv2!$D$10,CVSSv2!$D$32,IF(H59=CVSSv2!$E$10,CVSSv2!$E$32,IF(H59=CVSSv2!$F$10,CVSSv2!$F$32,""))))&amp;"/"&amp;CVSSv2!$B$11&amp;":"&amp;IF(H60=CVSSv2!$C$11,CVSSv2!$C$33,IF(H60=CVSSv2!$D$11,CVSSv2!$D$33,IF(H60=CVSSv2!$E$11,CVSSv2!$E$33,IF(H60=CVSSv2!$F$11,CVSSv2!$F$33,""))))&amp;"/"&amp;CVSSv2!$B$12&amp;":"&amp;IF(H61=CVSSv2!$C$12,CVSSv2!$C$34,IF(H61=CVSSv2!$D$12,CVSSv2!$D$34,IF(H61=CVSSv2!$E$12,CVSSv2!$E$34,"")))&amp;")"</f>
        <v>(AV:N/AC:L/Au:N/C:C/I:C/A:C/E:H/RL:W/RC:C)</v>
      </c>
      <c r="H62" s="32"/>
      <c r="I62" s="33"/>
      <c r="J62" s="23"/>
      <c r="K62" s="23"/>
      <c r="L62" s="24"/>
      <c r="M62" s="24"/>
      <c r="N62" s="24"/>
      <c r="O62" s="24"/>
    </row>
    <row r="63" customFormat="false" ht="15.75" hidden="false" customHeight="true" outlineLevel="0" collapsed="false">
      <c r="A63" s="23" t="n">
        <v>7</v>
      </c>
      <c r="B63" s="24" t="s">
        <v>720</v>
      </c>
      <c r="C63" s="24" t="s">
        <v>17</v>
      </c>
      <c r="D63" s="24" t="s">
        <v>17</v>
      </c>
      <c r="E63" s="24" t="s">
        <v>17</v>
      </c>
      <c r="F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63" s="26" t="str">
        <f aca="false">CVSSv2!$A$4</f>
        <v>Vector de acceso:</v>
      </c>
      <c r="H63" s="27" t="s">
        <v>706</v>
      </c>
      <c r="I63" s="33" t="n">
        <f aca="false">ROUND(((0.6*(10.41*(1-(1-IF(H66=CVSSv2!$C$7,CVSSv2!$C$18,IF(H66=CVSSv2!$D$7,CVSSv2!$D$18,IF(H66=CVSSv2!$E$7,CVSSv2!$E$18,0))))*(1-IF(H67=CVSSv2!$C$8,CVSSv2!$C$19,IF(H67=CVSSv2!$D$8,CVSSv2!$D$19,IF(H67=CVSSv2!$E$8,CVSSv2!$E$19,0))))*(1-IF(H68=CVSSv2!$C$9,CVSSv2!$C$20,IF(H68=CVSSv2!$D$9,CVSSv2!$D$20,IF(H68=CVSSv2!$E$9,CVSSv2!$E$20,0))))))+0.4*(20*IF(H63=CVSSv2!$C$4,CVSSv2!$C$15,IF(H63=CVSSv2!$D$4,CVSSv2!$D$15,IF(H63=CVSSv2!$E$4,CVSSv2!$E$15,0)))*IF(H64=CVSSv2!$C$5,CVSSv2!$C$16,IF(H64=CVSSv2!$D$5,CVSSv2!$D$16,IF(H64=CVSSv2!$E$5,CVSSv2!$E$16,0)))*IF(H65=CVSSv2!$C$6,CVSSv2!$C$17,IF(H65=CVSSv2!$D$6,CVSSv2!$D$17,IF(H65=CVSSv2!$E$6,CVSSv2!$E$17,0))))-1.5)*(IF(10.41*(1-(1-IF(H66=CVSSv2!$C$7,CVSSv2!$C$18,IF(H66=CVSSv2!$D$7,CVSSv2!$D$18,IF(H66=CVSSv2!$E$7,CVSSv2!$E$18,0))))*(1-IF(H67=CVSSv2!$C$8,CVSSv2!$C$19,IF(H67=CVSSv2!$D$8,CVSSv2!$D$19,IF(H67=CVSSv2!$E$8,CVSSv2!$E$19,0))))*(1-IF(H68=CVSSv2!$C$9,CVSSv2!$C$20,IF(H68=CVSSv2!$D$9,CVSSv2!$D$20,IF(H68=CVSSv2!$E$9,CVSSv2!$E$20,0)))))=0,0,1.176)))*(IF(H69=CVSSv2!$C$10,CVSSv2!$C$21,IF(H69=CVSSv2!$D$10,CVSSv2!$D$21,IF(H69=CVSSv2!$E$10,CVSSv2!$E$21,IF(H69=CVSSv2!$F$10,CVSSv2!$F$21,0))))*IF(H70=CVSSv2!$C$11,CVSSv2!$C$22,IF(H70=CVSSv2!$D$11,CVSSv2!$D$22,IF(H70=CVSSv2!$E$11,CVSSv2!$E$22,IF(H70=CVSSv2!$F$11,CVSSv2!$F$22,0))))*IF(H71=CVSSv2!$C$12,CVSSv2!$C$23,IF(H71=CVSSv2!$D$12,CVSSv2!$D$23,IF(H71=CVSSv2!$E$12,CVSSv2!$E$23,0)))),1)</f>
        <v>9.5</v>
      </c>
      <c r="J63" s="23" t="n">
        <v>0</v>
      </c>
      <c r="K63" s="23" t="n">
        <v>0</v>
      </c>
      <c r="L63" s="24" t="s">
        <v>17</v>
      </c>
      <c r="M63" s="24" t="s">
        <v>17</v>
      </c>
      <c r="N63" s="24" t="s">
        <v>707</v>
      </c>
      <c r="O63" s="24" t="s">
        <v>708</v>
      </c>
    </row>
    <row r="64" customFormat="false" ht="15.75" hidden="false" customHeight="true" outlineLevel="0" collapsed="false">
      <c r="A64" s="23"/>
      <c r="B64" s="24"/>
      <c r="C64" s="24"/>
      <c r="D64" s="24"/>
      <c r="E64" s="24"/>
      <c r="F64" s="25"/>
      <c r="G64" s="30" t="str">
        <f aca="false">CVSSv2!$A$5</f>
        <v>Complejidad de acceso:</v>
      </c>
      <c r="H64" s="31" t="s">
        <v>709</v>
      </c>
      <c r="I64" s="33"/>
      <c r="J64" s="23"/>
      <c r="K64" s="23"/>
      <c r="L64" s="24"/>
      <c r="M64" s="24"/>
      <c r="N64" s="24"/>
      <c r="O64" s="24"/>
    </row>
    <row r="65" customFormat="false" ht="15.75" hidden="false" customHeight="true" outlineLevel="0" collapsed="false">
      <c r="A65" s="23"/>
      <c r="B65" s="24"/>
      <c r="C65" s="24"/>
      <c r="D65" s="24"/>
      <c r="E65" s="24"/>
      <c r="F65" s="25"/>
      <c r="G65" s="30" t="str">
        <f aca="false">CVSSv2!$A$6</f>
        <v>Autenticación:</v>
      </c>
      <c r="H65" s="31" t="s">
        <v>710</v>
      </c>
      <c r="I65" s="33"/>
      <c r="J65" s="23"/>
      <c r="K65" s="23"/>
      <c r="L65" s="24"/>
      <c r="M65" s="24"/>
      <c r="N65" s="24"/>
      <c r="O65" s="24"/>
    </row>
    <row r="66" customFormat="false" ht="15.75" hidden="false" customHeight="true" outlineLevel="0" collapsed="false">
      <c r="A66" s="23"/>
      <c r="B66" s="24"/>
      <c r="C66" s="24"/>
      <c r="D66" s="24"/>
      <c r="E66" s="24"/>
      <c r="F66" s="25"/>
      <c r="G66" s="30" t="str">
        <f aca="false">CVSSv2!$A$7</f>
        <v>Impacto a la confidencialidad:</v>
      </c>
      <c r="H66" s="31" t="s">
        <v>711</v>
      </c>
      <c r="I66" s="33"/>
      <c r="J66" s="23"/>
      <c r="K66" s="23"/>
      <c r="L66" s="24"/>
      <c r="M66" s="24"/>
      <c r="N66" s="24"/>
      <c r="O66" s="24"/>
    </row>
    <row r="67" customFormat="false" ht="15.75" hidden="false" customHeight="true" outlineLevel="0" collapsed="false">
      <c r="A67" s="23"/>
      <c r="B67" s="24"/>
      <c r="C67" s="24"/>
      <c r="D67" s="24"/>
      <c r="E67" s="24"/>
      <c r="F67" s="25"/>
      <c r="G67" s="30" t="str">
        <f aca="false">CVSSv2!$A$8</f>
        <v>Impacto a la integridad:</v>
      </c>
      <c r="H67" s="31" t="s">
        <v>711</v>
      </c>
      <c r="I67" s="33"/>
      <c r="J67" s="23"/>
      <c r="K67" s="23"/>
      <c r="L67" s="24"/>
      <c r="M67" s="24"/>
      <c r="N67" s="24"/>
      <c r="O67" s="24"/>
    </row>
    <row r="68" customFormat="false" ht="15.75" hidden="false" customHeight="true" outlineLevel="0" collapsed="false">
      <c r="A68" s="23"/>
      <c r="B68" s="24"/>
      <c r="C68" s="24"/>
      <c r="D68" s="24"/>
      <c r="E68" s="24"/>
      <c r="F68" s="25"/>
      <c r="G68" s="30" t="str">
        <f aca="false">CVSSv2!$A$9</f>
        <v>Impacto a la disponibilidad:</v>
      </c>
      <c r="H68" s="31" t="s">
        <v>711</v>
      </c>
      <c r="I68" s="33"/>
      <c r="J68" s="23"/>
      <c r="K68" s="23"/>
      <c r="L68" s="24"/>
      <c r="M68" s="24"/>
      <c r="N68" s="24"/>
      <c r="O68" s="24"/>
    </row>
    <row r="69" customFormat="false" ht="15.75" hidden="false" customHeight="true" outlineLevel="0" collapsed="false">
      <c r="A69" s="23"/>
      <c r="B69" s="24"/>
      <c r="C69" s="24"/>
      <c r="D69" s="24"/>
      <c r="E69" s="24"/>
      <c r="F69" s="25"/>
      <c r="G69" s="30" t="str">
        <f aca="false">CVSSv2!$A$10</f>
        <v>Explotabilidad:</v>
      </c>
      <c r="H69" s="31" t="s">
        <v>712</v>
      </c>
      <c r="I69" s="33"/>
      <c r="J69" s="23"/>
      <c r="K69" s="23"/>
      <c r="L69" s="24"/>
      <c r="M69" s="24"/>
      <c r="N69" s="24"/>
      <c r="O69" s="24"/>
    </row>
    <row r="70" customFormat="false" ht="15.75" hidden="false" customHeight="true" outlineLevel="0" collapsed="false">
      <c r="A70" s="23"/>
      <c r="B70" s="24"/>
      <c r="C70" s="24"/>
      <c r="D70" s="24"/>
      <c r="E70" s="24"/>
      <c r="F70" s="25"/>
      <c r="G70" s="30" t="str">
        <f aca="false">CVSSv2!$A$11</f>
        <v>Nivel de resolución:</v>
      </c>
      <c r="H70" s="31" t="s">
        <v>713</v>
      </c>
      <c r="I70" s="33"/>
      <c r="J70" s="23"/>
      <c r="K70" s="23"/>
      <c r="L70" s="24"/>
      <c r="M70" s="24"/>
      <c r="N70" s="24"/>
      <c r="O70" s="24"/>
    </row>
    <row r="71" customFormat="false" ht="15.75" hidden="false" customHeight="true" outlineLevel="0" collapsed="false">
      <c r="A71" s="23"/>
      <c r="B71" s="24"/>
      <c r="C71" s="24"/>
      <c r="D71" s="24"/>
      <c r="E71" s="24"/>
      <c r="F71" s="25"/>
      <c r="G71" s="30" t="str">
        <f aca="false">CVSSv2!$A$12</f>
        <v>Nivel de confianza:</v>
      </c>
      <c r="H71" s="31" t="s">
        <v>714</v>
      </c>
      <c r="I71" s="33"/>
      <c r="J71" s="23"/>
      <c r="K71" s="23"/>
      <c r="L71" s="24"/>
      <c r="M71" s="24"/>
      <c r="N71" s="24"/>
      <c r="O71" s="24"/>
    </row>
    <row r="72" customFormat="false" ht="15.75" hidden="false" customHeight="true" outlineLevel="0" collapsed="false">
      <c r="A72" s="23"/>
      <c r="B72" s="24"/>
      <c r="C72" s="24"/>
      <c r="D72" s="24"/>
      <c r="E72" s="24"/>
      <c r="F72" s="25"/>
      <c r="G72" s="32" t="str">
        <f aca="false">"("&amp;CVSSv2!$B$4&amp;":"&amp;IF(H63=CVSSv2!$C$4,CVSSv2!$C$26,IF(H63=CVSSv2!$D$4,CVSSv2!$D$26,IF(H63=CVSSv2!$E$4,CVSSv2!$E$26,"")))&amp;"/"&amp;CVSSv2!$B$5&amp;":"&amp;IF(H64=CVSSv2!$C$5,CVSSv2!$C$27,IF(H64=CVSSv2!$D$5,CVSSv2!$D$27,IF(H64=CVSSv2!$E$5,CVSSv2!$E$27,"")))&amp;"/"&amp;CVSSv2!$B$6&amp;":"&amp;IF(H65=CVSSv2!$C$6,CVSSv2!$C$28,IF(H65=CVSSv2!$D$6,CVSSv2!$D$28,IF(H65=CVSSv2!$E$6,CVSSv2!$E$28,"")))&amp;"/"&amp;CVSSv2!$B$7&amp;":"&amp;IF(H66=CVSSv2!$C$7,CVSSv2!$C$29,IF(H66=CVSSv2!$D$7,CVSSv2!$D$29,IF(H66=CVSSv2!$E$7,CVSSv2!$E$29,"")))&amp;"/"&amp;CVSSv2!$B$8&amp;":"&amp;IF(H67=CVSSv2!$C$8,CVSSv2!$C$30,IF(H67=CVSSv2!$D$8,CVSSv2!$D$30,IF(H67=CVSSv2!$E$8,CVSSv2!$E$30,"")))&amp;"/"&amp;CVSSv2!$B$9&amp;":"&amp;IF(H68=CVSSv2!$C$9,CVSSv2!$C$31,IF(H68=CVSSv2!$D$9,CVSSv2!$D$31,IF(H68=CVSSv2!$E$9,CVSSv2!$E$31,"")))&amp;"/"&amp;CVSSv2!$B$10&amp;":"&amp;IF(H69=CVSSv2!$C$10,CVSSv2!$C$32,IF(H69=CVSSv2!$D$10,CVSSv2!$D$32,IF(H69=CVSSv2!$E$10,CVSSv2!$E$32,IF(H69=CVSSv2!$F$10,CVSSv2!$F$32,""))))&amp;"/"&amp;CVSSv2!$B$11&amp;":"&amp;IF(H70=CVSSv2!$C$11,CVSSv2!$C$33,IF(H70=CVSSv2!$D$11,CVSSv2!$D$33,IF(H70=CVSSv2!$E$11,CVSSv2!$E$33,IF(H70=CVSSv2!$F$11,CVSSv2!$F$33,""))))&amp;"/"&amp;CVSSv2!$B$12&amp;":"&amp;IF(H71=CVSSv2!$C$12,CVSSv2!$C$34,IF(H71=CVSSv2!$D$12,CVSSv2!$D$34,IF(H71=CVSSv2!$E$12,CVSSv2!$E$34,"")))&amp;")"</f>
        <v>(AV:N/AC:L/Au:N/C:C/I:C/A:C/E:H/RL:W/RC:C)</v>
      </c>
      <c r="H72" s="32"/>
      <c r="I72" s="33"/>
      <c r="J72" s="23"/>
      <c r="K72" s="23"/>
      <c r="L72" s="24"/>
      <c r="M72" s="24"/>
      <c r="N72" s="24"/>
      <c r="O72" s="24"/>
    </row>
    <row r="73" customFormat="false" ht="15.75" hidden="false" customHeight="true" outlineLevel="0" collapsed="false">
      <c r="A73" s="23" t="n">
        <v>8</v>
      </c>
      <c r="B73" s="24" t="s">
        <v>721</v>
      </c>
      <c r="C73" s="24" t="s">
        <v>17</v>
      </c>
      <c r="D73" s="24" t="s">
        <v>17</v>
      </c>
      <c r="E73" s="24" t="s">
        <v>17</v>
      </c>
      <c r="F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73" s="26" t="str">
        <f aca="false">CVSSv2!$A$4</f>
        <v>Vector de acceso:</v>
      </c>
      <c r="H73" s="27" t="s">
        <v>706</v>
      </c>
      <c r="I73" s="33" t="n">
        <f aca="false">ROUND(((0.6*(10.41*(1-(1-IF(H76=CVSSv2!$C$7,CVSSv2!$C$18,IF(H76=CVSSv2!$D$7,CVSSv2!$D$18,IF(H76=CVSSv2!$E$7,CVSSv2!$E$18,0))))*(1-IF(H77=CVSSv2!$C$8,CVSSv2!$C$19,IF(H77=CVSSv2!$D$8,CVSSv2!$D$19,IF(H77=CVSSv2!$E$8,CVSSv2!$E$19,0))))*(1-IF(H78=CVSSv2!$C$9,CVSSv2!$C$20,IF(H78=CVSSv2!$D$9,CVSSv2!$D$20,IF(H78=CVSSv2!$E$9,CVSSv2!$E$20,0))))))+0.4*(20*IF(H73=CVSSv2!$C$4,CVSSv2!$C$15,IF(H73=CVSSv2!$D$4,CVSSv2!$D$15,IF(H73=CVSSv2!$E$4,CVSSv2!$E$15,0)))*IF(H74=CVSSv2!$C$5,CVSSv2!$C$16,IF(H74=CVSSv2!$D$5,CVSSv2!$D$16,IF(H74=CVSSv2!$E$5,CVSSv2!$E$16,0)))*IF(H75=CVSSv2!$C$6,CVSSv2!$C$17,IF(H75=CVSSv2!$D$6,CVSSv2!$D$17,IF(H75=CVSSv2!$E$6,CVSSv2!$E$17,0))))-1.5)*(IF(10.41*(1-(1-IF(H76=CVSSv2!$C$7,CVSSv2!$C$18,IF(H76=CVSSv2!$D$7,CVSSv2!$D$18,IF(H76=CVSSv2!$E$7,CVSSv2!$E$18,0))))*(1-IF(H77=CVSSv2!$C$8,CVSSv2!$C$19,IF(H77=CVSSv2!$D$8,CVSSv2!$D$19,IF(H77=CVSSv2!$E$8,CVSSv2!$E$19,0))))*(1-IF(H78=CVSSv2!$C$9,CVSSv2!$C$20,IF(H78=CVSSv2!$D$9,CVSSv2!$D$20,IF(H78=CVSSv2!$E$9,CVSSv2!$E$20,0)))))=0,0,1.176)))*(IF(H79=CVSSv2!$C$10,CVSSv2!$C$21,IF(H79=CVSSv2!$D$10,CVSSv2!$D$21,IF(H79=CVSSv2!$E$10,CVSSv2!$E$21,IF(H79=CVSSv2!$F$10,CVSSv2!$F$21,0))))*IF(H80=CVSSv2!$C$11,CVSSv2!$C$22,IF(H80=CVSSv2!$D$11,CVSSv2!$D$22,IF(H80=CVSSv2!$E$11,CVSSv2!$E$22,IF(H80=CVSSv2!$F$11,CVSSv2!$F$22,0))))*IF(H81=CVSSv2!$C$12,CVSSv2!$C$23,IF(H81=CVSSv2!$D$12,CVSSv2!$D$23,IF(H81=CVSSv2!$E$12,CVSSv2!$E$23,0)))),1)</f>
        <v>9.5</v>
      </c>
      <c r="J73" s="23" t="n">
        <v>0</v>
      </c>
      <c r="K73" s="23" t="n">
        <v>0</v>
      </c>
      <c r="L73" s="24" t="s">
        <v>17</v>
      </c>
      <c r="M73" s="24" t="s">
        <v>17</v>
      </c>
      <c r="N73" s="24" t="s">
        <v>707</v>
      </c>
      <c r="O73" s="24" t="s">
        <v>708</v>
      </c>
    </row>
    <row r="74" customFormat="false" ht="15.75" hidden="false" customHeight="true" outlineLevel="0" collapsed="false">
      <c r="A74" s="23"/>
      <c r="B74" s="24"/>
      <c r="C74" s="24"/>
      <c r="D74" s="24"/>
      <c r="E74" s="24"/>
      <c r="F74" s="25"/>
      <c r="G74" s="30" t="str">
        <f aca="false">CVSSv2!$A$5</f>
        <v>Complejidad de acceso:</v>
      </c>
      <c r="H74" s="31" t="s">
        <v>709</v>
      </c>
      <c r="I74" s="33"/>
      <c r="J74" s="23"/>
      <c r="K74" s="23"/>
      <c r="L74" s="24"/>
      <c r="M74" s="24"/>
      <c r="N74" s="24"/>
      <c r="O74" s="24"/>
    </row>
    <row r="75" customFormat="false" ht="15.75" hidden="false" customHeight="true" outlineLevel="0" collapsed="false">
      <c r="A75" s="23"/>
      <c r="B75" s="24"/>
      <c r="C75" s="24"/>
      <c r="D75" s="24"/>
      <c r="E75" s="24"/>
      <c r="F75" s="25"/>
      <c r="G75" s="30" t="str">
        <f aca="false">CVSSv2!$A$6</f>
        <v>Autenticación:</v>
      </c>
      <c r="H75" s="31" t="s">
        <v>710</v>
      </c>
      <c r="I75" s="33"/>
      <c r="J75" s="23"/>
      <c r="K75" s="23"/>
      <c r="L75" s="24"/>
      <c r="M75" s="24"/>
      <c r="N75" s="24"/>
      <c r="O75" s="24"/>
    </row>
    <row r="76" customFormat="false" ht="15.75" hidden="false" customHeight="true" outlineLevel="0" collapsed="false">
      <c r="A76" s="23"/>
      <c r="B76" s="24"/>
      <c r="C76" s="24"/>
      <c r="D76" s="24"/>
      <c r="E76" s="24"/>
      <c r="F76" s="25"/>
      <c r="G76" s="30" t="str">
        <f aca="false">CVSSv2!$A$7</f>
        <v>Impacto a la confidencialidad:</v>
      </c>
      <c r="H76" s="31" t="s">
        <v>711</v>
      </c>
      <c r="I76" s="33"/>
      <c r="J76" s="23"/>
      <c r="K76" s="23"/>
      <c r="L76" s="24"/>
      <c r="M76" s="24"/>
      <c r="N76" s="24"/>
      <c r="O76" s="24"/>
    </row>
    <row r="77" customFormat="false" ht="15.75" hidden="false" customHeight="true" outlineLevel="0" collapsed="false">
      <c r="A77" s="23"/>
      <c r="B77" s="24"/>
      <c r="C77" s="24"/>
      <c r="D77" s="24"/>
      <c r="E77" s="24"/>
      <c r="F77" s="25"/>
      <c r="G77" s="30" t="str">
        <f aca="false">CVSSv2!$A$8</f>
        <v>Impacto a la integridad:</v>
      </c>
      <c r="H77" s="31" t="s">
        <v>711</v>
      </c>
      <c r="I77" s="33"/>
      <c r="J77" s="23"/>
      <c r="K77" s="23"/>
      <c r="L77" s="24"/>
      <c r="M77" s="24"/>
      <c r="N77" s="24"/>
      <c r="O77" s="24"/>
    </row>
    <row r="78" customFormat="false" ht="15.75" hidden="false" customHeight="true" outlineLevel="0" collapsed="false">
      <c r="A78" s="23"/>
      <c r="B78" s="24"/>
      <c r="C78" s="24"/>
      <c r="D78" s="24"/>
      <c r="E78" s="24"/>
      <c r="F78" s="25"/>
      <c r="G78" s="30" t="str">
        <f aca="false">CVSSv2!$A$9</f>
        <v>Impacto a la disponibilidad:</v>
      </c>
      <c r="H78" s="31" t="s">
        <v>711</v>
      </c>
      <c r="I78" s="33"/>
      <c r="J78" s="23"/>
      <c r="K78" s="23"/>
      <c r="L78" s="24"/>
      <c r="M78" s="24"/>
      <c r="N78" s="24"/>
      <c r="O78" s="24"/>
    </row>
    <row r="79" customFormat="false" ht="15.75" hidden="false" customHeight="true" outlineLevel="0" collapsed="false">
      <c r="A79" s="23"/>
      <c r="B79" s="24"/>
      <c r="C79" s="24"/>
      <c r="D79" s="24"/>
      <c r="E79" s="24"/>
      <c r="F79" s="25"/>
      <c r="G79" s="30" t="str">
        <f aca="false">CVSSv2!$A$10</f>
        <v>Explotabilidad:</v>
      </c>
      <c r="H79" s="31" t="s">
        <v>712</v>
      </c>
      <c r="I79" s="33"/>
      <c r="J79" s="23"/>
      <c r="K79" s="23"/>
      <c r="L79" s="24"/>
      <c r="M79" s="24"/>
      <c r="N79" s="24"/>
      <c r="O79" s="24"/>
    </row>
    <row r="80" customFormat="false" ht="15.75" hidden="false" customHeight="true" outlineLevel="0" collapsed="false">
      <c r="A80" s="23"/>
      <c r="B80" s="24"/>
      <c r="C80" s="24"/>
      <c r="D80" s="24"/>
      <c r="E80" s="24"/>
      <c r="F80" s="25"/>
      <c r="G80" s="30" t="str">
        <f aca="false">CVSSv2!$A$11</f>
        <v>Nivel de resolución:</v>
      </c>
      <c r="H80" s="31" t="s">
        <v>713</v>
      </c>
      <c r="I80" s="33"/>
      <c r="J80" s="23"/>
      <c r="K80" s="23"/>
      <c r="L80" s="24"/>
      <c r="M80" s="24"/>
      <c r="N80" s="24"/>
      <c r="O80" s="24"/>
    </row>
    <row r="81" customFormat="false" ht="15.75" hidden="false" customHeight="true" outlineLevel="0" collapsed="false">
      <c r="A81" s="23"/>
      <c r="B81" s="24"/>
      <c r="C81" s="24"/>
      <c r="D81" s="24"/>
      <c r="E81" s="24"/>
      <c r="F81" s="25"/>
      <c r="G81" s="30" t="str">
        <f aca="false">CVSSv2!$A$12</f>
        <v>Nivel de confianza:</v>
      </c>
      <c r="H81" s="31" t="s">
        <v>714</v>
      </c>
      <c r="I81" s="33"/>
      <c r="J81" s="23"/>
      <c r="K81" s="23"/>
      <c r="L81" s="24"/>
      <c r="M81" s="24"/>
      <c r="N81" s="24"/>
      <c r="O81" s="24"/>
    </row>
    <row r="82" customFormat="false" ht="15.75" hidden="false" customHeight="true" outlineLevel="0" collapsed="false">
      <c r="A82" s="23"/>
      <c r="B82" s="24"/>
      <c r="C82" s="24"/>
      <c r="D82" s="24"/>
      <c r="E82" s="24"/>
      <c r="F82" s="25"/>
      <c r="G82" s="32" t="str">
        <f aca="false">"("&amp;CVSSv2!$B$4&amp;":"&amp;IF(H73=CVSSv2!$C$4,CVSSv2!$C$26,IF(H73=CVSSv2!$D$4,CVSSv2!$D$26,IF(H73=CVSSv2!$E$4,CVSSv2!$E$26,"")))&amp;"/"&amp;CVSSv2!$B$5&amp;":"&amp;IF(H74=CVSSv2!$C$5,CVSSv2!$C$27,IF(H74=CVSSv2!$D$5,CVSSv2!$D$27,IF(H74=CVSSv2!$E$5,CVSSv2!$E$27,"")))&amp;"/"&amp;CVSSv2!$B$6&amp;":"&amp;IF(H75=CVSSv2!$C$6,CVSSv2!$C$28,IF(H75=CVSSv2!$D$6,CVSSv2!$D$28,IF(H75=CVSSv2!$E$6,CVSSv2!$E$28,"")))&amp;"/"&amp;CVSSv2!$B$7&amp;":"&amp;IF(H76=CVSSv2!$C$7,CVSSv2!$C$29,IF(H76=CVSSv2!$D$7,CVSSv2!$D$29,IF(H76=CVSSv2!$E$7,CVSSv2!$E$29,"")))&amp;"/"&amp;CVSSv2!$B$8&amp;":"&amp;IF(H77=CVSSv2!$C$8,CVSSv2!$C$30,IF(H77=CVSSv2!$D$8,CVSSv2!$D$30,IF(H77=CVSSv2!$E$8,CVSSv2!$E$30,"")))&amp;"/"&amp;CVSSv2!$B$9&amp;":"&amp;IF(H78=CVSSv2!$C$9,CVSSv2!$C$31,IF(H78=CVSSv2!$D$9,CVSSv2!$D$31,IF(H78=CVSSv2!$E$9,CVSSv2!$E$31,"")))&amp;"/"&amp;CVSSv2!$B$10&amp;":"&amp;IF(H79=CVSSv2!$C$10,CVSSv2!$C$32,IF(H79=CVSSv2!$D$10,CVSSv2!$D$32,IF(H79=CVSSv2!$E$10,CVSSv2!$E$32,IF(H79=CVSSv2!$F$10,CVSSv2!$F$32,""))))&amp;"/"&amp;CVSSv2!$B$11&amp;":"&amp;IF(H80=CVSSv2!$C$11,CVSSv2!$C$33,IF(H80=CVSSv2!$D$11,CVSSv2!$D$33,IF(H80=CVSSv2!$E$11,CVSSv2!$E$33,IF(H80=CVSSv2!$F$11,CVSSv2!$F$33,""))))&amp;"/"&amp;CVSSv2!$B$12&amp;":"&amp;IF(H81=CVSSv2!$C$12,CVSSv2!$C$34,IF(H81=CVSSv2!$D$12,CVSSv2!$D$34,IF(H81=CVSSv2!$E$12,CVSSv2!$E$34,"")))&amp;")"</f>
        <v>(AV:N/AC:L/Au:N/C:C/I:C/A:C/E:H/RL:W/RC:C)</v>
      </c>
      <c r="H82" s="32"/>
      <c r="I82" s="33"/>
      <c r="J82" s="23"/>
      <c r="K82" s="23"/>
      <c r="L82" s="24"/>
      <c r="M82" s="24"/>
      <c r="N82" s="24"/>
      <c r="O82" s="24"/>
    </row>
    <row r="83" customFormat="false" ht="15.75" hidden="false" customHeight="true" outlineLevel="0" collapsed="false">
      <c r="A83" s="23" t="n">
        <v>9</v>
      </c>
      <c r="B83" s="24" t="s">
        <v>722</v>
      </c>
      <c r="C83" s="24" t="s">
        <v>17</v>
      </c>
      <c r="D83" s="24" t="s">
        <v>17</v>
      </c>
      <c r="E83" s="24" t="s">
        <v>17</v>
      </c>
      <c r="F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83" s="26" t="str">
        <f aca="false">CVSSv2!$A$4</f>
        <v>Vector de acceso:</v>
      </c>
      <c r="H83" s="27" t="s">
        <v>706</v>
      </c>
      <c r="I83" s="33" t="n">
        <f aca="false">ROUND(((0.6*(10.41*(1-(1-IF(H86=CVSSv2!$C$7,CVSSv2!$C$18,IF(H86=CVSSv2!$D$7,CVSSv2!$D$18,IF(H86=CVSSv2!$E$7,CVSSv2!$E$18,0))))*(1-IF(H87=CVSSv2!$C$8,CVSSv2!$C$19,IF(H87=CVSSv2!$D$8,CVSSv2!$D$19,IF(H87=CVSSv2!$E$8,CVSSv2!$E$19,0))))*(1-IF(H88=CVSSv2!$C$9,CVSSv2!$C$20,IF(H88=CVSSv2!$D$9,CVSSv2!$D$20,IF(H88=CVSSv2!$E$9,CVSSv2!$E$20,0))))))+0.4*(20*IF(H83=CVSSv2!$C$4,CVSSv2!$C$15,IF(H83=CVSSv2!$D$4,CVSSv2!$D$15,IF(H83=CVSSv2!$E$4,CVSSv2!$E$15,0)))*IF(H84=CVSSv2!$C$5,CVSSv2!$C$16,IF(H84=CVSSv2!$D$5,CVSSv2!$D$16,IF(H84=CVSSv2!$E$5,CVSSv2!$E$16,0)))*IF(H85=CVSSv2!$C$6,CVSSv2!$C$17,IF(H85=CVSSv2!$D$6,CVSSv2!$D$17,IF(H85=CVSSv2!$E$6,CVSSv2!$E$17,0))))-1.5)*(IF(10.41*(1-(1-IF(H86=CVSSv2!$C$7,CVSSv2!$C$18,IF(H86=CVSSv2!$D$7,CVSSv2!$D$18,IF(H86=CVSSv2!$E$7,CVSSv2!$E$18,0))))*(1-IF(H87=CVSSv2!$C$8,CVSSv2!$C$19,IF(H87=CVSSv2!$D$8,CVSSv2!$D$19,IF(H87=CVSSv2!$E$8,CVSSv2!$E$19,0))))*(1-IF(H88=CVSSv2!$C$9,CVSSv2!$C$20,IF(H88=CVSSv2!$D$9,CVSSv2!$D$20,IF(H88=CVSSv2!$E$9,CVSSv2!$E$20,0)))))=0,0,1.176)))*(IF(H89=CVSSv2!$C$10,CVSSv2!$C$21,IF(H89=CVSSv2!$D$10,CVSSv2!$D$21,IF(H89=CVSSv2!$E$10,CVSSv2!$E$21,IF(H89=CVSSv2!$F$10,CVSSv2!$F$21,0))))*IF(H90=CVSSv2!$C$11,CVSSv2!$C$22,IF(H90=CVSSv2!$D$11,CVSSv2!$D$22,IF(H90=CVSSv2!$E$11,CVSSv2!$E$22,IF(H90=CVSSv2!$F$11,CVSSv2!$F$22,0))))*IF(H91=CVSSv2!$C$12,CVSSv2!$C$23,IF(H91=CVSSv2!$D$12,CVSSv2!$D$23,IF(H91=CVSSv2!$E$12,CVSSv2!$E$23,0)))),1)</f>
        <v>9.5</v>
      </c>
      <c r="J83" s="23" t="n">
        <v>0</v>
      </c>
      <c r="K83" s="23" t="n">
        <v>0</v>
      </c>
      <c r="L83" s="24" t="s">
        <v>17</v>
      </c>
      <c r="M83" s="24" t="s">
        <v>17</v>
      </c>
      <c r="N83" s="24" t="s">
        <v>707</v>
      </c>
      <c r="O83" s="24" t="s">
        <v>708</v>
      </c>
    </row>
    <row r="84" customFormat="false" ht="15.75" hidden="false" customHeight="true" outlineLevel="0" collapsed="false">
      <c r="A84" s="23"/>
      <c r="B84" s="24"/>
      <c r="C84" s="24"/>
      <c r="D84" s="24"/>
      <c r="E84" s="24"/>
      <c r="F84" s="25"/>
      <c r="G84" s="30" t="str">
        <f aca="false">CVSSv2!$A$5</f>
        <v>Complejidad de acceso:</v>
      </c>
      <c r="H84" s="31" t="s">
        <v>709</v>
      </c>
      <c r="I84" s="33"/>
      <c r="J84" s="23"/>
      <c r="K84" s="23"/>
      <c r="L84" s="24"/>
      <c r="M84" s="24"/>
      <c r="N84" s="24"/>
      <c r="O84" s="24"/>
    </row>
    <row r="85" customFormat="false" ht="15.75" hidden="false" customHeight="true" outlineLevel="0" collapsed="false">
      <c r="A85" s="23"/>
      <c r="B85" s="24"/>
      <c r="C85" s="24"/>
      <c r="D85" s="24"/>
      <c r="E85" s="24"/>
      <c r="F85" s="25"/>
      <c r="G85" s="30" t="str">
        <f aca="false">CVSSv2!$A$6</f>
        <v>Autenticación:</v>
      </c>
      <c r="H85" s="31" t="s">
        <v>710</v>
      </c>
      <c r="I85" s="33"/>
      <c r="J85" s="23"/>
      <c r="K85" s="23"/>
      <c r="L85" s="24"/>
      <c r="M85" s="24"/>
      <c r="N85" s="24"/>
      <c r="O85" s="24"/>
    </row>
    <row r="86" customFormat="false" ht="15.75" hidden="false" customHeight="true" outlineLevel="0" collapsed="false">
      <c r="A86" s="23"/>
      <c r="B86" s="24"/>
      <c r="C86" s="24"/>
      <c r="D86" s="24"/>
      <c r="E86" s="24"/>
      <c r="F86" s="25"/>
      <c r="G86" s="30" t="str">
        <f aca="false">CVSSv2!$A$7</f>
        <v>Impacto a la confidencialidad:</v>
      </c>
      <c r="H86" s="31" t="s">
        <v>711</v>
      </c>
      <c r="I86" s="33"/>
      <c r="J86" s="23"/>
      <c r="K86" s="23"/>
      <c r="L86" s="24"/>
      <c r="M86" s="24"/>
      <c r="N86" s="24"/>
      <c r="O86" s="24"/>
    </row>
    <row r="87" customFormat="false" ht="15.75" hidden="false" customHeight="true" outlineLevel="0" collapsed="false">
      <c r="A87" s="23"/>
      <c r="B87" s="24"/>
      <c r="C87" s="24"/>
      <c r="D87" s="24"/>
      <c r="E87" s="24"/>
      <c r="F87" s="25"/>
      <c r="G87" s="30" t="str">
        <f aca="false">CVSSv2!$A$8</f>
        <v>Impacto a la integridad:</v>
      </c>
      <c r="H87" s="31" t="s">
        <v>711</v>
      </c>
      <c r="I87" s="33"/>
      <c r="J87" s="23"/>
      <c r="K87" s="23"/>
      <c r="L87" s="24"/>
      <c r="M87" s="24"/>
      <c r="N87" s="24"/>
      <c r="O87" s="24"/>
    </row>
    <row r="88" customFormat="false" ht="15.75" hidden="false" customHeight="true" outlineLevel="0" collapsed="false">
      <c r="A88" s="23"/>
      <c r="B88" s="24"/>
      <c r="C88" s="24"/>
      <c r="D88" s="24"/>
      <c r="E88" s="24"/>
      <c r="F88" s="25"/>
      <c r="G88" s="30" t="str">
        <f aca="false">CVSSv2!$A$9</f>
        <v>Impacto a la disponibilidad:</v>
      </c>
      <c r="H88" s="31" t="s">
        <v>711</v>
      </c>
      <c r="I88" s="33"/>
      <c r="J88" s="23"/>
      <c r="K88" s="23"/>
      <c r="L88" s="24"/>
      <c r="M88" s="24"/>
      <c r="N88" s="24"/>
      <c r="O88" s="24"/>
    </row>
    <row r="89" customFormat="false" ht="15.75" hidden="false" customHeight="true" outlineLevel="0" collapsed="false">
      <c r="A89" s="23"/>
      <c r="B89" s="24"/>
      <c r="C89" s="24"/>
      <c r="D89" s="24"/>
      <c r="E89" s="24"/>
      <c r="F89" s="25"/>
      <c r="G89" s="30" t="str">
        <f aca="false">CVSSv2!$A$10</f>
        <v>Explotabilidad:</v>
      </c>
      <c r="H89" s="31" t="s">
        <v>712</v>
      </c>
      <c r="I89" s="33"/>
      <c r="J89" s="23"/>
      <c r="K89" s="23"/>
      <c r="L89" s="24"/>
      <c r="M89" s="24"/>
      <c r="N89" s="24"/>
      <c r="O89" s="24"/>
    </row>
    <row r="90" customFormat="false" ht="15.75" hidden="false" customHeight="true" outlineLevel="0" collapsed="false">
      <c r="A90" s="23"/>
      <c r="B90" s="24"/>
      <c r="C90" s="24"/>
      <c r="D90" s="24"/>
      <c r="E90" s="24"/>
      <c r="F90" s="25"/>
      <c r="G90" s="30" t="str">
        <f aca="false">CVSSv2!$A$11</f>
        <v>Nivel de resolución:</v>
      </c>
      <c r="H90" s="31" t="s">
        <v>713</v>
      </c>
      <c r="I90" s="33"/>
      <c r="J90" s="23"/>
      <c r="K90" s="23"/>
      <c r="L90" s="24"/>
      <c r="M90" s="24"/>
      <c r="N90" s="24"/>
      <c r="O90" s="24"/>
    </row>
    <row r="91" customFormat="false" ht="15.75" hidden="false" customHeight="true" outlineLevel="0" collapsed="false">
      <c r="A91" s="23"/>
      <c r="B91" s="24"/>
      <c r="C91" s="24"/>
      <c r="D91" s="24"/>
      <c r="E91" s="24"/>
      <c r="F91" s="25"/>
      <c r="G91" s="30" t="str">
        <f aca="false">CVSSv2!$A$12</f>
        <v>Nivel de confianza:</v>
      </c>
      <c r="H91" s="31" t="s">
        <v>714</v>
      </c>
      <c r="I91" s="33"/>
      <c r="J91" s="23"/>
      <c r="K91" s="23"/>
      <c r="L91" s="24"/>
      <c r="M91" s="24"/>
      <c r="N91" s="24"/>
      <c r="O91" s="24"/>
    </row>
    <row r="92" customFormat="false" ht="15.75" hidden="false" customHeight="true" outlineLevel="0" collapsed="false">
      <c r="A92" s="23"/>
      <c r="B92" s="24"/>
      <c r="C92" s="24"/>
      <c r="D92" s="24"/>
      <c r="E92" s="24"/>
      <c r="F92" s="25"/>
      <c r="G92" s="32" t="str">
        <f aca="false">"("&amp;CVSSv2!$B$4&amp;":"&amp;IF(H83=CVSSv2!$C$4,CVSSv2!$C$26,IF(H83=CVSSv2!$D$4,CVSSv2!$D$26,IF(H83=CVSSv2!$E$4,CVSSv2!$E$26,"")))&amp;"/"&amp;CVSSv2!$B$5&amp;":"&amp;IF(H84=CVSSv2!$C$5,CVSSv2!$C$27,IF(H84=CVSSv2!$D$5,CVSSv2!$D$27,IF(H84=CVSSv2!$E$5,CVSSv2!$E$27,"")))&amp;"/"&amp;CVSSv2!$B$6&amp;":"&amp;IF(H85=CVSSv2!$C$6,CVSSv2!$C$28,IF(H85=CVSSv2!$D$6,CVSSv2!$D$28,IF(H85=CVSSv2!$E$6,CVSSv2!$E$28,"")))&amp;"/"&amp;CVSSv2!$B$7&amp;":"&amp;IF(H86=CVSSv2!$C$7,CVSSv2!$C$29,IF(H86=CVSSv2!$D$7,CVSSv2!$D$29,IF(H86=CVSSv2!$E$7,CVSSv2!$E$29,"")))&amp;"/"&amp;CVSSv2!$B$8&amp;":"&amp;IF(H87=CVSSv2!$C$8,CVSSv2!$C$30,IF(H87=CVSSv2!$D$8,CVSSv2!$D$30,IF(H87=CVSSv2!$E$8,CVSSv2!$E$30,"")))&amp;"/"&amp;CVSSv2!$B$9&amp;":"&amp;IF(H88=CVSSv2!$C$9,CVSSv2!$C$31,IF(H88=CVSSv2!$D$9,CVSSv2!$D$31,IF(H88=CVSSv2!$E$9,CVSSv2!$E$31,"")))&amp;"/"&amp;CVSSv2!$B$10&amp;":"&amp;IF(H89=CVSSv2!$C$10,CVSSv2!$C$32,IF(H89=CVSSv2!$D$10,CVSSv2!$D$32,IF(H89=CVSSv2!$E$10,CVSSv2!$E$32,IF(H89=CVSSv2!$F$10,CVSSv2!$F$32,""))))&amp;"/"&amp;CVSSv2!$B$11&amp;":"&amp;IF(H90=CVSSv2!$C$11,CVSSv2!$C$33,IF(H90=CVSSv2!$D$11,CVSSv2!$D$33,IF(H90=CVSSv2!$E$11,CVSSv2!$E$33,IF(H90=CVSSv2!$F$11,CVSSv2!$F$33,""))))&amp;"/"&amp;CVSSv2!$B$12&amp;":"&amp;IF(H91=CVSSv2!$C$12,CVSSv2!$C$34,IF(H91=CVSSv2!$D$12,CVSSv2!$D$34,IF(H91=CVSSv2!$E$12,CVSSv2!$E$34,"")))&amp;")"</f>
        <v>(AV:N/AC:L/Au:N/C:C/I:C/A:C/E:H/RL:W/RC:C)</v>
      </c>
      <c r="H92" s="32"/>
      <c r="I92" s="33"/>
      <c r="J92" s="23"/>
      <c r="K92" s="23"/>
      <c r="L92" s="24"/>
      <c r="M92" s="24"/>
      <c r="N92" s="24"/>
      <c r="O92" s="24"/>
    </row>
    <row r="93" customFormat="false" ht="15.75" hidden="false" customHeight="true" outlineLevel="0" collapsed="false">
      <c r="A93" s="23" t="n">
        <v>10</v>
      </c>
      <c r="B93" s="24" t="s">
        <v>723</v>
      </c>
      <c r="C93" s="24" t="s">
        <v>17</v>
      </c>
      <c r="D93" s="24" t="s">
        <v>17</v>
      </c>
      <c r="E93" s="24" t="s">
        <v>17</v>
      </c>
      <c r="F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93" s="26" t="str">
        <f aca="false">CVSSv2!$A$4</f>
        <v>Vector de acceso:</v>
      </c>
      <c r="H93" s="27" t="s">
        <v>706</v>
      </c>
      <c r="I93" s="33" t="n">
        <f aca="false">ROUND(((0.6*(10.41*(1-(1-IF(H96=CVSSv2!$C$7,CVSSv2!$C$18,IF(H96=CVSSv2!$D$7,CVSSv2!$D$18,IF(H96=CVSSv2!$E$7,CVSSv2!$E$18,0))))*(1-IF(H97=CVSSv2!$C$8,CVSSv2!$C$19,IF(H97=CVSSv2!$D$8,CVSSv2!$D$19,IF(H97=CVSSv2!$E$8,CVSSv2!$E$19,0))))*(1-IF(H98=CVSSv2!$C$9,CVSSv2!$C$20,IF(H98=CVSSv2!$D$9,CVSSv2!$D$20,IF(H98=CVSSv2!$E$9,CVSSv2!$E$20,0))))))+0.4*(20*IF(H93=CVSSv2!$C$4,CVSSv2!$C$15,IF(H93=CVSSv2!$D$4,CVSSv2!$D$15,IF(H93=CVSSv2!$E$4,CVSSv2!$E$15,0)))*IF(H94=CVSSv2!$C$5,CVSSv2!$C$16,IF(H94=CVSSv2!$D$5,CVSSv2!$D$16,IF(H94=CVSSv2!$E$5,CVSSv2!$E$16,0)))*IF(H95=CVSSv2!$C$6,CVSSv2!$C$17,IF(H95=CVSSv2!$D$6,CVSSv2!$D$17,IF(H95=CVSSv2!$E$6,CVSSv2!$E$17,0))))-1.5)*(IF(10.41*(1-(1-IF(H96=CVSSv2!$C$7,CVSSv2!$C$18,IF(H96=CVSSv2!$D$7,CVSSv2!$D$18,IF(H96=CVSSv2!$E$7,CVSSv2!$E$18,0))))*(1-IF(H97=CVSSv2!$C$8,CVSSv2!$C$19,IF(H97=CVSSv2!$D$8,CVSSv2!$D$19,IF(H97=CVSSv2!$E$8,CVSSv2!$E$19,0))))*(1-IF(H98=CVSSv2!$C$9,CVSSv2!$C$20,IF(H98=CVSSv2!$D$9,CVSSv2!$D$20,IF(H98=CVSSv2!$E$9,CVSSv2!$E$20,0)))))=0,0,1.176)))*(IF(H99=CVSSv2!$C$10,CVSSv2!$C$21,IF(H99=CVSSv2!$D$10,CVSSv2!$D$21,IF(H99=CVSSv2!$E$10,CVSSv2!$E$21,IF(H99=CVSSv2!$F$10,CVSSv2!$F$21,0))))*IF(H100=CVSSv2!$C$11,CVSSv2!$C$22,IF(H100=CVSSv2!$D$11,CVSSv2!$D$22,IF(H100=CVSSv2!$E$11,CVSSv2!$E$22,IF(H100=CVSSv2!$F$11,CVSSv2!$F$22,0))))*IF(H101=CVSSv2!$C$12,CVSSv2!$C$23,IF(H101=CVSSv2!$D$12,CVSSv2!$D$23,IF(H101=CVSSv2!$E$12,CVSSv2!$E$23,0)))),1)</f>
        <v>9.5</v>
      </c>
      <c r="J93" s="23" t="n">
        <v>0</v>
      </c>
      <c r="K93" s="23" t="n">
        <v>0</v>
      </c>
      <c r="L93" s="24" t="s">
        <v>17</v>
      </c>
      <c r="M93" s="24" t="s">
        <v>17</v>
      </c>
      <c r="N93" s="24" t="s">
        <v>707</v>
      </c>
      <c r="O93" s="24" t="s">
        <v>708</v>
      </c>
    </row>
    <row r="94" customFormat="false" ht="15.75" hidden="false" customHeight="true" outlineLevel="0" collapsed="false">
      <c r="A94" s="23"/>
      <c r="B94" s="24"/>
      <c r="C94" s="24"/>
      <c r="D94" s="24"/>
      <c r="E94" s="24"/>
      <c r="F94" s="25"/>
      <c r="G94" s="30" t="str">
        <f aca="false">CVSSv2!$A$5</f>
        <v>Complejidad de acceso:</v>
      </c>
      <c r="H94" s="31" t="s">
        <v>709</v>
      </c>
      <c r="I94" s="33"/>
      <c r="J94" s="23"/>
      <c r="K94" s="23"/>
      <c r="L94" s="24"/>
      <c r="M94" s="24"/>
      <c r="N94" s="24"/>
      <c r="O94" s="24"/>
    </row>
    <row r="95" customFormat="false" ht="15.75" hidden="false" customHeight="true" outlineLevel="0" collapsed="false">
      <c r="A95" s="23"/>
      <c r="B95" s="24"/>
      <c r="C95" s="24"/>
      <c r="D95" s="24"/>
      <c r="E95" s="24"/>
      <c r="F95" s="25"/>
      <c r="G95" s="30" t="str">
        <f aca="false">CVSSv2!$A$6</f>
        <v>Autenticación:</v>
      </c>
      <c r="H95" s="31" t="s">
        <v>710</v>
      </c>
      <c r="I95" s="33"/>
      <c r="J95" s="23"/>
      <c r="K95" s="23"/>
      <c r="L95" s="24"/>
      <c r="M95" s="24"/>
      <c r="N95" s="24"/>
      <c r="O95" s="24"/>
    </row>
    <row r="96" customFormat="false" ht="15.75" hidden="false" customHeight="true" outlineLevel="0" collapsed="false">
      <c r="A96" s="23"/>
      <c r="B96" s="24"/>
      <c r="C96" s="24"/>
      <c r="D96" s="24"/>
      <c r="E96" s="24"/>
      <c r="F96" s="25"/>
      <c r="G96" s="30" t="str">
        <f aca="false">CVSSv2!$A$7</f>
        <v>Impacto a la confidencialidad:</v>
      </c>
      <c r="H96" s="31" t="s">
        <v>711</v>
      </c>
      <c r="I96" s="33"/>
      <c r="J96" s="23"/>
      <c r="K96" s="23"/>
      <c r="L96" s="24"/>
      <c r="M96" s="24"/>
      <c r="N96" s="24"/>
      <c r="O96" s="24"/>
    </row>
    <row r="97" customFormat="false" ht="15.75" hidden="false" customHeight="true" outlineLevel="0" collapsed="false">
      <c r="A97" s="23"/>
      <c r="B97" s="24"/>
      <c r="C97" s="24"/>
      <c r="D97" s="24"/>
      <c r="E97" s="24"/>
      <c r="F97" s="25"/>
      <c r="G97" s="30" t="str">
        <f aca="false">CVSSv2!$A$8</f>
        <v>Impacto a la integridad:</v>
      </c>
      <c r="H97" s="31" t="s">
        <v>711</v>
      </c>
      <c r="I97" s="33"/>
      <c r="J97" s="23"/>
      <c r="K97" s="23"/>
      <c r="L97" s="24"/>
      <c r="M97" s="24"/>
      <c r="N97" s="24"/>
      <c r="O97" s="24"/>
    </row>
    <row r="98" customFormat="false" ht="15.75" hidden="false" customHeight="true" outlineLevel="0" collapsed="false">
      <c r="A98" s="23"/>
      <c r="B98" s="24"/>
      <c r="C98" s="24"/>
      <c r="D98" s="24"/>
      <c r="E98" s="24"/>
      <c r="F98" s="25"/>
      <c r="G98" s="30" t="str">
        <f aca="false">CVSSv2!$A$9</f>
        <v>Impacto a la disponibilidad:</v>
      </c>
      <c r="H98" s="31" t="s">
        <v>711</v>
      </c>
      <c r="I98" s="33"/>
      <c r="J98" s="23"/>
      <c r="K98" s="23"/>
      <c r="L98" s="24"/>
      <c r="M98" s="24"/>
      <c r="N98" s="24"/>
      <c r="O98" s="24"/>
    </row>
    <row r="99" customFormat="false" ht="15.75" hidden="false" customHeight="true" outlineLevel="0" collapsed="false">
      <c r="A99" s="23"/>
      <c r="B99" s="24"/>
      <c r="C99" s="24"/>
      <c r="D99" s="24"/>
      <c r="E99" s="24"/>
      <c r="F99" s="25"/>
      <c r="G99" s="30" t="str">
        <f aca="false">CVSSv2!$A$10</f>
        <v>Explotabilidad:</v>
      </c>
      <c r="H99" s="31" t="s">
        <v>712</v>
      </c>
      <c r="I99" s="33"/>
      <c r="J99" s="23"/>
      <c r="K99" s="23"/>
      <c r="L99" s="24"/>
      <c r="M99" s="24"/>
      <c r="N99" s="24"/>
      <c r="O99" s="24"/>
    </row>
    <row r="100" customFormat="false" ht="15.75" hidden="false" customHeight="true" outlineLevel="0" collapsed="false">
      <c r="A100" s="23"/>
      <c r="B100" s="24"/>
      <c r="C100" s="24"/>
      <c r="D100" s="24"/>
      <c r="E100" s="24"/>
      <c r="F100" s="25"/>
      <c r="G100" s="30" t="str">
        <f aca="false">CVSSv2!$A$11</f>
        <v>Nivel de resolución:</v>
      </c>
      <c r="H100" s="31" t="s">
        <v>713</v>
      </c>
      <c r="I100" s="33"/>
      <c r="J100" s="23"/>
      <c r="K100" s="23"/>
      <c r="L100" s="24"/>
      <c r="M100" s="24"/>
      <c r="N100" s="24"/>
      <c r="O100" s="24"/>
    </row>
    <row r="101" customFormat="false" ht="15.75" hidden="false" customHeight="true" outlineLevel="0" collapsed="false">
      <c r="A101" s="23"/>
      <c r="B101" s="24"/>
      <c r="C101" s="24"/>
      <c r="D101" s="24"/>
      <c r="E101" s="24"/>
      <c r="F101" s="25"/>
      <c r="G101" s="30" t="str">
        <f aca="false">CVSSv2!$A$12</f>
        <v>Nivel de confianza:</v>
      </c>
      <c r="H101" s="31" t="s">
        <v>714</v>
      </c>
      <c r="I101" s="33"/>
      <c r="J101" s="23"/>
      <c r="K101" s="23"/>
      <c r="L101" s="24"/>
      <c r="M101" s="24"/>
      <c r="N101" s="24"/>
      <c r="O101" s="24"/>
    </row>
    <row r="102" customFormat="false" ht="15.75" hidden="false" customHeight="true" outlineLevel="0" collapsed="false">
      <c r="A102" s="23"/>
      <c r="B102" s="24"/>
      <c r="C102" s="24"/>
      <c r="D102" s="24"/>
      <c r="E102" s="24"/>
      <c r="F102" s="25"/>
      <c r="G102" s="32" t="str">
        <f aca="false">"("&amp;CVSSv2!$B$4&amp;":"&amp;IF(H93=CVSSv2!$C$4,CVSSv2!$C$26,IF(H93=CVSSv2!$D$4,CVSSv2!$D$26,IF(H93=CVSSv2!$E$4,CVSSv2!$E$26,"")))&amp;"/"&amp;CVSSv2!$B$5&amp;":"&amp;IF(H94=CVSSv2!$C$5,CVSSv2!$C$27,IF(H94=CVSSv2!$D$5,CVSSv2!$D$27,IF(H94=CVSSv2!$E$5,CVSSv2!$E$27,"")))&amp;"/"&amp;CVSSv2!$B$6&amp;":"&amp;IF(H95=CVSSv2!$C$6,CVSSv2!$C$28,IF(H95=CVSSv2!$D$6,CVSSv2!$D$28,IF(H95=CVSSv2!$E$6,CVSSv2!$E$28,"")))&amp;"/"&amp;CVSSv2!$B$7&amp;":"&amp;IF(H96=CVSSv2!$C$7,CVSSv2!$C$29,IF(H96=CVSSv2!$D$7,CVSSv2!$D$29,IF(H96=CVSSv2!$E$7,CVSSv2!$E$29,"")))&amp;"/"&amp;CVSSv2!$B$8&amp;":"&amp;IF(H97=CVSSv2!$C$8,CVSSv2!$C$30,IF(H97=CVSSv2!$D$8,CVSSv2!$D$30,IF(H97=CVSSv2!$E$8,CVSSv2!$E$30,"")))&amp;"/"&amp;CVSSv2!$B$9&amp;":"&amp;IF(H98=CVSSv2!$C$9,CVSSv2!$C$31,IF(H98=CVSSv2!$D$9,CVSSv2!$D$31,IF(H98=CVSSv2!$E$9,CVSSv2!$E$31,"")))&amp;"/"&amp;CVSSv2!$B$10&amp;":"&amp;IF(H99=CVSSv2!$C$10,CVSSv2!$C$32,IF(H99=CVSSv2!$D$10,CVSSv2!$D$32,IF(H99=CVSSv2!$E$10,CVSSv2!$E$32,IF(H99=CVSSv2!$F$10,CVSSv2!$F$32,""))))&amp;"/"&amp;CVSSv2!$B$11&amp;":"&amp;IF(H100=CVSSv2!$C$11,CVSSv2!$C$33,IF(H100=CVSSv2!$D$11,CVSSv2!$D$33,IF(H100=CVSSv2!$E$11,CVSSv2!$E$33,IF(H100=CVSSv2!$F$11,CVSSv2!$F$33,""))))&amp;"/"&amp;CVSSv2!$B$12&amp;":"&amp;IF(H101=CVSSv2!$C$12,CVSSv2!$C$34,IF(H101=CVSSv2!$D$12,CVSSv2!$D$34,IF(H101=CVSSv2!$E$12,CVSSv2!$E$34,"")))&amp;")"</f>
        <v>(AV:N/AC:L/Au:N/C:C/I:C/A:C/E:H/RL:W/RC:C)</v>
      </c>
      <c r="H102" s="32"/>
      <c r="I102" s="33"/>
      <c r="J102" s="23"/>
      <c r="K102" s="23"/>
      <c r="L102" s="24"/>
      <c r="M102" s="24"/>
      <c r="N102" s="24"/>
      <c r="O102" s="24"/>
    </row>
    <row r="103" customFormat="false" ht="15.75" hidden="false" customHeight="true" outlineLevel="0" collapsed="false">
      <c r="A103" s="23" t="n">
        <v>11</v>
      </c>
      <c r="B103" s="24" t="s">
        <v>724</v>
      </c>
      <c r="C103" s="24" t="s">
        <v>17</v>
      </c>
      <c r="D103" s="24" t="s">
        <v>17</v>
      </c>
      <c r="E103" s="24" t="s">
        <v>17</v>
      </c>
      <c r="F1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03" s="26" t="str">
        <f aca="false">CVSSv2!$A$4</f>
        <v>Vector de acceso:</v>
      </c>
      <c r="H103" s="27" t="s">
        <v>706</v>
      </c>
      <c r="I103" s="33" t="n">
        <f aca="false">ROUND(((0.6*(10.41*(1-(1-IF(H106=CVSSv2!$C$7,CVSSv2!$C$18,IF(H106=CVSSv2!$D$7,CVSSv2!$D$18,IF(H106=CVSSv2!$E$7,CVSSv2!$E$18,0))))*(1-IF(H107=CVSSv2!$C$8,CVSSv2!$C$19,IF(H107=CVSSv2!$D$8,CVSSv2!$D$19,IF(H107=CVSSv2!$E$8,CVSSv2!$E$19,0))))*(1-IF(H108=CVSSv2!$C$9,CVSSv2!$C$20,IF(H108=CVSSv2!$D$9,CVSSv2!$D$20,IF(H108=CVSSv2!$E$9,CVSSv2!$E$20,0))))))+0.4*(20*IF(H103=CVSSv2!$C$4,CVSSv2!$C$15,IF(H103=CVSSv2!$D$4,CVSSv2!$D$15,IF(H103=CVSSv2!$E$4,CVSSv2!$E$15,0)))*IF(H104=CVSSv2!$C$5,CVSSv2!$C$16,IF(H104=CVSSv2!$D$5,CVSSv2!$D$16,IF(H104=CVSSv2!$E$5,CVSSv2!$E$16,0)))*IF(H105=CVSSv2!$C$6,CVSSv2!$C$17,IF(H105=CVSSv2!$D$6,CVSSv2!$D$17,IF(H105=CVSSv2!$E$6,CVSSv2!$E$17,0))))-1.5)*(IF(10.41*(1-(1-IF(H106=CVSSv2!$C$7,CVSSv2!$C$18,IF(H106=CVSSv2!$D$7,CVSSv2!$D$18,IF(H106=CVSSv2!$E$7,CVSSv2!$E$18,0))))*(1-IF(H107=CVSSv2!$C$8,CVSSv2!$C$19,IF(H107=CVSSv2!$D$8,CVSSv2!$D$19,IF(H107=CVSSv2!$E$8,CVSSv2!$E$19,0))))*(1-IF(H108=CVSSv2!$C$9,CVSSv2!$C$20,IF(H108=CVSSv2!$D$9,CVSSv2!$D$20,IF(H108=CVSSv2!$E$9,CVSSv2!$E$20,0)))))=0,0,1.176)))*(IF(H109=CVSSv2!$C$10,CVSSv2!$C$21,IF(H109=CVSSv2!$D$10,CVSSv2!$D$21,IF(H109=CVSSv2!$E$10,CVSSv2!$E$21,IF(H109=CVSSv2!$F$10,CVSSv2!$F$21,0))))*IF(H110=CVSSv2!$C$11,CVSSv2!$C$22,IF(H110=CVSSv2!$D$11,CVSSv2!$D$22,IF(H110=CVSSv2!$E$11,CVSSv2!$E$22,IF(H110=CVSSv2!$F$11,CVSSv2!$F$22,0))))*IF(H111=CVSSv2!$C$12,CVSSv2!$C$23,IF(H111=CVSSv2!$D$12,CVSSv2!$D$23,IF(H111=CVSSv2!$E$12,CVSSv2!$E$23,0)))),1)</f>
        <v>9.5</v>
      </c>
      <c r="J103" s="23" t="n">
        <v>0</v>
      </c>
      <c r="K103" s="23" t="n">
        <v>0</v>
      </c>
      <c r="L103" s="24" t="s">
        <v>17</v>
      </c>
      <c r="M103" s="24" t="s">
        <v>17</v>
      </c>
      <c r="N103" s="24" t="s">
        <v>707</v>
      </c>
      <c r="O103" s="24" t="s">
        <v>708</v>
      </c>
    </row>
    <row r="104" customFormat="false" ht="15.75" hidden="false" customHeight="true" outlineLevel="0" collapsed="false">
      <c r="A104" s="23"/>
      <c r="B104" s="24"/>
      <c r="C104" s="24"/>
      <c r="D104" s="24"/>
      <c r="E104" s="24"/>
      <c r="F104" s="25"/>
      <c r="G104" s="30" t="str">
        <f aca="false">CVSSv2!$A$5</f>
        <v>Complejidad de acceso:</v>
      </c>
      <c r="H104" s="31" t="s">
        <v>709</v>
      </c>
      <c r="I104" s="33"/>
      <c r="J104" s="23"/>
      <c r="K104" s="23"/>
      <c r="L104" s="24"/>
      <c r="M104" s="24"/>
      <c r="N104" s="24"/>
      <c r="O104" s="24"/>
    </row>
    <row r="105" customFormat="false" ht="15.75" hidden="false" customHeight="true" outlineLevel="0" collapsed="false">
      <c r="A105" s="23"/>
      <c r="B105" s="24"/>
      <c r="C105" s="24"/>
      <c r="D105" s="24"/>
      <c r="E105" s="24"/>
      <c r="F105" s="25"/>
      <c r="G105" s="30" t="str">
        <f aca="false">CVSSv2!$A$6</f>
        <v>Autenticación:</v>
      </c>
      <c r="H105" s="31" t="s">
        <v>710</v>
      </c>
      <c r="I105" s="33"/>
      <c r="J105" s="23"/>
      <c r="K105" s="23"/>
      <c r="L105" s="24"/>
      <c r="M105" s="24"/>
      <c r="N105" s="24"/>
      <c r="O105" s="24"/>
    </row>
    <row r="106" customFormat="false" ht="15.75" hidden="false" customHeight="true" outlineLevel="0" collapsed="false">
      <c r="A106" s="23"/>
      <c r="B106" s="24"/>
      <c r="C106" s="24"/>
      <c r="D106" s="24"/>
      <c r="E106" s="24"/>
      <c r="F106" s="25"/>
      <c r="G106" s="30" t="str">
        <f aca="false">CVSSv2!$A$7</f>
        <v>Impacto a la confidencialidad:</v>
      </c>
      <c r="H106" s="31" t="s">
        <v>711</v>
      </c>
      <c r="I106" s="33"/>
      <c r="J106" s="23"/>
      <c r="K106" s="23"/>
      <c r="L106" s="24"/>
      <c r="M106" s="24"/>
      <c r="N106" s="24"/>
      <c r="O106" s="24"/>
    </row>
    <row r="107" customFormat="false" ht="15.75" hidden="false" customHeight="true" outlineLevel="0" collapsed="false">
      <c r="A107" s="23"/>
      <c r="B107" s="24"/>
      <c r="C107" s="24"/>
      <c r="D107" s="24"/>
      <c r="E107" s="24"/>
      <c r="F107" s="25"/>
      <c r="G107" s="30" t="str">
        <f aca="false">CVSSv2!$A$8</f>
        <v>Impacto a la integridad:</v>
      </c>
      <c r="H107" s="31" t="s">
        <v>711</v>
      </c>
      <c r="I107" s="33"/>
      <c r="J107" s="23"/>
      <c r="K107" s="23"/>
      <c r="L107" s="24"/>
      <c r="M107" s="24"/>
      <c r="N107" s="24"/>
      <c r="O107" s="24"/>
    </row>
    <row r="108" customFormat="false" ht="15.75" hidden="false" customHeight="true" outlineLevel="0" collapsed="false">
      <c r="A108" s="23"/>
      <c r="B108" s="24"/>
      <c r="C108" s="24"/>
      <c r="D108" s="24"/>
      <c r="E108" s="24"/>
      <c r="F108" s="25"/>
      <c r="G108" s="30" t="str">
        <f aca="false">CVSSv2!$A$9</f>
        <v>Impacto a la disponibilidad:</v>
      </c>
      <c r="H108" s="31" t="s">
        <v>711</v>
      </c>
      <c r="I108" s="33"/>
      <c r="J108" s="23"/>
      <c r="K108" s="23"/>
      <c r="L108" s="24"/>
      <c r="M108" s="24"/>
      <c r="N108" s="24"/>
      <c r="O108" s="24"/>
    </row>
    <row r="109" customFormat="false" ht="15.75" hidden="false" customHeight="true" outlineLevel="0" collapsed="false">
      <c r="A109" s="23"/>
      <c r="B109" s="24"/>
      <c r="C109" s="24"/>
      <c r="D109" s="24"/>
      <c r="E109" s="24"/>
      <c r="F109" s="25"/>
      <c r="G109" s="30" t="str">
        <f aca="false">CVSSv2!$A$10</f>
        <v>Explotabilidad:</v>
      </c>
      <c r="H109" s="31" t="s">
        <v>712</v>
      </c>
      <c r="I109" s="33"/>
      <c r="J109" s="23"/>
      <c r="K109" s="23"/>
      <c r="L109" s="24"/>
      <c r="M109" s="24"/>
      <c r="N109" s="24"/>
      <c r="O109" s="24"/>
    </row>
    <row r="110" customFormat="false" ht="15.75" hidden="false" customHeight="true" outlineLevel="0" collapsed="false">
      <c r="A110" s="23"/>
      <c r="B110" s="24"/>
      <c r="C110" s="24"/>
      <c r="D110" s="24"/>
      <c r="E110" s="24"/>
      <c r="F110" s="25"/>
      <c r="G110" s="30" t="str">
        <f aca="false">CVSSv2!$A$11</f>
        <v>Nivel de resolución:</v>
      </c>
      <c r="H110" s="31" t="s">
        <v>713</v>
      </c>
      <c r="I110" s="33"/>
      <c r="J110" s="23"/>
      <c r="K110" s="23"/>
      <c r="L110" s="24"/>
      <c r="M110" s="24"/>
      <c r="N110" s="24"/>
      <c r="O110" s="24"/>
    </row>
    <row r="111" customFormat="false" ht="15.75" hidden="false" customHeight="true" outlineLevel="0" collapsed="false">
      <c r="A111" s="23"/>
      <c r="B111" s="24"/>
      <c r="C111" s="24"/>
      <c r="D111" s="24"/>
      <c r="E111" s="24"/>
      <c r="F111" s="25"/>
      <c r="G111" s="30" t="str">
        <f aca="false">CVSSv2!$A$12</f>
        <v>Nivel de confianza:</v>
      </c>
      <c r="H111" s="31" t="s">
        <v>714</v>
      </c>
      <c r="I111" s="33"/>
      <c r="J111" s="23"/>
      <c r="K111" s="23"/>
      <c r="L111" s="24"/>
      <c r="M111" s="24"/>
      <c r="N111" s="24"/>
      <c r="O111" s="24"/>
    </row>
    <row r="112" customFormat="false" ht="15.75" hidden="false" customHeight="true" outlineLevel="0" collapsed="false">
      <c r="A112" s="23"/>
      <c r="B112" s="24"/>
      <c r="C112" s="24"/>
      <c r="D112" s="24"/>
      <c r="E112" s="24"/>
      <c r="F112" s="25"/>
      <c r="G112" s="32" t="str">
        <f aca="false">"("&amp;CVSSv2!$B$4&amp;":"&amp;IF(H103=CVSSv2!$C$4,CVSSv2!$C$26,IF(H103=CVSSv2!$D$4,CVSSv2!$D$26,IF(H103=CVSSv2!$E$4,CVSSv2!$E$26,"")))&amp;"/"&amp;CVSSv2!$B$5&amp;":"&amp;IF(H104=CVSSv2!$C$5,CVSSv2!$C$27,IF(H104=CVSSv2!$D$5,CVSSv2!$D$27,IF(H104=CVSSv2!$E$5,CVSSv2!$E$27,"")))&amp;"/"&amp;CVSSv2!$B$6&amp;":"&amp;IF(H105=CVSSv2!$C$6,CVSSv2!$C$28,IF(H105=CVSSv2!$D$6,CVSSv2!$D$28,IF(H105=CVSSv2!$E$6,CVSSv2!$E$28,"")))&amp;"/"&amp;CVSSv2!$B$7&amp;":"&amp;IF(H106=CVSSv2!$C$7,CVSSv2!$C$29,IF(H106=CVSSv2!$D$7,CVSSv2!$D$29,IF(H106=CVSSv2!$E$7,CVSSv2!$E$29,"")))&amp;"/"&amp;CVSSv2!$B$8&amp;":"&amp;IF(H107=CVSSv2!$C$8,CVSSv2!$C$30,IF(H107=CVSSv2!$D$8,CVSSv2!$D$30,IF(H107=CVSSv2!$E$8,CVSSv2!$E$30,"")))&amp;"/"&amp;CVSSv2!$B$9&amp;":"&amp;IF(H108=CVSSv2!$C$9,CVSSv2!$C$31,IF(H108=CVSSv2!$D$9,CVSSv2!$D$31,IF(H108=CVSSv2!$E$9,CVSSv2!$E$31,"")))&amp;"/"&amp;CVSSv2!$B$10&amp;":"&amp;IF(H109=CVSSv2!$C$10,CVSSv2!$C$32,IF(H109=CVSSv2!$D$10,CVSSv2!$D$32,IF(H109=CVSSv2!$E$10,CVSSv2!$E$32,IF(H109=CVSSv2!$F$10,CVSSv2!$F$32,""))))&amp;"/"&amp;CVSSv2!$B$11&amp;":"&amp;IF(H110=CVSSv2!$C$11,CVSSv2!$C$33,IF(H110=CVSSv2!$D$11,CVSSv2!$D$33,IF(H110=CVSSv2!$E$11,CVSSv2!$E$33,IF(H110=CVSSv2!$F$11,CVSSv2!$F$33,""))))&amp;"/"&amp;CVSSv2!$B$12&amp;":"&amp;IF(H111=CVSSv2!$C$12,CVSSv2!$C$34,IF(H111=CVSSv2!$D$12,CVSSv2!$D$34,IF(H111=CVSSv2!$E$12,CVSSv2!$E$34,"")))&amp;")"</f>
        <v>(AV:N/AC:L/Au:N/C:C/I:C/A:C/E:H/RL:W/RC:C)</v>
      </c>
      <c r="H112" s="32"/>
      <c r="I112" s="33"/>
      <c r="J112" s="23"/>
      <c r="K112" s="23"/>
      <c r="L112" s="24"/>
      <c r="M112" s="24"/>
      <c r="N112" s="24"/>
      <c r="O112" s="24"/>
    </row>
    <row r="113" customFormat="false" ht="15.75" hidden="false" customHeight="true" outlineLevel="0" collapsed="false">
      <c r="A113" s="23" t="n">
        <v>12</v>
      </c>
      <c r="B113" s="24" t="s">
        <v>725</v>
      </c>
      <c r="C113" s="24" t="s">
        <v>17</v>
      </c>
      <c r="D113" s="24" t="s">
        <v>17</v>
      </c>
      <c r="E113" s="24" t="s">
        <v>17</v>
      </c>
      <c r="F1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13" s="26" t="str">
        <f aca="false">CVSSv2!$A$4</f>
        <v>Vector de acceso:</v>
      </c>
      <c r="H113" s="27" t="s">
        <v>706</v>
      </c>
      <c r="I113" s="33" t="n">
        <f aca="false">ROUND(((0.6*(10.41*(1-(1-IF(H116=CVSSv2!$C$7,CVSSv2!$C$18,IF(H116=CVSSv2!$D$7,CVSSv2!$D$18,IF(H116=CVSSv2!$E$7,CVSSv2!$E$18,0))))*(1-IF(H117=CVSSv2!$C$8,CVSSv2!$C$19,IF(H117=CVSSv2!$D$8,CVSSv2!$D$19,IF(H117=CVSSv2!$E$8,CVSSv2!$E$19,0))))*(1-IF(H118=CVSSv2!$C$9,CVSSv2!$C$20,IF(H118=CVSSv2!$D$9,CVSSv2!$D$20,IF(H118=CVSSv2!$E$9,CVSSv2!$E$20,0))))))+0.4*(20*IF(H113=CVSSv2!$C$4,CVSSv2!$C$15,IF(H113=CVSSv2!$D$4,CVSSv2!$D$15,IF(H113=CVSSv2!$E$4,CVSSv2!$E$15,0)))*IF(H114=CVSSv2!$C$5,CVSSv2!$C$16,IF(H114=CVSSv2!$D$5,CVSSv2!$D$16,IF(H114=CVSSv2!$E$5,CVSSv2!$E$16,0)))*IF(H115=CVSSv2!$C$6,CVSSv2!$C$17,IF(H115=CVSSv2!$D$6,CVSSv2!$D$17,IF(H115=CVSSv2!$E$6,CVSSv2!$E$17,0))))-1.5)*(IF(10.41*(1-(1-IF(H116=CVSSv2!$C$7,CVSSv2!$C$18,IF(H116=CVSSv2!$D$7,CVSSv2!$D$18,IF(H116=CVSSv2!$E$7,CVSSv2!$E$18,0))))*(1-IF(H117=CVSSv2!$C$8,CVSSv2!$C$19,IF(H117=CVSSv2!$D$8,CVSSv2!$D$19,IF(H117=CVSSv2!$E$8,CVSSv2!$E$19,0))))*(1-IF(H118=CVSSv2!$C$9,CVSSv2!$C$20,IF(H118=CVSSv2!$D$9,CVSSv2!$D$20,IF(H118=CVSSv2!$E$9,CVSSv2!$E$20,0)))))=0,0,1.176)))*(IF(H119=CVSSv2!$C$10,CVSSv2!$C$21,IF(H119=CVSSv2!$D$10,CVSSv2!$D$21,IF(H119=CVSSv2!$E$10,CVSSv2!$E$21,IF(H119=CVSSv2!$F$10,CVSSv2!$F$21,0))))*IF(H120=CVSSv2!$C$11,CVSSv2!$C$22,IF(H120=CVSSv2!$D$11,CVSSv2!$D$22,IF(H120=CVSSv2!$E$11,CVSSv2!$E$22,IF(H120=CVSSv2!$F$11,CVSSv2!$F$22,0))))*IF(H121=CVSSv2!$C$12,CVSSv2!$C$23,IF(H121=CVSSv2!$D$12,CVSSv2!$D$23,IF(H121=CVSSv2!$E$12,CVSSv2!$E$23,0)))),1)</f>
        <v>9.5</v>
      </c>
      <c r="J113" s="23" t="n">
        <v>0</v>
      </c>
      <c r="K113" s="23" t="n">
        <v>0</v>
      </c>
      <c r="L113" s="24" t="s">
        <v>17</v>
      </c>
      <c r="M113" s="24" t="s">
        <v>17</v>
      </c>
      <c r="N113" s="24" t="s">
        <v>707</v>
      </c>
      <c r="O113" s="24" t="s">
        <v>708</v>
      </c>
    </row>
    <row r="114" customFormat="false" ht="15.75" hidden="false" customHeight="true" outlineLevel="0" collapsed="false">
      <c r="A114" s="23"/>
      <c r="B114" s="24"/>
      <c r="C114" s="24"/>
      <c r="D114" s="24"/>
      <c r="E114" s="24"/>
      <c r="F114" s="25"/>
      <c r="G114" s="30" t="str">
        <f aca="false">CVSSv2!$A$5</f>
        <v>Complejidad de acceso:</v>
      </c>
      <c r="H114" s="31" t="s">
        <v>709</v>
      </c>
      <c r="I114" s="33"/>
      <c r="J114" s="23"/>
      <c r="K114" s="23"/>
      <c r="L114" s="24"/>
      <c r="M114" s="24"/>
      <c r="N114" s="24"/>
      <c r="O114" s="24"/>
    </row>
    <row r="115" customFormat="false" ht="15.75" hidden="false" customHeight="true" outlineLevel="0" collapsed="false">
      <c r="A115" s="23"/>
      <c r="B115" s="24"/>
      <c r="C115" s="24"/>
      <c r="D115" s="24"/>
      <c r="E115" s="24"/>
      <c r="F115" s="25"/>
      <c r="G115" s="30" t="str">
        <f aca="false">CVSSv2!$A$6</f>
        <v>Autenticación:</v>
      </c>
      <c r="H115" s="31" t="s">
        <v>710</v>
      </c>
      <c r="I115" s="33"/>
      <c r="J115" s="23"/>
      <c r="K115" s="23"/>
      <c r="L115" s="24"/>
      <c r="M115" s="24"/>
      <c r="N115" s="24"/>
      <c r="O115" s="24"/>
    </row>
    <row r="116" customFormat="false" ht="15.75" hidden="false" customHeight="true" outlineLevel="0" collapsed="false">
      <c r="A116" s="23"/>
      <c r="B116" s="24"/>
      <c r="C116" s="24"/>
      <c r="D116" s="24"/>
      <c r="E116" s="24"/>
      <c r="F116" s="25"/>
      <c r="G116" s="30" t="str">
        <f aca="false">CVSSv2!$A$7</f>
        <v>Impacto a la confidencialidad:</v>
      </c>
      <c r="H116" s="31" t="s">
        <v>711</v>
      </c>
      <c r="I116" s="33"/>
      <c r="J116" s="23"/>
      <c r="K116" s="23"/>
      <c r="L116" s="24"/>
      <c r="M116" s="24"/>
      <c r="N116" s="24"/>
      <c r="O116" s="24"/>
    </row>
    <row r="117" customFormat="false" ht="15.75" hidden="false" customHeight="true" outlineLevel="0" collapsed="false">
      <c r="A117" s="23"/>
      <c r="B117" s="24"/>
      <c r="C117" s="24"/>
      <c r="D117" s="24"/>
      <c r="E117" s="24"/>
      <c r="F117" s="25"/>
      <c r="G117" s="30" t="str">
        <f aca="false">CVSSv2!$A$8</f>
        <v>Impacto a la integridad:</v>
      </c>
      <c r="H117" s="31" t="s">
        <v>711</v>
      </c>
      <c r="I117" s="33"/>
      <c r="J117" s="23"/>
      <c r="K117" s="23"/>
      <c r="L117" s="24"/>
      <c r="M117" s="24"/>
      <c r="N117" s="24"/>
      <c r="O117" s="24"/>
    </row>
    <row r="118" customFormat="false" ht="15.75" hidden="false" customHeight="true" outlineLevel="0" collapsed="false">
      <c r="A118" s="23"/>
      <c r="B118" s="24"/>
      <c r="C118" s="24"/>
      <c r="D118" s="24"/>
      <c r="E118" s="24"/>
      <c r="F118" s="25"/>
      <c r="G118" s="30" t="str">
        <f aca="false">CVSSv2!$A$9</f>
        <v>Impacto a la disponibilidad:</v>
      </c>
      <c r="H118" s="31" t="s">
        <v>711</v>
      </c>
      <c r="I118" s="33"/>
      <c r="J118" s="23"/>
      <c r="K118" s="23"/>
      <c r="L118" s="24"/>
      <c r="M118" s="24"/>
      <c r="N118" s="24"/>
      <c r="O118" s="24"/>
    </row>
    <row r="119" customFormat="false" ht="15.75" hidden="false" customHeight="true" outlineLevel="0" collapsed="false">
      <c r="A119" s="23"/>
      <c r="B119" s="24"/>
      <c r="C119" s="24"/>
      <c r="D119" s="24"/>
      <c r="E119" s="24"/>
      <c r="F119" s="25"/>
      <c r="G119" s="30" t="str">
        <f aca="false">CVSSv2!$A$10</f>
        <v>Explotabilidad:</v>
      </c>
      <c r="H119" s="31" t="s">
        <v>712</v>
      </c>
      <c r="I119" s="33"/>
      <c r="J119" s="23"/>
      <c r="K119" s="23"/>
      <c r="L119" s="24"/>
      <c r="M119" s="24"/>
      <c r="N119" s="24"/>
      <c r="O119" s="24"/>
    </row>
    <row r="120" customFormat="false" ht="15.75" hidden="false" customHeight="true" outlineLevel="0" collapsed="false">
      <c r="A120" s="23"/>
      <c r="B120" s="24"/>
      <c r="C120" s="24"/>
      <c r="D120" s="24"/>
      <c r="E120" s="24"/>
      <c r="F120" s="25"/>
      <c r="G120" s="30" t="str">
        <f aca="false">CVSSv2!$A$11</f>
        <v>Nivel de resolución:</v>
      </c>
      <c r="H120" s="31" t="s">
        <v>713</v>
      </c>
      <c r="I120" s="33"/>
      <c r="J120" s="23"/>
      <c r="K120" s="23"/>
      <c r="L120" s="24"/>
      <c r="M120" s="24"/>
      <c r="N120" s="24"/>
      <c r="O120" s="24"/>
    </row>
    <row r="121" customFormat="false" ht="15.75" hidden="false" customHeight="true" outlineLevel="0" collapsed="false">
      <c r="A121" s="23"/>
      <c r="B121" s="24"/>
      <c r="C121" s="24"/>
      <c r="D121" s="24"/>
      <c r="E121" s="24"/>
      <c r="F121" s="25"/>
      <c r="G121" s="30" t="str">
        <f aca="false">CVSSv2!$A$12</f>
        <v>Nivel de confianza:</v>
      </c>
      <c r="H121" s="31" t="s">
        <v>714</v>
      </c>
      <c r="I121" s="33"/>
      <c r="J121" s="23"/>
      <c r="K121" s="23"/>
      <c r="L121" s="24"/>
      <c r="M121" s="24"/>
      <c r="N121" s="24"/>
      <c r="O121" s="24"/>
    </row>
    <row r="122" customFormat="false" ht="15.75" hidden="false" customHeight="true" outlineLevel="0" collapsed="false">
      <c r="A122" s="23"/>
      <c r="B122" s="24"/>
      <c r="C122" s="24"/>
      <c r="D122" s="24"/>
      <c r="E122" s="24"/>
      <c r="F122" s="25"/>
      <c r="G122" s="32" t="str">
        <f aca="false">"("&amp;CVSSv2!$B$4&amp;":"&amp;IF(H113=CVSSv2!$C$4,CVSSv2!$C$26,IF(H113=CVSSv2!$D$4,CVSSv2!$D$26,IF(H113=CVSSv2!$E$4,CVSSv2!$E$26,"")))&amp;"/"&amp;CVSSv2!$B$5&amp;":"&amp;IF(H114=CVSSv2!$C$5,CVSSv2!$C$27,IF(H114=CVSSv2!$D$5,CVSSv2!$D$27,IF(H114=CVSSv2!$E$5,CVSSv2!$E$27,"")))&amp;"/"&amp;CVSSv2!$B$6&amp;":"&amp;IF(H115=CVSSv2!$C$6,CVSSv2!$C$28,IF(H115=CVSSv2!$D$6,CVSSv2!$D$28,IF(H115=CVSSv2!$E$6,CVSSv2!$E$28,"")))&amp;"/"&amp;CVSSv2!$B$7&amp;":"&amp;IF(H116=CVSSv2!$C$7,CVSSv2!$C$29,IF(H116=CVSSv2!$D$7,CVSSv2!$D$29,IF(H116=CVSSv2!$E$7,CVSSv2!$E$29,"")))&amp;"/"&amp;CVSSv2!$B$8&amp;":"&amp;IF(H117=CVSSv2!$C$8,CVSSv2!$C$30,IF(H117=CVSSv2!$D$8,CVSSv2!$D$30,IF(H117=CVSSv2!$E$8,CVSSv2!$E$30,"")))&amp;"/"&amp;CVSSv2!$B$9&amp;":"&amp;IF(H118=CVSSv2!$C$9,CVSSv2!$C$31,IF(H118=CVSSv2!$D$9,CVSSv2!$D$31,IF(H118=CVSSv2!$E$9,CVSSv2!$E$31,"")))&amp;"/"&amp;CVSSv2!$B$10&amp;":"&amp;IF(H119=CVSSv2!$C$10,CVSSv2!$C$32,IF(H119=CVSSv2!$D$10,CVSSv2!$D$32,IF(H119=CVSSv2!$E$10,CVSSv2!$E$32,IF(H119=CVSSv2!$F$10,CVSSv2!$F$32,""))))&amp;"/"&amp;CVSSv2!$B$11&amp;":"&amp;IF(H120=CVSSv2!$C$11,CVSSv2!$C$33,IF(H120=CVSSv2!$D$11,CVSSv2!$D$33,IF(H120=CVSSv2!$E$11,CVSSv2!$E$33,IF(H120=CVSSv2!$F$11,CVSSv2!$F$33,""))))&amp;"/"&amp;CVSSv2!$B$12&amp;":"&amp;IF(H121=CVSSv2!$C$12,CVSSv2!$C$34,IF(H121=CVSSv2!$D$12,CVSSv2!$D$34,IF(H121=CVSSv2!$E$12,CVSSv2!$E$34,"")))&amp;")"</f>
        <v>(AV:N/AC:L/Au:N/C:C/I:C/A:C/E:H/RL:W/RC:C)</v>
      </c>
      <c r="H122" s="32"/>
      <c r="I122" s="33"/>
      <c r="J122" s="23"/>
      <c r="K122" s="23"/>
      <c r="L122" s="24"/>
      <c r="M122" s="24"/>
      <c r="N122" s="24"/>
      <c r="O122" s="24"/>
    </row>
    <row r="123" customFormat="false" ht="15.75" hidden="false" customHeight="true" outlineLevel="0" collapsed="false">
      <c r="A123" s="23" t="n">
        <v>13</v>
      </c>
      <c r="B123" s="24" t="s">
        <v>726</v>
      </c>
      <c r="C123" s="24" t="s">
        <v>17</v>
      </c>
      <c r="D123" s="24" t="s">
        <v>17</v>
      </c>
      <c r="E123" s="24" t="s">
        <v>17</v>
      </c>
      <c r="F1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23" s="26" t="str">
        <f aca="false">CVSSv2!$A$4</f>
        <v>Vector de acceso:</v>
      </c>
      <c r="H123" s="27" t="s">
        <v>706</v>
      </c>
      <c r="I123" s="33" t="n">
        <f aca="false">ROUND(((0.6*(10.41*(1-(1-IF(H126=CVSSv2!$C$7,CVSSv2!$C$18,IF(H126=CVSSv2!$D$7,CVSSv2!$D$18,IF(H126=CVSSv2!$E$7,CVSSv2!$E$18,0))))*(1-IF(H127=CVSSv2!$C$8,CVSSv2!$C$19,IF(H127=CVSSv2!$D$8,CVSSv2!$D$19,IF(H127=CVSSv2!$E$8,CVSSv2!$E$19,0))))*(1-IF(H128=CVSSv2!$C$9,CVSSv2!$C$20,IF(H128=CVSSv2!$D$9,CVSSv2!$D$20,IF(H128=CVSSv2!$E$9,CVSSv2!$E$20,0))))))+0.4*(20*IF(H123=CVSSv2!$C$4,CVSSv2!$C$15,IF(H123=CVSSv2!$D$4,CVSSv2!$D$15,IF(H123=CVSSv2!$E$4,CVSSv2!$E$15,0)))*IF(H124=CVSSv2!$C$5,CVSSv2!$C$16,IF(H124=CVSSv2!$D$5,CVSSv2!$D$16,IF(H124=CVSSv2!$E$5,CVSSv2!$E$16,0)))*IF(H125=CVSSv2!$C$6,CVSSv2!$C$17,IF(H125=CVSSv2!$D$6,CVSSv2!$D$17,IF(H125=CVSSv2!$E$6,CVSSv2!$E$17,0))))-1.5)*(IF(10.41*(1-(1-IF(H126=CVSSv2!$C$7,CVSSv2!$C$18,IF(H126=CVSSv2!$D$7,CVSSv2!$D$18,IF(H126=CVSSv2!$E$7,CVSSv2!$E$18,0))))*(1-IF(H127=CVSSv2!$C$8,CVSSv2!$C$19,IF(H127=CVSSv2!$D$8,CVSSv2!$D$19,IF(H127=CVSSv2!$E$8,CVSSv2!$E$19,0))))*(1-IF(H128=CVSSv2!$C$9,CVSSv2!$C$20,IF(H128=CVSSv2!$D$9,CVSSv2!$D$20,IF(H128=CVSSv2!$E$9,CVSSv2!$E$20,0)))))=0,0,1.176)))*(IF(H129=CVSSv2!$C$10,CVSSv2!$C$21,IF(H129=CVSSv2!$D$10,CVSSv2!$D$21,IF(H129=CVSSv2!$E$10,CVSSv2!$E$21,IF(H129=CVSSv2!$F$10,CVSSv2!$F$21,0))))*IF(H130=CVSSv2!$C$11,CVSSv2!$C$22,IF(H130=CVSSv2!$D$11,CVSSv2!$D$22,IF(H130=CVSSv2!$E$11,CVSSv2!$E$22,IF(H130=CVSSv2!$F$11,CVSSv2!$F$22,0))))*IF(H131=CVSSv2!$C$12,CVSSv2!$C$23,IF(H131=CVSSv2!$D$12,CVSSv2!$D$23,IF(H131=CVSSv2!$E$12,CVSSv2!$E$23,0)))),1)</f>
        <v>9.5</v>
      </c>
      <c r="J123" s="23" t="n">
        <v>0</v>
      </c>
      <c r="K123" s="23" t="n">
        <v>0</v>
      </c>
      <c r="L123" s="24" t="s">
        <v>17</v>
      </c>
      <c r="M123" s="24" t="s">
        <v>17</v>
      </c>
      <c r="N123" s="24" t="s">
        <v>707</v>
      </c>
      <c r="O123" s="24" t="s">
        <v>708</v>
      </c>
    </row>
    <row r="124" customFormat="false" ht="15.75" hidden="false" customHeight="true" outlineLevel="0" collapsed="false">
      <c r="A124" s="23"/>
      <c r="B124" s="24"/>
      <c r="C124" s="24"/>
      <c r="D124" s="24"/>
      <c r="E124" s="24"/>
      <c r="F124" s="25"/>
      <c r="G124" s="30" t="str">
        <f aca="false">CVSSv2!$A$5</f>
        <v>Complejidad de acceso:</v>
      </c>
      <c r="H124" s="31" t="s">
        <v>709</v>
      </c>
      <c r="I124" s="33"/>
      <c r="J124" s="23"/>
      <c r="K124" s="23"/>
      <c r="L124" s="24"/>
      <c r="M124" s="24"/>
      <c r="N124" s="24"/>
      <c r="O124" s="24"/>
    </row>
    <row r="125" customFormat="false" ht="15.75" hidden="false" customHeight="true" outlineLevel="0" collapsed="false">
      <c r="A125" s="23"/>
      <c r="B125" s="24"/>
      <c r="C125" s="24"/>
      <c r="D125" s="24"/>
      <c r="E125" s="24"/>
      <c r="F125" s="25"/>
      <c r="G125" s="30" t="str">
        <f aca="false">CVSSv2!$A$6</f>
        <v>Autenticación:</v>
      </c>
      <c r="H125" s="31" t="s">
        <v>710</v>
      </c>
      <c r="I125" s="33"/>
      <c r="J125" s="23"/>
      <c r="K125" s="23"/>
      <c r="L125" s="24"/>
      <c r="M125" s="24"/>
      <c r="N125" s="24"/>
      <c r="O125" s="24"/>
    </row>
    <row r="126" customFormat="false" ht="15.75" hidden="false" customHeight="true" outlineLevel="0" collapsed="false">
      <c r="A126" s="23"/>
      <c r="B126" s="24"/>
      <c r="C126" s="24"/>
      <c r="D126" s="24"/>
      <c r="E126" s="24"/>
      <c r="F126" s="25"/>
      <c r="G126" s="30" t="str">
        <f aca="false">CVSSv2!$A$7</f>
        <v>Impacto a la confidencialidad:</v>
      </c>
      <c r="H126" s="31" t="s">
        <v>711</v>
      </c>
      <c r="I126" s="33"/>
      <c r="J126" s="23"/>
      <c r="K126" s="23"/>
      <c r="L126" s="24"/>
      <c r="M126" s="24"/>
      <c r="N126" s="24"/>
      <c r="O126" s="24"/>
    </row>
    <row r="127" customFormat="false" ht="15.75" hidden="false" customHeight="true" outlineLevel="0" collapsed="false">
      <c r="A127" s="23"/>
      <c r="B127" s="24"/>
      <c r="C127" s="24"/>
      <c r="D127" s="24"/>
      <c r="E127" s="24"/>
      <c r="F127" s="25"/>
      <c r="G127" s="30" t="str">
        <f aca="false">CVSSv2!$A$8</f>
        <v>Impacto a la integridad:</v>
      </c>
      <c r="H127" s="31" t="s">
        <v>711</v>
      </c>
      <c r="I127" s="33"/>
      <c r="J127" s="23"/>
      <c r="K127" s="23"/>
      <c r="L127" s="24"/>
      <c r="M127" s="24"/>
      <c r="N127" s="24"/>
      <c r="O127" s="24"/>
    </row>
    <row r="128" customFormat="false" ht="15.75" hidden="false" customHeight="true" outlineLevel="0" collapsed="false">
      <c r="A128" s="23"/>
      <c r="B128" s="24"/>
      <c r="C128" s="24"/>
      <c r="D128" s="24"/>
      <c r="E128" s="24"/>
      <c r="F128" s="25"/>
      <c r="G128" s="30" t="str">
        <f aca="false">CVSSv2!$A$9</f>
        <v>Impacto a la disponibilidad:</v>
      </c>
      <c r="H128" s="31" t="s">
        <v>711</v>
      </c>
      <c r="I128" s="33"/>
      <c r="J128" s="23"/>
      <c r="K128" s="23"/>
      <c r="L128" s="24"/>
      <c r="M128" s="24"/>
      <c r="N128" s="24"/>
      <c r="O128" s="24"/>
    </row>
    <row r="129" customFormat="false" ht="15.75" hidden="false" customHeight="true" outlineLevel="0" collapsed="false">
      <c r="A129" s="23"/>
      <c r="B129" s="24"/>
      <c r="C129" s="24"/>
      <c r="D129" s="24"/>
      <c r="E129" s="24"/>
      <c r="F129" s="25"/>
      <c r="G129" s="30" t="str">
        <f aca="false">CVSSv2!$A$10</f>
        <v>Explotabilidad:</v>
      </c>
      <c r="H129" s="31" t="s">
        <v>712</v>
      </c>
      <c r="I129" s="33"/>
      <c r="J129" s="23"/>
      <c r="K129" s="23"/>
      <c r="L129" s="24"/>
      <c r="M129" s="24"/>
      <c r="N129" s="24"/>
      <c r="O129" s="24"/>
    </row>
    <row r="130" customFormat="false" ht="15.75" hidden="false" customHeight="true" outlineLevel="0" collapsed="false">
      <c r="A130" s="23"/>
      <c r="B130" s="24"/>
      <c r="C130" s="24"/>
      <c r="D130" s="24"/>
      <c r="E130" s="24"/>
      <c r="F130" s="25"/>
      <c r="G130" s="30" t="str">
        <f aca="false">CVSSv2!$A$11</f>
        <v>Nivel de resolución:</v>
      </c>
      <c r="H130" s="31" t="s">
        <v>713</v>
      </c>
      <c r="I130" s="33"/>
      <c r="J130" s="23"/>
      <c r="K130" s="23"/>
      <c r="L130" s="24"/>
      <c r="M130" s="24"/>
      <c r="N130" s="24"/>
      <c r="O130" s="24"/>
    </row>
    <row r="131" customFormat="false" ht="15.75" hidden="false" customHeight="true" outlineLevel="0" collapsed="false">
      <c r="A131" s="23"/>
      <c r="B131" s="24"/>
      <c r="C131" s="24"/>
      <c r="D131" s="24"/>
      <c r="E131" s="24"/>
      <c r="F131" s="25"/>
      <c r="G131" s="30" t="str">
        <f aca="false">CVSSv2!$A$12</f>
        <v>Nivel de confianza:</v>
      </c>
      <c r="H131" s="31" t="s">
        <v>714</v>
      </c>
      <c r="I131" s="33"/>
      <c r="J131" s="23"/>
      <c r="K131" s="23"/>
      <c r="L131" s="24"/>
      <c r="M131" s="24"/>
      <c r="N131" s="24"/>
      <c r="O131" s="24"/>
    </row>
    <row r="132" customFormat="false" ht="15.75" hidden="false" customHeight="true" outlineLevel="0" collapsed="false">
      <c r="A132" s="23"/>
      <c r="B132" s="24"/>
      <c r="C132" s="24"/>
      <c r="D132" s="24"/>
      <c r="E132" s="24"/>
      <c r="F132" s="25"/>
      <c r="G132" s="32" t="str">
        <f aca="false">"("&amp;CVSSv2!$B$4&amp;":"&amp;IF(H123=CVSSv2!$C$4,CVSSv2!$C$26,IF(H123=CVSSv2!$D$4,CVSSv2!$D$26,IF(H123=CVSSv2!$E$4,CVSSv2!$E$26,"")))&amp;"/"&amp;CVSSv2!$B$5&amp;":"&amp;IF(H124=CVSSv2!$C$5,CVSSv2!$C$27,IF(H124=CVSSv2!$D$5,CVSSv2!$D$27,IF(H124=CVSSv2!$E$5,CVSSv2!$E$27,"")))&amp;"/"&amp;CVSSv2!$B$6&amp;":"&amp;IF(H125=CVSSv2!$C$6,CVSSv2!$C$28,IF(H125=CVSSv2!$D$6,CVSSv2!$D$28,IF(H125=CVSSv2!$E$6,CVSSv2!$E$28,"")))&amp;"/"&amp;CVSSv2!$B$7&amp;":"&amp;IF(H126=CVSSv2!$C$7,CVSSv2!$C$29,IF(H126=CVSSv2!$D$7,CVSSv2!$D$29,IF(H126=CVSSv2!$E$7,CVSSv2!$E$29,"")))&amp;"/"&amp;CVSSv2!$B$8&amp;":"&amp;IF(H127=CVSSv2!$C$8,CVSSv2!$C$30,IF(H127=CVSSv2!$D$8,CVSSv2!$D$30,IF(H127=CVSSv2!$E$8,CVSSv2!$E$30,"")))&amp;"/"&amp;CVSSv2!$B$9&amp;":"&amp;IF(H128=CVSSv2!$C$9,CVSSv2!$C$31,IF(H128=CVSSv2!$D$9,CVSSv2!$D$31,IF(H128=CVSSv2!$E$9,CVSSv2!$E$31,"")))&amp;"/"&amp;CVSSv2!$B$10&amp;":"&amp;IF(H129=CVSSv2!$C$10,CVSSv2!$C$32,IF(H129=CVSSv2!$D$10,CVSSv2!$D$32,IF(H129=CVSSv2!$E$10,CVSSv2!$E$32,IF(H129=CVSSv2!$F$10,CVSSv2!$F$32,""))))&amp;"/"&amp;CVSSv2!$B$11&amp;":"&amp;IF(H130=CVSSv2!$C$11,CVSSv2!$C$33,IF(H130=CVSSv2!$D$11,CVSSv2!$D$33,IF(H130=CVSSv2!$E$11,CVSSv2!$E$33,IF(H130=CVSSv2!$F$11,CVSSv2!$F$33,""))))&amp;"/"&amp;CVSSv2!$B$12&amp;":"&amp;IF(H131=CVSSv2!$C$12,CVSSv2!$C$34,IF(H131=CVSSv2!$D$12,CVSSv2!$D$34,IF(H131=CVSSv2!$E$12,CVSSv2!$E$34,"")))&amp;")"</f>
        <v>(AV:N/AC:L/Au:N/C:C/I:C/A:C/E:H/RL:W/RC:C)</v>
      </c>
      <c r="H132" s="32"/>
      <c r="I132" s="33"/>
      <c r="J132" s="23"/>
      <c r="K132" s="23"/>
      <c r="L132" s="24"/>
      <c r="M132" s="24"/>
      <c r="N132" s="24"/>
      <c r="O132" s="24"/>
    </row>
    <row r="133" customFormat="false" ht="15.75" hidden="false" customHeight="true" outlineLevel="0" collapsed="false">
      <c r="A133" s="23" t="n">
        <v>14</v>
      </c>
      <c r="B133" s="24" t="s">
        <v>727</v>
      </c>
      <c r="C133" s="24" t="s">
        <v>17</v>
      </c>
      <c r="D133" s="24" t="s">
        <v>17</v>
      </c>
      <c r="E133" s="24" t="s">
        <v>17</v>
      </c>
      <c r="F1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3" s="26" t="str">
        <f aca="false">CVSSv2!$A$4</f>
        <v>Vector de acceso:</v>
      </c>
      <c r="H133" s="27" t="s">
        <v>706</v>
      </c>
      <c r="I133" s="33" t="n">
        <f aca="false">ROUND(((0.6*(10.41*(1-(1-IF(H136=CVSSv2!$C$7,CVSSv2!$C$18,IF(H136=CVSSv2!$D$7,CVSSv2!$D$18,IF(H136=CVSSv2!$E$7,CVSSv2!$E$18,0))))*(1-IF(H137=CVSSv2!$C$8,CVSSv2!$C$19,IF(H137=CVSSv2!$D$8,CVSSv2!$D$19,IF(H137=CVSSv2!$E$8,CVSSv2!$E$19,0))))*(1-IF(H138=CVSSv2!$C$9,CVSSv2!$C$20,IF(H138=CVSSv2!$D$9,CVSSv2!$D$20,IF(H138=CVSSv2!$E$9,CVSSv2!$E$20,0))))))+0.4*(20*IF(H133=CVSSv2!$C$4,CVSSv2!$C$15,IF(H133=CVSSv2!$D$4,CVSSv2!$D$15,IF(H133=CVSSv2!$E$4,CVSSv2!$E$15,0)))*IF(H134=CVSSv2!$C$5,CVSSv2!$C$16,IF(H134=CVSSv2!$D$5,CVSSv2!$D$16,IF(H134=CVSSv2!$E$5,CVSSv2!$E$16,0)))*IF(H135=CVSSv2!$C$6,CVSSv2!$C$17,IF(H135=CVSSv2!$D$6,CVSSv2!$D$17,IF(H135=CVSSv2!$E$6,CVSSv2!$E$17,0))))-1.5)*(IF(10.41*(1-(1-IF(H136=CVSSv2!$C$7,CVSSv2!$C$18,IF(H136=CVSSv2!$D$7,CVSSv2!$D$18,IF(H136=CVSSv2!$E$7,CVSSv2!$E$18,0))))*(1-IF(H137=CVSSv2!$C$8,CVSSv2!$C$19,IF(H137=CVSSv2!$D$8,CVSSv2!$D$19,IF(H137=CVSSv2!$E$8,CVSSv2!$E$19,0))))*(1-IF(H138=CVSSv2!$C$9,CVSSv2!$C$20,IF(H138=CVSSv2!$D$9,CVSSv2!$D$20,IF(H138=CVSSv2!$E$9,CVSSv2!$E$20,0)))))=0,0,1.176)))*(IF(H139=CVSSv2!$C$10,CVSSv2!$C$21,IF(H139=CVSSv2!$D$10,CVSSv2!$D$21,IF(H139=CVSSv2!$E$10,CVSSv2!$E$21,IF(H139=CVSSv2!$F$10,CVSSv2!$F$21,0))))*IF(H140=CVSSv2!$C$11,CVSSv2!$C$22,IF(H140=CVSSv2!$D$11,CVSSv2!$D$22,IF(H140=CVSSv2!$E$11,CVSSv2!$E$22,IF(H140=CVSSv2!$F$11,CVSSv2!$F$22,0))))*IF(H141=CVSSv2!$C$12,CVSSv2!$C$23,IF(H141=CVSSv2!$D$12,CVSSv2!$D$23,IF(H141=CVSSv2!$E$12,CVSSv2!$E$23,0)))),1)</f>
        <v>9.5</v>
      </c>
      <c r="J133" s="23" t="n">
        <v>0</v>
      </c>
      <c r="K133" s="23" t="n">
        <v>0</v>
      </c>
      <c r="L133" s="24" t="s">
        <v>17</v>
      </c>
      <c r="M133" s="24" t="s">
        <v>17</v>
      </c>
      <c r="N133" s="24" t="s">
        <v>707</v>
      </c>
      <c r="O133" s="24" t="s">
        <v>708</v>
      </c>
    </row>
    <row r="134" customFormat="false" ht="15.75" hidden="false" customHeight="true" outlineLevel="0" collapsed="false">
      <c r="A134" s="23"/>
      <c r="B134" s="24"/>
      <c r="C134" s="24"/>
      <c r="D134" s="24"/>
      <c r="E134" s="24"/>
      <c r="F134" s="25"/>
      <c r="G134" s="30" t="str">
        <f aca="false">CVSSv2!$A$5</f>
        <v>Complejidad de acceso:</v>
      </c>
      <c r="H134" s="31" t="s">
        <v>709</v>
      </c>
      <c r="I134" s="33"/>
      <c r="J134" s="23"/>
      <c r="K134" s="23"/>
      <c r="L134" s="24"/>
      <c r="M134" s="24"/>
      <c r="N134" s="24"/>
      <c r="O134" s="24"/>
    </row>
    <row r="135" customFormat="false" ht="15.75" hidden="false" customHeight="true" outlineLevel="0" collapsed="false">
      <c r="A135" s="23"/>
      <c r="B135" s="24"/>
      <c r="C135" s="24"/>
      <c r="D135" s="24"/>
      <c r="E135" s="24"/>
      <c r="F135" s="25"/>
      <c r="G135" s="30" t="str">
        <f aca="false">CVSSv2!$A$6</f>
        <v>Autenticación:</v>
      </c>
      <c r="H135" s="31" t="s">
        <v>710</v>
      </c>
      <c r="I135" s="33"/>
      <c r="J135" s="23"/>
      <c r="K135" s="23"/>
      <c r="L135" s="24"/>
      <c r="M135" s="24"/>
      <c r="N135" s="24"/>
      <c r="O135" s="24"/>
    </row>
    <row r="136" customFormat="false" ht="15.75" hidden="false" customHeight="true" outlineLevel="0" collapsed="false">
      <c r="A136" s="23"/>
      <c r="B136" s="24"/>
      <c r="C136" s="24"/>
      <c r="D136" s="24"/>
      <c r="E136" s="24"/>
      <c r="F136" s="25"/>
      <c r="G136" s="30" t="str">
        <f aca="false">CVSSv2!$A$7</f>
        <v>Impacto a la confidencialidad:</v>
      </c>
      <c r="H136" s="31" t="s">
        <v>711</v>
      </c>
      <c r="I136" s="33"/>
      <c r="J136" s="23"/>
      <c r="K136" s="23"/>
      <c r="L136" s="24"/>
      <c r="M136" s="24"/>
      <c r="N136" s="24"/>
      <c r="O136" s="24"/>
    </row>
    <row r="137" customFormat="false" ht="15.75" hidden="false" customHeight="true" outlineLevel="0" collapsed="false">
      <c r="A137" s="23"/>
      <c r="B137" s="24"/>
      <c r="C137" s="24"/>
      <c r="D137" s="24"/>
      <c r="E137" s="24"/>
      <c r="F137" s="25"/>
      <c r="G137" s="30" t="str">
        <f aca="false">CVSSv2!$A$8</f>
        <v>Impacto a la integridad:</v>
      </c>
      <c r="H137" s="31" t="s">
        <v>711</v>
      </c>
      <c r="I137" s="33"/>
      <c r="J137" s="23"/>
      <c r="K137" s="23"/>
      <c r="L137" s="24"/>
      <c r="M137" s="24"/>
      <c r="N137" s="24"/>
      <c r="O137" s="24"/>
    </row>
    <row r="138" customFormat="false" ht="15.75" hidden="false" customHeight="true" outlineLevel="0" collapsed="false">
      <c r="A138" s="23"/>
      <c r="B138" s="24"/>
      <c r="C138" s="24"/>
      <c r="D138" s="24"/>
      <c r="E138" s="24"/>
      <c r="F138" s="25"/>
      <c r="G138" s="30" t="str">
        <f aca="false">CVSSv2!$A$9</f>
        <v>Impacto a la disponibilidad:</v>
      </c>
      <c r="H138" s="31" t="s">
        <v>711</v>
      </c>
      <c r="I138" s="33"/>
      <c r="J138" s="23"/>
      <c r="K138" s="23"/>
      <c r="L138" s="24"/>
      <c r="M138" s="24"/>
      <c r="N138" s="24"/>
      <c r="O138" s="24"/>
    </row>
    <row r="139" customFormat="false" ht="15.75" hidden="false" customHeight="true" outlineLevel="0" collapsed="false">
      <c r="A139" s="23"/>
      <c r="B139" s="24"/>
      <c r="C139" s="24"/>
      <c r="D139" s="24"/>
      <c r="E139" s="24"/>
      <c r="F139" s="25"/>
      <c r="G139" s="30" t="str">
        <f aca="false">CVSSv2!$A$10</f>
        <v>Explotabilidad:</v>
      </c>
      <c r="H139" s="31" t="s">
        <v>712</v>
      </c>
      <c r="I139" s="33"/>
      <c r="J139" s="23"/>
      <c r="K139" s="23"/>
      <c r="L139" s="24"/>
      <c r="M139" s="24"/>
      <c r="N139" s="24"/>
      <c r="O139" s="24"/>
    </row>
    <row r="140" customFormat="false" ht="15.75" hidden="false" customHeight="true" outlineLevel="0" collapsed="false">
      <c r="A140" s="23"/>
      <c r="B140" s="24"/>
      <c r="C140" s="24"/>
      <c r="D140" s="24"/>
      <c r="E140" s="24"/>
      <c r="F140" s="25"/>
      <c r="G140" s="30" t="str">
        <f aca="false">CVSSv2!$A$11</f>
        <v>Nivel de resolución:</v>
      </c>
      <c r="H140" s="31" t="s">
        <v>713</v>
      </c>
      <c r="I140" s="33"/>
      <c r="J140" s="23"/>
      <c r="K140" s="23"/>
      <c r="L140" s="24"/>
      <c r="M140" s="24"/>
      <c r="N140" s="24"/>
      <c r="O140" s="24"/>
    </row>
    <row r="141" customFormat="false" ht="15.75" hidden="false" customHeight="true" outlineLevel="0" collapsed="false">
      <c r="A141" s="23"/>
      <c r="B141" s="24"/>
      <c r="C141" s="24"/>
      <c r="D141" s="24"/>
      <c r="E141" s="24"/>
      <c r="F141" s="25"/>
      <c r="G141" s="30" t="str">
        <f aca="false">CVSSv2!$A$12</f>
        <v>Nivel de confianza:</v>
      </c>
      <c r="H141" s="31" t="s">
        <v>714</v>
      </c>
      <c r="I141" s="33"/>
      <c r="J141" s="23"/>
      <c r="K141" s="23"/>
      <c r="L141" s="24"/>
      <c r="M141" s="24"/>
      <c r="N141" s="24"/>
      <c r="O141" s="24"/>
    </row>
    <row r="142" customFormat="false" ht="15.75" hidden="false" customHeight="true" outlineLevel="0" collapsed="false">
      <c r="A142" s="23"/>
      <c r="B142" s="24"/>
      <c r="C142" s="24"/>
      <c r="D142" s="24"/>
      <c r="E142" s="24"/>
      <c r="F142" s="25"/>
      <c r="G142" s="32" t="str">
        <f aca="false">"("&amp;CVSSv2!$B$4&amp;":"&amp;IF(H133=CVSSv2!$C$4,CVSSv2!$C$26,IF(H133=CVSSv2!$D$4,CVSSv2!$D$26,IF(H133=CVSSv2!$E$4,CVSSv2!$E$26,"")))&amp;"/"&amp;CVSSv2!$B$5&amp;":"&amp;IF(H134=CVSSv2!$C$5,CVSSv2!$C$27,IF(H134=CVSSv2!$D$5,CVSSv2!$D$27,IF(H134=CVSSv2!$E$5,CVSSv2!$E$27,"")))&amp;"/"&amp;CVSSv2!$B$6&amp;":"&amp;IF(H135=CVSSv2!$C$6,CVSSv2!$C$28,IF(H135=CVSSv2!$D$6,CVSSv2!$D$28,IF(H135=CVSSv2!$E$6,CVSSv2!$E$28,"")))&amp;"/"&amp;CVSSv2!$B$7&amp;":"&amp;IF(H136=CVSSv2!$C$7,CVSSv2!$C$29,IF(H136=CVSSv2!$D$7,CVSSv2!$D$29,IF(H136=CVSSv2!$E$7,CVSSv2!$E$29,"")))&amp;"/"&amp;CVSSv2!$B$8&amp;":"&amp;IF(H137=CVSSv2!$C$8,CVSSv2!$C$30,IF(H137=CVSSv2!$D$8,CVSSv2!$D$30,IF(H137=CVSSv2!$E$8,CVSSv2!$E$30,"")))&amp;"/"&amp;CVSSv2!$B$9&amp;":"&amp;IF(H138=CVSSv2!$C$9,CVSSv2!$C$31,IF(H138=CVSSv2!$D$9,CVSSv2!$D$31,IF(H138=CVSSv2!$E$9,CVSSv2!$E$31,"")))&amp;"/"&amp;CVSSv2!$B$10&amp;":"&amp;IF(H139=CVSSv2!$C$10,CVSSv2!$C$32,IF(H139=CVSSv2!$D$10,CVSSv2!$D$32,IF(H139=CVSSv2!$E$10,CVSSv2!$E$32,IF(H139=CVSSv2!$F$10,CVSSv2!$F$32,""))))&amp;"/"&amp;CVSSv2!$B$11&amp;":"&amp;IF(H140=CVSSv2!$C$11,CVSSv2!$C$33,IF(H140=CVSSv2!$D$11,CVSSv2!$D$33,IF(H140=CVSSv2!$E$11,CVSSv2!$E$33,IF(H140=CVSSv2!$F$11,CVSSv2!$F$33,""))))&amp;"/"&amp;CVSSv2!$B$12&amp;":"&amp;IF(H141=CVSSv2!$C$12,CVSSv2!$C$34,IF(H141=CVSSv2!$D$12,CVSSv2!$D$34,IF(H141=CVSSv2!$E$12,CVSSv2!$E$34,"")))&amp;")"</f>
        <v>(AV:N/AC:L/Au:N/C:C/I:C/A:C/E:H/RL:W/RC:C)</v>
      </c>
      <c r="H142" s="32"/>
      <c r="I142" s="33"/>
      <c r="J142" s="23"/>
      <c r="K142" s="23"/>
      <c r="L142" s="24"/>
      <c r="M142" s="24"/>
      <c r="N142" s="24"/>
      <c r="O142" s="24"/>
    </row>
    <row r="143" customFormat="false" ht="15.75" hidden="false" customHeight="true" outlineLevel="0" collapsed="false">
      <c r="A143" s="23" t="n">
        <v>15</v>
      </c>
      <c r="B143" s="24" t="s">
        <v>728</v>
      </c>
      <c r="C143" s="24" t="s">
        <v>17</v>
      </c>
      <c r="D143" s="24" t="s">
        <v>17</v>
      </c>
      <c r="E143" s="24" t="s">
        <v>17</v>
      </c>
      <c r="F1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43" s="26" t="str">
        <f aca="false">CVSSv2!$A$4</f>
        <v>Vector de acceso:</v>
      </c>
      <c r="H143" s="27" t="s">
        <v>706</v>
      </c>
      <c r="I143" s="33" t="n">
        <f aca="false">ROUND(((0.6*(10.41*(1-(1-IF(H146=CVSSv2!$C$7,CVSSv2!$C$18,IF(H146=CVSSv2!$D$7,CVSSv2!$D$18,IF(H146=CVSSv2!$E$7,CVSSv2!$E$18,0))))*(1-IF(H147=CVSSv2!$C$8,CVSSv2!$C$19,IF(H147=CVSSv2!$D$8,CVSSv2!$D$19,IF(H147=CVSSv2!$E$8,CVSSv2!$E$19,0))))*(1-IF(H148=CVSSv2!$C$9,CVSSv2!$C$20,IF(H148=CVSSv2!$D$9,CVSSv2!$D$20,IF(H148=CVSSv2!$E$9,CVSSv2!$E$20,0))))))+0.4*(20*IF(H143=CVSSv2!$C$4,CVSSv2!$C$15,IF(H143=CVSSv2!$D$4,CVSSv2!$D$15,IF(H143=CVSSv2!$E$4,CVSSv2!$E$15,0)))*IF(H144=CVSSv2!$C$5,CVSSv2!$C$16,IF(H144=CVSSv2!$D$5,CVSSv2!$D$16,IF(H144=CVSSv2!$E$5,CVSSv2!$E$16,0)))*IF(H145=CVSSv2!$C$6,CVSSv2!$C$17,IF(H145=CVSSv2!$D$6,CVSSv2!$D$17,IF(H145=CVSSv2!$E$6,CVSSv2!$E$17,0))))-1.5)*(IF(10.41*(1-(1-IF(H146=CVSSv2!$C$7,CVSSv2!$C$18,IF(H146=CVSSv2!$D$7,CVSSv2!$D$18,IF(H146=CVSSv2!$E$7,CVSSv2!$E$18,0))))*(1-IF(H147=CVSSv2!$C$8,CVSSv2!$C$19,IF(H147=CVSSv2!$D$8,CVSSv2!$D$19,IF(H147=CVSSv2!$E$8,CVSSv2!$E$19,0))))*(1-IF(H148=CVSSv2!$C$9,CVSSv2!$C$20,IF(H148=CVSSv2!$D$9,CVSSv2!$D$20,IF(H148=CVSSv2!$E$9,CVSSv2!$E$20,0)))))=0,0,1.176)))*(IF(H149=CVSSv2!$C$10,CVSSv2!$C$21,IF(H149=CVSSv2!$D$10,CVSSv2!$D$21,IF(H149=CVSSv2!$E$10,CVSSv2!$E$21,IF(H149=CVSSv2!$F$10,CVSSv2!$F$21,0))))*IF(H150=CVSSv2!$C$11,CVSSv2!$C$22,IF(H150=CVSSv2!$D$11,CVSSv2!$D$22,IF(H150=CVSSv2!$E$11,CVSSv2!$E$22,IF(H150=CVSSv2!$F$11,CVSSv2!$F$22,0))))*IF(H151=CVSSv2!$C$12,CVSSv2!$C$23,IF(H151=CVSSv2!$D$12,CVSSv2!$D$23,IF(H151=CVSSv2!$E$12,CVSSv2!$E$23,0)))),1)</f>
        <v>9.5</v>
      </c>
      <c r="J143" s="23" t="n">
        <v>0</v>
      </c>
      <c r="K143" s="23" t="n">
        <v>0</v>
      </c>
      <c r="L143" s="24" t="s">
        <v>17</v>
      </c>
      <c r="M143" s="24" t="s">
        <v>17</v>
      </c>
      <c r="N143" s="24" t="s">
        <v>707</v>
      </c>
      <c r="O143" s="24" t="s">
        <v>708</v>
      </c>
    </row>
    <row r="144" customFormat="false" ht="15.75" hidden="false" customHeight="true" outlineLevel="0" collapsed="false">
      <c r="A144" s="23"/>
      <c r="B144" s="24"/>
      <c r="C144" s="24"/>
      <c r="D144" s="24"/>
      <c r="E144" s="24"/>
      <c r="F144" s="25"/>
      <c r="G144" s="30" t="str">
        <f aca="false">CVSSv2!$A$5</f>
        <v>Complejidad de acceso:</v>
      </c>
      <c r="H144" s="31" t="s">
        <v>709</v>
      </c>
      <c r="I144" s="33"/>
      <c r="J144" s="23"/>
      <c r="K144" s="23"/>
      <c r="L144" s="24"/>
      <c r="M144" s="24"/>
      <c r="N144" s="24"/>
      <c r="O144" s="24"/>
    </row>
    <row r="145" customFormat="false" ht="15.75" hidden="false" customHeight="true" outlineLevel="0" collapsed="false">
      <c r="A145" s="23"/>
      <c r="B145" s="24"/>
      <c r="C145" s="24"/>
      <c r="D145" s="24"/>
      <c r="E145" s="24"/>
      <c r="F145" s="25"/>
      <c r="G145" s="30" t="str">
        <f aca="false">CVSSv2!$A$6</f>
        <v>Autenticación:</v>
      </c>
      <c r="H145" s="31" t="s">
        <v>710</v>
      </c>
      <c r="I145" s="33"/>
      <c r="J145" s="23"/>
      <c r="K145" s="23"/>
      <c r="L145" s="24"/>
      <c r="M145" s="24"/>
      <c r="N145" s="24"/>
      <c r="O145" s="24"/>
    </row>
    <row r="146" customFormat="false" ht="15.75" hidden="false" customHeight="true" outlineLevel="0" collapsed="false">
      <c r="A146" s="23"/>
      <c r="B146" s="24"/>
      <c r="C146" s="24"/>
      <c r="D146" s="24"/>
      <c r="E146" s="24"/>
      <c r="F146" s="25"/>
      <c r="G146" s="30" t="str">
        <f aca="false">CVSSv2!$A$7</f>
        <v>Impacto a la confidencialidad:</v>
      </c>
      <c r="H146" s="31" t="s">
        <v>711</v>
      </c>
      <c r="I146" s="33"/>
      <c r="J146" s="23"/>
      <c r="K146" s="23"/>
      <c r="L146" s="24"/>
      <c r="M146" s="24"/>
      <c r="N146" s="24"/>
      <c r="O146" s="24"/>
    </row>
    <row r="147" customFormat="false" ht="15.75" hidden="false" customHeight="true" outlineLevel="0" collapsed="false">
      <c r="A147" s="23"/>
      <c r="B147" s="24"/>
      <c r="C147" s="24"/>
      <c r="D147" s="24"/>
      <c r="E147" s="24"/>
      <c r="F147" s="25"/>
      <c r="G147" s="30" t="str">
        <f aca="false">CVSSv2!$A$8</f>
        <v>Impacto a la integridad:</v>
      </c>
      <c r="H147" s="31" t="s">
        <v>711</v>
      </c>
      <c r="I147" s="33"/>
      <c r="J147" s="23"/>
      <c r="K147" s="23"/>
      <c r="L147" s="24"/>
      <c r="M147" s="24"/>
      <c r="N147" s="24"/>
      <c r="O147" s="24"/>
    </row>
    <row r="148" customFormat="false" ht="15.75" hidden="false" customHeight="true" outlineLevel="0" collapsed="false">
      <c r="A148" s="23"/>
      <c r="B148" s="24"/>
      <c r="C148" s="24"/>
      <c r="D148" s="24"/>
      <c r="E148" s="24"/>
      <c r="F148" s="25"/>
      <c r="G148" s="30" t="str">
        <f aca="false">CVSSv2!$A$9</f>
        <v>Impacto a la disponibilidad:</v>
      </c>
      <c r="H148" s="31" t="s">
        <v>711</v>
      </c>
      <c r="I148" s="33"/>
      <c r="J148" s="23"/>
      <c r="K148" s="23"/>
      <c r="L148" s="24"/>
      <c r="M148" s="24"/>
      <c r="N148" s="24"/>
      <c r="O148" s="24"/>
    </row>
    <row r="149" customFormat="false" ht="15.75" hidden="false" customHeight="true" outlineLevel="0" collapsed="false">
      <c r="A149" s="23"/>
      <c r="B149" s="24"/>
      <c r="C149" s="24"/>
      <c r="D149" s="24"/>
      <c r="E149" s="24"/>
      <c r="F149" s="25"/>
      <c r="G149" s="30" t="str">
        <f aca="false">CVSSv2!$A$10</f>
        <v>Explotabilidad:</v>
      </c>
      <c r="H149" s="31" t="s">
        <v>712</v>
      </c>
      <c r="I149" s="33"/>
      <c r="J149" s="23"/>
      <c r="K149" s="23"/>
      <c r="L149" s="24"/>
      <c r="M149" s="24"/>
      <c r="N149" s="24"/>
      <c r="O149" s="24"/>
    </row>
    <row r="150" customFormat="false" ht="15.75" hidden="false" customHeight="true" outlineLevel="0" collapsed="false">
      <c r="A150" s="23"/>
      <c r="B150" s="24"/>
      <c r="C150" s="24"/>
      <c r="D150" s="24"/>
      <c r="E150" s="24"/>
      <c r="F150" s="25"/>
      <c r="G150" s="30" t="str">
        <f aca="false">CVSSv2!$A$11</f>
        <v>Nivel de resolución:</v>
      </c>
      <c r="H150" s="31" t="s">
        <v>713</v>
      </c>
      <c r="I150" s="33"/>
      <c r="J150" s="23"/>
      <c r="K150" s="23"/>
      <c r="L150" s="24"/>
      <c r="M150" s="24"/>
      <c r="N150" s="24"/>
      <c r="O150" s="24"/>
    </row>
    <row r="151" customFormat="false" ht="15.75" hidden="false" customHeight="true" outlineLevel="0" collapsed="false">
      <c r="A151" s="23"/>
      <c r="B151" s="24"/>
      <c r="C151" s="24"/>
      <c r="D151" s="24"/>
      <c r="E151" s="24"/>
      <c r="F151" s="25"/>
      <c r="G151" s="30" t="str">
        <f aca="false">CVSSv2!$A$12</f>
        <v>Nivel de confianza:</v>
      </c>
      <c r="H151" s="31" t="s">
        <v>714</v>
      </c>
      <c r="I151" s="33"/>
      <c r="J151" s="23"/>
      <c r="K151" s="23"/>
      <c r="L151" s="24"/>
      <c r="M151" s="24"/>
      <c r="N151" s="24"/>
      <c r="O151" s="24"/>
    </row>
    <row r="152" customFormat="false" ht="15.75" hidden="false" customHeight="true" outlineLevel="0" collapsed="false">
      <c r="A152" s="23"/>
      <c r="B152" s="24"/>
      <c r="C152" s="24"/>
      <c r="D152" s="24"/>
      <c r="E152" s="24"/>
      <c r="F152" s="25"/>
      <c r="G152" s="32" t="str">
        <f aca="false">"("&amp;CVSSv2!$B$4&amp;":"&amp;IF(H143=CVSSv2!$C$4,CVSSv2!$C$26,IF(H143=CVSSv2!$D$4,CVSSv2!$D$26,IF(H143=CVSSv2!$E$4,CVSSv2!$E$26,"")))&amp;"/"&amp;CVSSv2!$B$5&amp;":"&amp;IF(H144=CVSSv2!$C$5,CVSSv2!$C$27,IF(H144=CVSSv2!$D$5,CVSSv2!$D$27,IF(H144=CVSSv2!$E$5,CVSSv2!$E$27,"")))&amp;"/"&amp;CVSSv2!$B$6&amp;":"&amp;IF(H145=CVSSv2!$C$6,CVSSv2!$C$28,IF(H145=CVSSv2!$D$6,CVSSv2!$D$28,IF(H145=CVSSv2!$E$6,CVSSv2!$E$28,"")))&amp;"/"&amp;CVSSv2!$B$7&amp;":"&amp;IF(H146=CVSSv2!$C$7,CVSSv2!$C$29,IF(H146=CVSSv2!$D$7,CVSSv2!$D$29,IF(H146=CVSSv2!$E$7,CVSSv2!$E$29,"")))&amp;"/"&amp;CVSSv2!$B$8&amp;":"&amp;IF(H147=CVSSv2!$C$8,CVSSv2!$C$30,IF(H147=CVSSv2!$D$8,CVSSv2!$D$30,IF(H147=CVSSv2!$E$8,CVSSv2!$E$30,"")))&amp;"/"&amp;CVSSv2!$B$9&amp;":"&amp;IF(H148=CVSSv2!$C$9,CVSSv2!$C$31,IF(H148=CVSSv2!$D$9,CVSSv2!$D$31,IF(H148=CVSSv2!$E$9,CVSSv2!$E$31,"")))&amp;"/"&amp;CVSSv2!$B$10&amp;":"&amp;IF(H149=CVSSv2!$C$10,CVSSv2!$C$32,IF(H149=CVSSv2!$D$10,CVSSv2!$D$32,IF(H149=CVSSv2!$E$10,CVSSv2!$E$32,IF(H149=CVSSv2!$F$10,CVSSv2!$F$32,""))))&amp;"/"&amp;CVSSv2!$B$11&amp;":"&amp;IF(H150=CVSSv2!$C$11,CVSSv2!$C$33,IF(H150=CVSSv2!$D$11,CVSSv2!$D$33,IF(H150=CVSSv2!$E$11,CVSSv2!$E$33,IF(H150=CVSSv2!$F$11,CVSSv2!$F$33,""))))&amp;"/"&amp;CVSSv2!$B$12&amp;":"&amp;IF(H151=CVSSv2!$C$12,CVSSv2!$C$34,IF(H151=CVSSv2!$D$12,CVSSv2!$D$34,IF(H151=CVSSv2!$E$12,CVSSv2!$E$34,"")))&amp;")"</f>
        <v>(AV:N/AC:L/Au:N/C:C/I:C/A:C/E:H/RL:W/RC:C)</v>
      </c>
      <c r="H152" s="32"/>
      <c r="I152" s="33"/>
      <c r="J152" s="23"/>
      <c r="K152" s="23"/>
      <c r="L152" s="24"/>
      <c r="M152" s="24"/>
      <c r="N152" s="24"/>
      <c r="O152" s="24"/>
    </row>
    <row r="153" customFormat="false" ht="15.75" hidden="false" customHeight="true" outlineLevel="0" collapsed="false">
      <c r="A153" s="23" t="n">
        <v>16</v>
      </c>
      <c r="B153" s="24" t="s">
        <v>729</v>
      </c>
      <c r="C153" s="24" t="s">
        <v>17</v>
      </c>
      <c r="D153" s="24" t="s">
        <v>17</v>
      </c>
      <c r="E153" s="24" t="s">
        <v>17</v>
      </c>
      <c r="F1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3" s="26" t="str">
        <f aca="false">CVSSv2!$A$4</f>
        <v>Vector de acceso:</v>
      </c>
      <c r="H153" s="27" t="s">
        <v>706</v>
      </c>
      <c r="I153" s="33" t="n">
        <f aca="false">ROUND(((0.6*(10.41*(1-(1-IF(H156=CVSSv2!$C$7,CVSSv2!$C$18,IF(H156=CVSSv2!$D$7,CVSSv2!$D$18,IF(H156=CVSSv2!$E$7,CVSSv2!$E$18,0))))*(1-IF(H157=CVSSv2!$C$8,CVSSv2!$C$19,IF(H157=CVSSv2!$D$8,CVSSv2!$D$19,IF(H157=CVSSv2!$E$8,CVSSv2!$E$19,0))))*(1-IF(H158=CVSSv2!$C$9,CVSSv2!$C$20,IF(H158=CVSSv2!$D$9,CVSSv2!$D$20,IF(H158=CVSSv2!$E$9,CVSSv2!$E$20,0))))))+0.4*(20*IF(H153=CVSSv2!$C$4,CVSSv2!$C$15,IF(H153=CVSSv2!$D$4,CVSSv2!$D$15,IF(H153=CVSSv2!$E$4,CVSSv2!$E$15,0)))*IF(H154=CVSSv2!$C$5,CVSSv2!$C$16,IF(H154=CVSSv2!$D$5,CVSSv2!$D$16,IF(H154=CVSSv2!$E$5,CVSSv2!$E$16,0)))*IF(H155=CVSSv2!$C$6,CVSSv2!$C$17,IF(H155=CVSSv2!$D$6,CVSSv2!$D$17,IF(H155=CVSSv2!$E$6,CVSSv2!$E$17,0))))-1.5)*(IF(10.41*(1-(1-IF(H156=CVSSv2!$C$7,CVSSv2!$C$18,IF(H156=CVSSv2!$D$7,CVSSv2!$D$18,IF(H156=CVSSv2!$E$7,CVSSv2!$E$18,0))))*(1-IF(H157=CVSSv2!$C$8,CVSSv2!$C$19,IF(H157=CVSSv2!$D$8,CVSSv2!$D$19,IF(H157=CVSSv2!$E$8,CVSSv2!$E$19,0))))*(1-IF(H158=CVSSv2!$C$9,CVSSv2!$C$20,IF(H158=CVSSv2!$D$9,CVSSv2!$D$20,IF(H158=CVSSv2!$E$9,CVSSv2!$E$20,0)))))=0,0,1.176)))*(IF(H159=CVSSv2!$C$10,CVSSv2!$C$21,IF(H159=CVSSv2!$D$10,CVSSv2!$D$21,IF(H159=CVSSv2!$E$10,CVSSv2!$E$21,IF(H159=CVSSv2!$F$10,CVSSv2!$F$21,0))))*IF(H160=CVSSv2!$C$11,CVSSv2!$C$22,IF(H160=CVSSv2!$D$11,CVSSv2!$D$22,IF(H160=CVSSv2!$E$11,CVSSv2!$E$22,IF(H160=CVSSv2!$F$11,CVSSv2!$F$22,0))))*IF(H161=CVSSv2!$C$12,CVSSv2!$C$23,IF(H161=CVSSv2!$D$12,CVSSv2!$D$23,IF(H161=CVSSv2!$E$12,CVSSv2!$E$23,0)))),1)</f>
        <v>9.5</v>
      </c>
      <c r="J153" s="23" t="n">
        <v>0</v>
      </c>
      <c r="K153" s="23" t="n">
        <v>0</v>
      </c>
      <c r="L153" s="24" t="s">
        <v>17</v>
      </c>
      <c r="M153" s="24" t="s">
        <v>17</v>
      </c>
      <c r="N153" s="24" t="s">
        <v>707</v>
      </c>
      <c r="O153" s="24" t="s">
        <v>708</v>
      </c>
    </row>
    <row r="154" customFormat="false" ht="15.75" hidden="false" customHeight="true" outlineLevel="0" collapsed="false">
      <c r="A154" s="23"/>
      <c r="B154" s="24"/>
      <c r="C154" s="24"/>
      <c r="D154" s="24"/>
      <c r="E154" s="24"/>
      <c r="F154" s="25"/>
      <c r="G154" s="30" t="str">
        <f aca="false">CVSSv2!$A$5</f>
        <v>Complejidad de acceso:</v>
      </c>
      <c r="H154" s="31" t="s">
        <v>709</v>
      </c>
      <c r="I154" s="33"/>
      <c r="J154" s="23"/>
      <c r="K154" s="23"/>
      <c r="L154" s="24"/>
      <c r="M154" s="24"/>
      <c r="N154" s="24"/>
      <c r="O154" s="24"/>
    </row>
    <row r="155" customFormat="false" ht="15.75" hidden="false" customHeight="true" outlineLevel="0" collapsed="false">
      <c r="A155" s="23"/>
      <c r="B155" s="24"/>
      <c r="C155" s="24"/>
      <c r="D155" s="24"/>
      <c r="E155" s="24"/>
      <c r="F155" s="25"/>
      <c r="G155" s="30" t="str">
        <f aca="false">CVSSv2!$A$6</f>
        <v>Autenticación:</v>
      </c>
      <c r="H155" s="31" t="s">
        <v>710</v>
      </c>
      <c r="I155" s="33"/>
      <c r="J155" s="23"/>
      <c r="K155" s="23"/>
      <c r="L155" s="24"/>
      <c r="M155" s="24"/>
      <c r="N155" s="24"/>
      <c r="O155" s="24"/>
    </row>
    <row r="156" customFormat="false" ht="15.75" hidden="false" customHeight="true" outlineLevel="0" collapsed="false">
      <c r="A156" s="23"/>
      <c r="B156" s="24"/>
      <c r="C156" s="24"/>
      <c r="D156" s="24"/>
      <c r="E156" s="24"/>
      <c r="F156" s="25"/>
      <c r="G156" s="30" t="str">
        <f aca="false">CVSSv2!$A$7</f>
        <v>Impacto a la confidencialidad:</v>
      </c>
      <c r="H156" s="31" t="s">
        <v>711</v>
      </c>
      <c r="I156" s="33"/>
      <c r="J156" s="23"/>
      <c r="K156" s="23"/>
      <c r="L156" s="24"/>
      <c r="M156" s="24"/>
      <c r="N156" s="24"/>
      <c r="O156" s="24"/>
    </row>
    <row r="157" customFormat="false" ht="15.75" hidden="false" customHeight="true" outlineLevel="0" collapsed="false">
      <c r="A157" s="23"/>
      <c r="B157" s="24"/>
      <c r="C157" s="24"/>
      <c r="D157" s="24"/>
      <c r="E157" s="24"/>
      <c r="F157" s="25"/>
      <c r="G157" s="30" t="str">
        <f aca="false">CVSSv2!$A$8</f>
        <v>Impacto a la integridad:</v>
      </c>
      <c r="H157" s="31" t="s">
        <v>711</v>
      </c>
      <c r="I157" s="33"/>
      <c r="J157" s="23"/>
      <c r="K157" s="23"/>
      <c r="L157" s="24"/>
      <c r="M157" s="24"/>
      <c r="N157" s="24"/>
      <c r="O157" s="24"/>
    </row>
    <row r="158" customFormat="false" ht="15.75" hidden="false" customHeight="true" outlineLevel="0" collapsed="false">
      <c r="A158" s="23"/>
      <c r="B158" s="24"/>
      <c r="C158" s="24"/>
      <c r="D158" s="24"/>
      <c r="E158" s="24"/>
      <c r="F158" s="25"/>
      <c r="G158" s="30" t="str">
        <f aca="false">CVSSv2!$A$9</f>
        <v>Impacto a la disponibilidad:</v>
      </c>
      <c r="H158" s="31" t="s">
        <v>711</v>
      </c>
      <c r="I158" s="33"/>
      <c r="J158" s="23"/>
      <c r="K158" s="23"/>
      <c r="L158" s="24"/>
      <c r="M158" s="24"/>
      <c r="N158" s="24"/>
      <c r="O158" s="24"/>
    </row>
    <row r="159" customFormat="false" ht="15.75" hidden="false" customHeight="true" outlineLevel="0" collapsed="false">
      <c r="A159" s="23"/>
      <c r="B159" s="24"/>
      <c r="C159" s="24"/>
      <c r="D159" s="24"/>
      <c r="E159" s="24"/>
      <c r="F159" s="25"/>
      <c r="G159" s="30" t="str">
        <f aca="false">CVSSv2!$A$10</f>
        <v>Explotabilidad:</v>
      </c>
      <c r="H159" s="31" t="s">
        <v>712</v>
      </c>
      <c r="I159" s="33"/>
      <c r="J159" s="23"/>
      <c r="K159" s="23"/>
      <c r="L159" s="24"/>
      <c r="M159" s="24"/>
      <c r="N159" s="24"/>
      <c r="O159" s="24"/>
    </row>
    <row r="160" customFormat="false" ht="15.75" hidden="false" customHeight="true" outlineLevel="0" collapsed="false">
      <c r="A160" s="23"/>
      <c r="B160" s="24"/>
      <c r="C160" s="24"/>
      <c r="D160" s="24"/>
      <c r="E160" s="24"/>
      <c r="F160" s="25"/>
      <c r="G160" s="30" t="str">
        <f aca="false">CVSSv2!$A$11</f>
        <v>Nivel de resolución:</v>
      </c>
      <c r="H160" s="31" t="s">
        <v>713</v>
      </c>
      <c r="I160" s="33"/>
      <c r="J160" s="23"/>
      <c r="K160" s="23"/>
      <c r="L160" s="24"/>
      <c r="M160" s="24"/>
      <c r="N160" s="24"/>
      <c r="O160" s="24"/>
    </row>
    <row r="161" customFormat="false" ht="15.75" hidden="false" customHeight="true" outlineLevel="0" collapsed="false">
      <c r="A161" s="23"/>
      <c r="B161" s="24"/>
      <c r="C161" s="24"/>
      <c r="D161" s="24"/>
      <c r="E161" s="24"/>
      <c r="F161" s="25"/>
      <c r="G161" s="30" t="str">
        <f aca="false">CVSSv2!$A$12</f>
        <v>Nivel de confianza:</v>
      </c>
      <c r="H161" s="31" t="s">
        <v>714</v>
      </c>
      <c r="I161" s="33"/>
      <c r="J161" s="23"/>
      <c r="K161" s="23"/>
      <c r="L161" s="24"/>
      <c r="M161" s="24"/>
      <c r="N161" s="24"/>
      <c r="O161" s="24"/>
    </row>
    <row r="162" customFormat="false" ht="15.75" hidden="false" customHeight="true" outlineLevel="0" collapsed="false">
      <c r="A162" s="23"/>
      <c r="B162" s="24"/>
      <c r="C162" s="24"/>
      <c r="D162" s="24"/>
      <c r="E162" s="24"/>
      <c r="F162" s="25"/>
      <c r="G162" s="32" t="str">
        <f aca="false">"("&amp;CVSSv2!$B$4&amp;":"&amp;IF(H153=CVSSv2!$C$4,CVSSv2!$C$26,IF(H153=CVSSv2!$D$4,CVSSv2!$D$26,IF(H153=CVSSv2!$E$4,CVSSv2!$E$26,"")))&amp;"/"&amp;CVSSv2!$B$5&amp;":"&amp;IF(H154=CVSSv2!$C$5,CVSSv2!$C$27,IF(H154=CVSSv2!$D$5,CVSSv2!$D$27,IF(H154=CVSSv2!$E$5,CVSSv2!$E$27,"")))&amp;"/"&amp;CVSSv2!$B$6&amp;":"&amp;IF(H155=CVSSv2!$C$6,CVSSv2!$C$28,IF(H155=CVSSv2!$D$6,CVSSv2!$D$28,IF(H155=CVSSv2!$E$6,CVSSv2!$E$28,"")))&amp;"/"&amp;CVSSv2!$B$7&amp;":"&amp;IF(H156=CVSSv2!$C$7,CVSSv2!$C$29,IF(H156=CVSSv2!$D$7,CVSSv2!$D$29,IF(H156=CVSSv2!$E$7,CVSSv2!$E$29,"")))&amp;"/"&amp;CVSSv2!$B$8&amp;":"&amp;IF(H157=CVSSv2!$C$8,CVSSv2!$C$30,IF(H157=CVSSv2!$D$8,CVSSv2!$D$30,IF(H157=CVSSv2!$E$8,CVSSv2!$E$30,"")))&amp;"/"&amp;CVSSv2!$B$9&amp;":"&amp;IF(H158=CVSSv2!$C$9,CVSSv2!$C$31,IF(H158=CVSSv2!$D$9,CVSSv2!$D$31,IF(H158=CVSSv2!$E$9,CVSSv2!$E$31,"")))&amp;"/"&amp;CVSSv2!$B$10&amp;":"&amp;IF(H159=CVSSv2!$C$10,CVSSv2!$C$32,IF(H159=CVSSv2!$D$10,CVSSv2!$D$32,IF(H159=CVSSv2!$E$10,CVSSv2!$E$32,IF(H159=CVSSv2!$F$10,CVSSv2!$F$32,""))))&amp;"/"&amp;CVSSv2!$B$11&amp;":"&amp;IF(H160=CVSSv2!$C$11,CVSSv2!$C$33,IF(H160=CVSSv2!$D$11,CVSSv2!$D$33,IF(H160=CVSSv2!$E$11,CVSSv2!$E$33,IF(H160=CVSSv2!$F$11,CVSSv2!$F$33,""))))&amp;"/"&amp;CVSSv2!$B$12&amp;":"&amp;IF(H161=CVSSv2!$C$12,CVSSv2!$C$34,IF(H161=CVSSv2!$D$12,CVSSv2!$D$34,IF(H161=CVSSv2!$E$12,CVSSv2!$E$34,"")))&amp;")"</f>
        <v>(AV:N/AC:L/Au:N/C:C/I:C/A:C/E:H/RL:W/RC:C)</v>
      </c>
      <c r="H162" s="32"/>
      <c r="I162" s="33"/>
      <c r="J162" s="23"/>
      <c r="K162" s="23"/>
      <c r="L162" s="24"/>
      <c r="M162" s="24"/>
      <c r="N162" s="24"/>
      <c r="O162" s="24"/>
    </row>
    <row r="163" customFormat="false" ht="15.75" hidden="false" customHeight="true" outlineLevel="0" collapsed="false">
      <c r="A163" s="23" t="n">
        <v>17</v>
      </c>
      <c r="B163" s="24" t="s">
        <v>730</v>
      </c>
      <c r="C163" s="24" t="s">
        <v>17</v>
      </c>
      <c r="D163" s="24" t="s">
        <v>17</v>
      </c>
      <c r="E163" s="24" t="s">
        <v>17</v>
      </c>
      <c r="F1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63" s="26" t="str">
        <f aca="false">CVSSv2!$A$4</f>
        <v>Vector de acceso:</v>
      </c>
      <c r="H163" s="27" t="s">
        <v>706</v>
      </c>
      <c r="I163" s="33" t="n">
        <f aca="false">ROUND(((0.6*(10.41*(1-(1-IF(H166=CVSSv2!$C$7,CVSSv2!$C$18,IF(H166=CVSSv2!$D$7,CVSSv2!$D$18,IF(H166=CVSSv2!$E$7,CVSSv2!$E$18,0))))*(1-IF(H167=CVSSv2!$C$8,CVSSv2!$C$19,IF(H167=CVSSv2!$D$8,CVSSv2!$D$19,IF(H167=CVSSv2!$E$8,CVSSv2!$E$19,0))))*(1-IF(H168=CVSSv2!$C$9,CVSSv2!$C$20,IF(H168=CVSSv2!$D$9,CVSSv2!$D$20,IF(H168=CVSSv2!$E$9,CVSSv2!$E$20,0))))))+0.4*(20*IF(H163=CVSSv2!$C$4,CVSSv2!$C$15,IF(H163=CVSSv2!$D$4,CVSSv2!$D$15,IF(H163=CVSSv2!$E$4,CVSSv2!$E$15,0)))*IF(H164=CVSSv2!$C$5,CVSSv2!$C$16,IF(H164=CVSSv2!$D$5,CVSSv2!$D$16,IF(H164=CVSSv2!$E$5,CVSSv2!$E$16,0)))*IF(H165=CVSSv2!$C$6,CVSSv2!$C$17,IF(H165=CVSSv2!$D$6,CVSSv2!$D$17,IF(H165=CVSSv2!$E$6,CVSSv2!$E$17,0))))-1.5)*(IF(10.41*(1-(1-IF(H166=CVSSv2!$C$7,CVSSv2!$C$18,IF(H166=CVSSv2!$D$7,CVSSv2!$D$18,IF(H166=CVSSv2!$E$7,CVSSv2!$E$18,0))))*(1-IF(H167=CVSSv2!$C$8,CVSSv2!$C$19,IF(H167=CVSSv2!$D$8,CVSSv2!$D$19,IF(H167=CVSSv2!$E$8,CVSSv2!$E$19,0))))*(1-IF(H168=CVSSv2!$C$9,CVSSv2!$C$20,IF(H168=CVSSv2!$D$9,CVSSv2!$D$20,IF(H168=CVSSv2!$E$9,CVSSv2!$E$20,0)))))=0,0,1.176)))*(IF(H169=CVSSv2!$C$10,CVSSv2!$C$21,IF(H169=CVSSv2!$D$10,CVSSv2!$D$21,IF(H169=CVSSv2!$E$10,CVSSv2!$E$21,IF(H169=CVSSv2!$F$10,CVSSv2!$F$21,0))))*IF(H170=CVSSv2!$C$11,CVSSv2!$C$22,IF(H170=CVSSv2!$D$11,CVSSv2!$D$22,IF(H170=CVSSv2!$E$11,CVSSv2!$E$22,IF(H170=CVSSv2!$F$11,CVSSv2!$F$22,0))))*IF(H171=CVSSv2!$C$12,CVSSv2!$C$23,IF(H171=CVSSv2!$D$12,CVSSv2!$D$23,IF(H171=CVSSv2!$E$12,CVSSv2!$E$23,0)))),1)</f>
        <v>9.5</v>
      </c>
      <c r="J163" s="23" t="n">
        <v>0</v>
      </c>
      <c r="K163" s="23" t="n">
        <v>0</v>
      </c>
      <c r="L163" s="24" t="s">
        <v>17</v>
      </c>
      <c r="M163" s="24" t="s">
        <v>17</v>
      </c>
      <c r="N163" s="24" t="s">
        <v>707</v>
      </c>
      <c r="O163" s="24" t="s">
        <v>708</v>
      </c>
    </row>
    <row r="164" customFormat="false" ht="15.75" hidden="false" customHeight="true" outlineLevel="0" collapsed="false">
      <c r="A164" s="23"/>
      <c r="B164" s="24"/>
      <c r="C164" s="24"/>
      <c r="D164" s="24"/>
      <c r="E164" s="24"/>
      <c r="F164" s="25"/>
      <c r="G164" s="30" t="str">
        <f aca="false">CVSSv2!$A$5</f>
        <v>Complejidad de acceso:</v>
      </c>
      <c r="H164" s="31" t="s">
        <v>709</v>
      </c>
      <c r="I164" s="33"/>
      <c r="J164" s="23"/>
      <c r="K164" s="23"/>
      <c r="L164" s="24"/>
      <c r="M164" s="24"/>
      <c r="N164" s="24"/>
      <c r="O164" s="24"/>
    </row>
    <row r="165" customFormat="false" ht="15.75" hidden="false" customHeight="true" outlineLevel="0" collapsed="false">
      <c r="A165" s="23"/>
      <c r="B165" s="24"/>
      <c r="C165" s="24"/>
      <c r="D165" s="24"/>
      <c r="E165" s="24"/>
      <c r="F165" s="25"/>
      <c r="G165" s="30" t="str">
        <f aca="false">CVSSv2!$A$6</f>
        <v>Autenticación:</v>
      </c>
      <c r="H165" s="31" t="s">
        <v>710</v>
      </c>
      <c r="I165" s="33"/>
      <c r="J165" s="23"/>
      <c r="K165" s="23"/>
      <c r="L165" s="24"/>
      <c r="M165" s="24"/>
      <c r="N165" s="24"/>
      <c r="O165" s="24"/>
    </row>
    <row r="166" customFormat="false" ht="15.75" hidden="false" customHeight="true" outlineLevel="0" collapsed="false">
      <c r="A166" s="23"/>
      <c r="B166" s="24"/>
      <c r="C166" s="24"/>
      <c r="D166" s="24"/>
      <c r="E166" s="24"/>
      <c r="F166" s="25"/>
      <c r="G166" s="30" t="str">
        <f aca="false">CVSSv2!$A$7</f>
        <v>Impacto a la confidencialidad:</v>
      </c>
      <c r="H166" s="31" t="s">
        <v>711</v>
      </c>
      <c r="I166" s="33"/>
      <c r="J166" s="23"/>
      <c r="K166" s="23"/>
      <c r="L166" s="24"/>
      <c r="M166" s="24"/>
      <c r="N166" s="24"/>
      <c r="O166" s="24"/>
    </row>
    <row r="167" customFormat="false" ht="15.75" hidden="false" customHeight="true" outlineLevel="0" collapsed="false">
      <c r="A167" s="23"/>
      <c r="B167" s="24"/>
      <c r="C167" s="24"/>
      <c r="D167" s="24"/>
      <c r="E167" s="24"/>
      <c r="F167" s="25"/>
      <c r="G167" s="30" t="str">
        <f aca="false">CVSSv2!$A$8</f>
        <v>Impacto a la integridad:</v>
      </c>
      <c r="H167" s="31" t="s">
        <v>711</v>
      </c>
      <c r="I167" s="33"/>
      <c r="J167" s="23"/>
      <c r="K167" s="23"/>
      <c r="L167" s="24"/>
      <c r="M167" s="24"/>
      <c r="N167" s="24"/>
      <c r="O167" s="24"/>
    </row>
    <row r="168" customFormat="false" ht="15.75" hidden="false" customHeight="true" outlineLevel="0" collapsed="false">
      <c r="A168" s="23"/>
      <c r="B168" s="24"/>
      <c r="C168" s="24"/>
      <c r="D168" s="24"/>
      <c r="E168" s="24"/>
      <c r="F168" s="25"/>
      <c r="G168" s="30" t="str">
        <f aca="false">CVSSv2!$A$9</f>
        <v>Impacto a la disponibilidad:</v>
      </c>
      <c r="H168" s="31" t="s">
        <v>711</v>
      </c>
      <c r="I168" s="33"/>
      <c r="J168" s="23"/>
      <c r="K168" s="23"/>
      <c r="L168" s="24"/>
      <c r="M168" s="24"/>
      <c r="N168" s="24"/>
      <c r="O168" s="24"/>
    </row>
    <row r="169" customFormat="false" ht="15.75" hidden="false" customHeight="true" outlineLevel="0" collapsed="false">
      <c r="A169" s="23"/>
      <c r="B169" s="24"/>
      <c r="C169" s="24"/>
      <c r="D169" s="24"/>
      <c r="E169" s="24"/>
      <c r="F169" s="25"/>
      <c r="G169" s="30" t="str">
        <f aca="false">CVSSv2!$A$10</f>
        <v>Explotabilidad:</v>
      </c>
      <c r="H169" s="31" t="s">
        <v>712</v>
      </c>
      <c r="I169" s="33"/>
      <c r="J169" s="23"/>
      <c r="K169" s="23"/>
      <c r="L169" s="24"/>
      <c r="M169" s="24"/>
      <c r="N169" s="24"/>
      <c r="O169" s="24"/>
    </row>
    <row r="170" customFormat="false" ht="15.75" hidden="false" customHeight="true" outlineLevel="0" collapsed="false">
      <c r="A170" s="23"/>
      <c r="B170" s="24"/>
      <c r="C170" s="24"/>
      <c r="D170" s="24"/>
      <c r="E170" s="24"/>
      <c r="F170" s="25"/>
      <c r="G170" s="30" t="str">
        <f aca="false">CVSSv2!$A$11</f>
        <v>Nivel de resolución:</v>
      </c>
      <c r="H170" s="31" t="s">
        <v>713</v>
      </c>
      <c r="I170" s="33"/>
      <c r="J170" s="23"/>
      <c r="K170" s="23"/>
      <c r="L170" s="24"/>
      <c r="M170" s="24"/>
      <c r="N170" s="24"/>
      <c r="O170" s="24"/>
    </row>
    <row r="171" customFormat="false" ht="15.75" hidden="false" customHeight="true" outlineLevel="0" collapsed="false">
      <c r="A171" s="23"/>
      <c r="B171" s="24"/>
      <c r="C171" s="24"/>
      <c r="D171" s="24"/>
      <c r="E171" s="24"/>
      <c r="F171" s="25"/>
      <c r="G171" s="30" t="str">
        <f aca="false">CVSSv2!$A$12</f>
        <v>Nivel de confianza:</v>
      </c>
      <c r="H171" s="31" t="s">
        <v>714</v>
      </c>
      <c r="I171" s="33"/>
      <c r="J171" s="23"/>
      <c r="K171" s="23"/>
      <c r="L171" s="24"/>
      <c r="M171" s="24"/>
      <c r="N171" s="24"/>
      <c r="O171" s="24"/>
    </row>
    <row r="172" customFormat="false" ht="15.75" hidden="false" customHeight="true" outlineLevel="0" collapsed="false">
      <c r="A172" s="23"/>
      <c r="B172" s="24"/>
      <c r="C172" s="24"/>
      <c r="D172" s="24"/>
      <c r="E172" s="24"/>
      <c r="F172" s="25"/>
      <c r="G172" s="32" t="str">
        <f aca="false">"("&amp;CVSSv2!$B$4&amp;":"&amp;IF(H163=CVSSv2!$C$4,CVSSv2!$C$26,IF(H163=CVSSv2!$D$4,CVSSv2!$D$26,IF(H163=CVSSv2!$E$4,CVSSv2!$E$26,"")))&amp;"/"&amp;CVSSv2!$B$5&amp;":"&amp;IF(H164=CVSSv2!$C$5,CVSSv2!$C$27,IF(H164=CVSSv2!$D$5,CVSSv2!$D$27,IF(H164=CVSSv2!$E$5,CVSSv2!$E$27,"")))&amp;"/"&amp;CVSSv2!$B$6&amp;":"&amp;IF(H165=CVSSv2!$C$6,CVSSv2!$C$28,IF(H165=CVSSv2!$D$6,CVSSv2!$D$28,IF(H165=CVSSv2!$E$6,CVSSv2!$E$28,"")))&amp;"/"&amp;CVSSv2!$B$7&amp;":"&amp;IF(H166=CVSSv2!$C$7,CVSSv2!$C$29,IF(H166=CVSSv2!$D$7,CVSSv2!$D$29,IF(H166=CVSSv2!$E$7,CVSSv2!$E$29,"")))&amp;"/"&amp;CVSSv2!$B$8&amp;":"&amp;IF(H167=CVSSv2!$C$8,CVSSv2!$C$30,IF(H167=CVSSv2!$D$8,CVSSv2!$D$30,IF(H167=CVSSv2!$E$8,CVSSv2!$E$30,"")))&amp;"/"&amp;CVSSv2!$B$9&amp;":"&amp;IF(H168=CVSSv2!$C$9,CVSSv2!$C$31,IF(H168=CVSSv2!$D$9,CVSSv2!$D$31,IF(H168=CVSSv2!$E$9,CVSSv2!$E$31,"")))&amp;"/"&amp;CVSSv2!$B$10&amp;":"&amp;IF(H169=CVSSv2!$C$10,CVSSv2!$C$32,IF(H169=CVSSv2!$D$10,CVSSv2!$D$32,IF(H169=CVSSv2!$E$10,CVSSv2!$E$32,IF(H169=CVSSv2!$F$10,CVSSv2!$F$32,""))))&amp;"/"&amp;CVSSv2!$B$11&amp;":"&amp;IF(H170=CVSSv2!$C$11,CVSSv2!$C$33,IF(H170=CVSSv2!$D$11,CVSSv2!$D$33,IF(H170=CVSSv2!$E$11,CVSSv2!$E$33,IF(H170=CVSSv2!$F$11,CVSSv2!$F$33,""))))&amp;"/"&amp;CVSSv2!$B$12&amp;":"&amp;IF(H171=CVSSv2!$C$12,CVSSv2!$C$34,IF(H171=CVSSv2!$D$12,CVSSv2!$D$34,IF(H171=CVSSv2!$E$12,CVSSv2!$E$34,"")))&amp;")"</f>
        <v>(AV:N/AC:L/Au:N/C:C/I:C/A:C/E:H/RL:W/RC:C)</v>
      </c>
      <c r="H172" s="32"/>
      <c r="I172" s="33"/>
      <c r="J172" s="23"/>
      <c r="K172" s="23"/>
      <c r="L172" s="24"/>
      <c r="M172" s="24"/>
      <c r="N172" s="24"/>
      <c r="O172" s="24"/>
    </row>
    <row r="173" customFormat="false" ht="15.75" hidden="false" customHeight="true" outlineLevel="0" collapsed="false">
      <c r="A173" s="23" t="n">
        <v>18</v>
      </c>
      <c r="B173" s="24" t="s">
        <v>731</v>
      </c>
      <c r="C173" s="24" t="s">
        <v>17</v>
      </c>
      <c r="D173" s="24" t="s">
        <v>17</v>
      </c>
      <c r="E173" s="24" t="s">
        <v>17</v>
      </c>
      <c r="F1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73" s="26" t="str">
        <f aca="false">CVSSv2!$A$4</f>
        <v>Vector de acceso:</v>
      </c>
      <c r="H173" s="27" t="s">
        <v>706</v>
      </c>
      <c r="I173" s="33" t="n">
        <f aca="false">ROUND(((0.6*(10.41*(1-(1-IF(H176=CVSSv2!$C$7,CVSSv2!$C$18,IF(H176=CVSSv2!$D$7,CVSSv2!$D$18,IF(H176=CVSSv2!$E$7,CVSSv2!$E$18,0))))*(1-IF(H177=CVSSv2!$C$8,CVSSv2!$C$19,IF(H177=CVSSv2!$D$8,CVSSv2!$D$19,IF(H177=CVSSv2!$E$8,CVSSv2!$E$19,0))))*(1-IF(H178=CVSSv2!$C$9,CVSSv2!$C$20,IF(H178=CVSSv2!$D$9,CVSSv2!$D$20,IF(H178=CVSSv2!$E$9,CVSSv2!$E$20,0))))))+0.4*(20*IF(H173=CVSSv2!$C$4,CVSSv2!$C$15,IF(H173=CVSSv2!$D$4,CVSSv2!$D$15,IF(H173=CVSSv2!$E$4,CVSSv2!$E$15,0)))*IF(H174=CVSSv2!$C$5,CVSSv2!$C$16,IF(H174=CVSSv2!$D$5,CVSSv2!$D$16,IF(H174=CVSSv2!$E$5,CVSSv2!$E$16,0)))*IF(H175=CVSSv2!$C$6,CVSSv2!$C$17,IF(H175=CVSSv2!$D$6,CVSSv2!$D$17,IF(H175=CVSSv2!$E$6,CVSSv2!$E$17,0))))-1.5)*(IF(10.41*(1-(1-IF(H176=CVSSv2!$C$7,CVSSv2!$C$18,IF(H176=CVSSv2!$D$7,CVSSv2!$D$18,IF(H176=CVSSv2!$E$7,CVSSv2!$E$18,0))))*(1-IF(H177=CVSSv2!$C$8,CVSSv2!$C$19,IF(H177=CVSSv2!$D$8,CVSSv2!$D$19,IF(H177=CVSSv2!$E$8,CVSSv2!$E$19,0))))*(1-IF(H178=CVSSv2!$C$9,CVSSv2!$C$20,IF(H178=CVSSv2!$D$9,CVSSv2!$D$20,IF(H178=CVSSv2!$E$9,CVSSv2!$E$20,0)))))=0,0,1.176)))*(IF(H179=CVSSv2!$C$10,CVSSv2!$C$21,IF(H179=CVSSv2!$D$10,CVSSv2!$D$21,IF(H179=CVSSv2!$E$10,CVSSv2!$E$21,IF(H179=CVSSv2!$F$10,CVSSv2!$F$21,0))))*IF(H180=CVSSv2!$C$11,CVSSv2!$C$22,IF(H180=CVSSv2!$D$11,CVSSv2!$D$22,IF(H180=CVSSv2!$E$11,CVSSv2!$E$22,IF(H180=CVSSv2!$F$11,CVSSv2!$F$22,0))))*IF(H181=CVSSv2!$C$12,CVSSv2!$C$23,IF(H181=CVSSv2!$D$12,CVSSv2!$D$23,IF(H181=CVSSv2!$E$12,CVSSv2!$E$23,0)))),1)</f>
        <v>9.5</v>
      </c>
      <c r="J173" s="23" t="n">
        <v>0</v>
      </c>
      <c r="K173" s="23" t="n">
        <v>0</v>
      </c>
      <c r="L173" s="24" t="s">
        <v>17</v>
      </c>
      <c r="M173" s="24" t="s">
        <v>17</v>
      </c>
      <c r="N173" s="24" t="s">
        <v>707</v>
      </c>
      <c r="O173" s="24" t="s">
        <v>708</v>
      </c>
    </row>
    <row r="174" customFormat="false" ht="15.75" hidden="false" customHeight="true" outlineLevel="0" collapsed="false">
      <c r="A174" s="23"/>
      <c r="B174" s="24"/>
      <c r="C174" s="24"/>
      <c r="D174" s="24"/>
      <c r="E174" s="24"/>
      <c r="F174" s="25"/>
      <c r="G174" s="30" t="str">
        <f aca="false">CVSSv2!$A$5</f>
        <v>Complejidad de acceso:</v>
      </c>
      <c r="H174" s="31" t="s">
        <v>709</v>
      </c>
      <c r="I174" s="33"/>
      <c r="J174" s="23"/>
      <c r="K174" s="23"/>
      <c r="L174" s="24"/>
      <c r="M174" s="24"/>
      <c r="N174" s="24"/>
      <c r="O174" s="24"/>
    </row>
    <row r="175" customFormat="false" ht="15.75" hidden="false" customHeight="true" outlineLevel="0" collapsed="false">
      <c r="A175" s="23"/>
      <c r="B175" s="24"/>
      <c r="C175" s="24"/>
      <c r="D175" s="24"/>
      <c r="E175" s="24"/>
      <c r="F175" s="25"/>
      <c r="G175" s="30" t="str">
        <f aca="false">CVSSv2!$A$6</f>
        <v>Autenticación:</v>
      </c>
      <c r="H175" s="31" t="s">
        <v>710</v>
      </c>
      <c r="I175" s="33"/>
      <c r="J175" s="23"/>
      <c r="K175" s="23"/>
      <c r="L175" s="24"/>
      <c r="M175" s="24"/>
      <c r="N175" s="24"/>
      <c r="O175" s="24"/>
    </row>
    <row r="176" customFormat="false" ht="15.75" hidden="false" customHeight="true" outlineLevel="0" collapsed="false">
      <c r="A176" s="23"/>
      <c r="B176" s="24"/>
      <c r="C176" s="24"/>
      <c r="D176" s="24"/>
      <c r="E176" s="24"/>
      <c r="F176" s="25"/>
      <c r="G176" s="30" t="str">
        <f aca="false">CVSSv2!$A$7</f>
        <v>Impacto a la confidencialidad:</v>
      </c>
      <c r="H176" s="31" t="s">
        <v>711</v>
      </c>
      <c r="I176" s="33"/>
      <c r="J176" s="23"/>
      <c r="K176" s="23"/>
      <c r="L176" s="24"/>
      <c r="M176" s="24"/>
      <c r="N176" s="24"/>
      <c r="O176" s="24"/>
    </row>
    <row r="177" customFormat="false" ht="15.75" hidden="false" customHeight="true" outlineLevel="0" collapsed="false">
      <c r="A177" s="23"/>
      <c r="B177" s="24"/>
      <c r="C177" s="24"/>
      <c r="D177" s="24"/>
      <c r="E177" s="24"/>
      <c r="F177" s="25"/>
      <c r="G177" s="30" t="str">
        <f aca="false">CVSSv2!$A$8</f>
        <v>Impacto a la integridad:</v>
      </c>
      <c r="H177" s="31" t="s">
        <v>711</v>
      </c>
      <c r="I177" s="33"/>
      <c r="J177" s="23"/>
      <c r="K177" s="23"/>
      <c r="L177" s="24"/>
      <c r="M177" s="24"/>
      <c r="N177" s="24"/>
      <c r="O177" s="24"/>
    </row>
    <row r="178" customFormat="false" ht="15.75" hidden="false" customHeight="true" outlineLevel="0" collapsed="false">
      <c r="A178" s="23"/>
      <c r="B178" s="24"/>
      <c r="C178" s="24"/>
      <c r="D178" s="24"/>
      <c r="E178" s="24"/>
      <c r="F178" s="25"/>
      <c r="G178" s="30" t="str">
        <f aca="false">CVSSv2!$A$9</f>
        <v>Impacto a la disponibilidad:</v>
      </c>
      <c r="H178" s="31" t="s">
        <v>711</v>
      </c>
      <c r="I178" s="33"/>
      <c r="J178" s="23"/>
      <c r="K178" s="23"/>
      <c r="L178" s="24"/>
      <c r="M178" s="24"/>
      <c r="N178" s="24"/>
      <c r="O178" s="24"/>
    </row>
    <row r="179" customFormat="false" ht="15.75" hidden="false" customHeight="true" outlineLevel="0" collapsed="false">
      <c r="A179" s="23"/>
      <c r="B179" s="24"/>
      <c r="C179" s="24"/>
      <c r="D179" s="24"/>
      <c r="E179" s="24"/>
      <c r="F179" s="25"/>
      <c r="G179" s="30" t="str">
        <f aca="false">CVSSv2!$A$10</f>
        <v>Explotabilidad:</v>
      </c>
      <c r="H179" s="31" t="s">
        <v>712</v>
      </c>
      <c r="I179" s="33"/>
      <c r="J179" s="23"/>
      <c r="K179" s="23"/>
      <c r="L179" s="24"/>
      <c r="M179" s="24"/>
      <c r="N179" s="24"/>
      <c r="O179" s="24"/>
    </row>
    <row r="180" customFormat="false" ht="15.75" hidden="false" customHeight="true" outlineLevel="0" collapsed="false">
      <c r="A180" s="23"/>
      <c r="B180" s="24"/>
      <c r="C180" s="24"/>
      <c r="D180" s="24"/>
      <c r="E180" s="24"/>
      <c r="F180" s="25"/>
      <c r="G180" s="30" t="str">
        <f aca="false">CVSSv2!$A$11</f>
        <v>Nivel de resolución:</v>
      </c>
      <c r="H180" s="31" t="s">
        <v>713</v>
      </c>
      <c r="I180" s="33"/>
      <c r="J180" s="23"/>
      <c r="K180" s="23"/>
      <c r="L180" s="24"/>
      <c r="M180" s="24"/>
      <c r="N180" s="24"/>
      <c r="O180" s="24"/>
    </row>
    <row r="181" customFormat="false" ht="15.75" hidden="false" customHeight="true" outlineLevel="0" collapsed="false">
      <c r="A181" s="23"/>
      <c r="B181" s="24"/>
      <c r="C181" s="24"/>
      <c r="D181" s="24"/>
      <c r="E181" s="24"/>
      <c r="F181" s="25"/>
      <c r="G181" s="30" t="str">
        <f aca="false">CVSSv2!$A$12</f>
        <v>Nivel de confianza:</v>
      </c>
      <c r="H181" s="31" t="s">
        <v>714</v>
      </c>
      <c r="I181" s="33"/>
      <c r="J181" s="23"/>
      <c r="K181" s="23"/>
      <c r="L181" s="24"/>
      <c r="M181" s="24"/>
      <c r="N181" s="24"/>
      <c r="O181" s="24"/>
    </row>
    <row r="182" customFormat="false" ht="15.75" hidden="false" customHeight="true" outlineLevel="0" collapsed="false">
      <c r="A182" s="23"/>
      <c r="B182" s="24"/>
      <c r="C182" s="24"/>
      <c r="D182" s="24"/>
      <c r="E182" s="24"/>
      <c r="F182" s="25"/>
      <c r="G182" s="32" t="str">
        <f aca="false">"("&amp;CVSSv2!$B$4&amp;":"&amp;IF(H173=CVSSv2!$C$4,CVSSv2!$C$26,IF(H173=CVSSv2!$D$4,CVSSv2!$D$26,IF(H173=CVSSv2!$E$4,CVSSv2!$E$26,"")))&amp;"/"&amp;CVSSv2!$B$5&amp;":"&amp;IF(H174=CVSSv2!$C$5,CVSSv2!$C$27,IF(H174=CVSSv2!$D$5,CVSSv2!$D$27,IF(H174=CVSSv2!$E$5,CVSSv2!$E$27,"")))&amp;"/"&amp;CVSSv2!$B$6&amp;":"&amp;IF(H175=CVSSv2!$C$6,CVSSv2!$C$28,IF(H175=CVSSv2!$D$6,CVSSv2!$D$28,IF(H175=CVSSv2!$E$6,CVSSv2!$E$28,"")))&amp;"/"&amp;CVSSv2!$B$7&amp;":"&amp;IF(H176=CVSSv2!$C$7,CVSSv2!$C$29,IF(H176=CVSSv2!$D$7,CVSSv2!$D$29,IF(H176=CVSSv2!$E$7,CVSSv2!$E$29,"")))&amp;"/"&amp;CVSSv2!$B$8&amp;":"&amp;IF(H177=CVSSv2!$C$8,CVSSv2!$C$30,IF(H177=CVSSv2!$D$8,CVSSv2!$D$30,IF(H177=CVSSv2!$E$8,CVSSv2!$E$30,"")))&amp;"/"&amp;CVSSv2!$B$9&amp;":"&amp;IF(H178=CVSSv2!$C$9,CVSSv2!$C$31,IF(H178=CVSSv2!$D$9,CVSSv2!$D$31,IF(H178=CVSSv2!$E$9,CVSSv2!$E$31,"")))&amp;"/"&amp;CVSSv2!$B$10&amp;":"&amp;IF(H179=CVSSv2!$C$10,CVSSv2!$C$32,IF(H179=CVSSv2!$D$10,CVSSv2!$D$32,IF(H179=CVSSv2!$E$10,CVSSv2!$E$32,IF(H179=CVSSv2!$F$10,CVSSv2!$F$32,""))))&amp;"/"&amp;CVSSv2!$B$11&amp;":"&amp;IF(H180=CVSSv2!$C$11,CVSSv2!$C$33,IF(H180=CVSSv2!$D$11,CVSSv2!$D$33,IF(H180=CVSSv2!$E$11,CVSSv2!$E$33,IF(H180=CVSSv2!$F$11,CVSSv2!$F$33,""))))&amp;"/"&amp;CVSSv2!$B$12&amp;":"&amp;IF(H181=CVSSv2!$C$12,CVSSv2!$C$34,IF(H181=CVSSv2!$D$12,CVSSv2!$D$34,IF(H181=CVSSv2!$E$12,CVSSv2!$E$34,"")))&amp;")"</f>
        <v>(AV:N/AC:L/Au:N/C:C/I:C/A:C/E:H/RL:W/RC:C)</v>
      </c>
      <c r="H182" s="32"/>
      <c r="I182" s="33"/>
      <c r="J182" s="23"/>
      <c r="K182" s="23"/>
      <c r="L182" s="24"/>
      <c r="M182" s="24"/>
      <c r="N182" s="24"/>
      <c r="O182" s="24"/>
    </row>
    <row r="183" customFormat="false" ht="15.75" hidden="false" customHeight="true" outlineLevel="0" collapsed="false">
      <c r="A183" s="23" t="n">
        <v>19</v>
      </c>
      <c r="B183" s="24" t="s">
        <v>732</v>
      </c>
      <c r="C183" s="24" t="s">
        <v>17</v>
      </c>
      <c r="D183" s="24" t="s">
        <v>17</v>
      </c>
      <c r="E183" s="24" t="s">
        <v>17</v>
      </c>
      <c r="F1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83" s="26" t="str">
        <f aca="false">CVSSv2!$A$4</f>
        <v>Vector de acceso:</v>
      </c>
      <c r="H183" s="27" t="s">
        <v>706</v>
      </c>
      <c r="I183" s="33" t="n">
        <f aca="false">ROUND(((0.6*(10.41*(1-(1-IF(H186=CVSSv2!$C$7,CVSSv2!$C$18,IF(H186=CVSSv2!$D$7,CVSSv2!$D$18,IF(H186=CVSSv2!$E$7,CVSSv2!$E$18,0))))*(1-IF(H187=CVSSv2!$C$8,CVSSv2!$C$19,IF(H187=CVSSv2!$D$8,CVSSv2!$D$19,IF(H187=CVSSv2!$E$8,CVSSv2!$E$19,0))))*(1-IF(H188=CVSSv2!$C$9,CVSSv2!$C$20,IF(H188=CVSSv2!$D$9,CVSSv2!$D$20,IF(H188=CVSSv2!$E$9,CVSSv2!$E$20,0))))))+0.4*(20*IF(H183=CVSSv2!$C$4,CVSSv2!$C$15,IF(H183=CVSSv2!$D$4,CVSSv2!$D$15,IF(H183=CVSSv2!$E$4,CVSSv2!$E$15,0)))*IF(H184=CVSSv2!$C$5,CVSSv2!$C$16,IF(H184=CVSSv2!$D$5,CVSSv2!$D$16,IF(H184=CVSSv2!$E$5,CVSSv2!$E$16,0)))*IF(H185=CVSSv2!$C$6,CVSSv2!$C$17,IF(H185=CVSSv2!$D$6,CVSSv2!$D$17,IF(H185=CVSSv2!$E$6,CVSSv2!$E$17,0))))-1.5)*(IF(10.41*(1-(1-IF(H186=CVSSv2!$C$7,CVSSv2!$C$18,IF(H186=CVSSv2!$D$7,CVSSv2!$D$18,IF(H186=CVSSv2!$E$7,CVSSv2!$E$18,0))))*(1-IF(H187=CVSSv2!$C$8,CVSSv2!$C$19,IF(H187=CVSSv2!$D$8,CVSSv2!$D$19,IF(H187=CVSSv2!$E$8,CVSSv2!$E$19,0))))*(1-IF(H188=CVSSv2!$C$9,CVSSv2!$C$20,IF(H188=CVSSv2!$D$9,CVSSv2!$D$20,IF(H188=CVSSv2!$E$9,CVSSv2!$E$20,0)))))=0,0,1.176)))*(IF(H189=CVSSv2!$C$10,CVSSv2!$C$21,IF(H189=CVSSv2!$D$10,CVSSv2!$D$21,IF(H189=CVSSv2!$E$10,CVSSv2!$E$21,IF(H189=CVSSv2!$F$10,CVSSv2!$F$21,0))))*IF(H190=CVSSv2!$C$11,CVSSv2!$C$22,IF(H190=CVSSv2!$D$11,CVSSv2!$D$22,IF(H190=CVSSv2!$E$11,CVSSv2!$E$22,IF(H190=CVSSv2!$F$11,CVSSv2!$F$22,0))))*IF(H191=CVSSv2!$C$12,CVSSv2!$C$23,IF(H191=CVSSv2!$D$12,CVSSv2!$D$23,IF(H191=CVSSv2!$E$12,CVSSv2!$E$23,0)))),1)</f>
        <v>9.5</v>
      </c>
      <c r="J183" s="23" t="n">
        <v>0</v>
      </c>
      <c r="K183" s="23" t="n">
        <v>0</v>
      </c>
      <c r="L183" s="24" t="s">
        <v>17</v>
      </c>
      <c r="M183" s="24" t="s">
        <v>17</v>
      </c>
      <c r="N183" s="24" t="s">
        <v>707</v>
      </c>
      <c r="O183" s="24" t="s">
        <v>708</v>
      </c>
    </row>
    <row r="184" customFormat="false" ht="15.75" hidden="false" customHeight="true" outlineLevel="0" collapsed="false">
      <c r="A184" s="23"/>
      <c r="B184" s="24"/>
      <c r="C184" s="24"/>
      <c r="D184" s="24"/>
      <c r="E184" s="24"/>
      <c r="F184" s="25"/>
      <c r="G184" s="30" t="str">
        <f aca="false">CVSSv2!$A$5</f>
        <v>Complejidad de acceso:</v>
      </c>
      <c r="H184" s="31" t="s">
        <v>709</v>
      </c>
      <c r="I184" s="33"/>
      <c r="J184" s="23"/>
      <c r="K184" s="23"/>
      <c r="L184" s="24"/>
      <c r="M184" s="24"/>
      <c r="N184" s="24"/>
      <c r="O184" s="24"/>
    </row>
    <row r="185" customFormat="false" ht="15.75" hidden="false" customHeight="true" outlineLevel="0" collapsed="false">
      <c r="A185" s="23"/>
      <c r="B185" s="24"/>
      <c r="C185" s="24"/>
      <c r="D185" s="24"/>
      <c r="E185" s="24"/>
      <c r="F185" s="25"/>
      <c r="G185" s="30" t="str">
        <f aca="false">CVSSv2!$A$6</f>
        <v>Autenticación:</v>
      </c>
      <c r="H185" s="31" t="s">
        <v>710</v>
      </c>
      <c r="I185" s="33"/>
      <c r="J185" s="23"/>
      <c r="K185" s="23"/>
      <c r="L185" s="24"/>
      <c r="M185" s="24"/>
      <c r="N185" s="24"/>
      <c r="O185" s="24"/>
    </row>
    <row r="186" customFormat="false" ht="15.75" hidden="false" customHeight="true" outlineLevel="0" collapsed="false">
      <c r="A186" s="23"/>
      <c r="B186" s="24"/>
      <c r="C186" s="24"/>
      <c r="D186" s="24"/>
      <c r="E186" s="24"/>
      <c r="F186" s="25"/>
      <c r="G186" s="30" t="str">
        <f aca="false">CVSSv2!$A$7</f>
        <v>Impacto a la confidencialidad:</v>
      </c>
      <c r="H186" s="31" t="s">
        <v>711</v>
      </c>
      <c r="I186" s="33"/>
      <c r="J186" s="23"/>
      <c r="K186" s="23"/>
      <c r="L186" s="24"/>
      <c r="M186" s="24"/>
      <c r="N186" s="24"/>
      <c r="O186" s="24"/>
    </row>
    <row r="187" customFormat="false" ht="15.75" hidden="false" customHeight="true" outlineLevel="0" collapsed="false">
      <c r="A187" s="23"/>
      <c r="B187" s="24"/>
      <c r="C187" s="24"/>
      <c r="D187" s="24"/>
      <c r="E187" s="24"/>
      <c r="F187" s="25"/>
      <c r="G187" s="30" t="str">
        <f aca="false">CVSSv2!$A$8</f>
        <v>Impacto a la integridad:</v>
      </c>
      <c r="H187" s="31" t="s">
        <v>711</v>
      </c>
      <c r="I187" s="33"/>
      <c r="J187" s="23"/>
      <c r="K187" s="23"/>
      <c r="L187" s="24"/>
      <c r="M187" s="24"/>
      <c r="N187" s="24"/>
      <c r="O187" s="24"/>
    </row>
    <row r="188" customFormat="false" ht="15.75" hidden="false" customHeight="true" outlineLevel="0" collapsed="false">
      <c r="A188" s="23"/>
      <c r="B188" s="24"/>
      <c r="C188" s="24"/>
      <c r="D188" s="24"/>
      <c r="E188" s="24"/>
      <c r="F188" s="25"/>
      <c r="G188" s="30" t="str">
        <f aca="false">CVSSv2!$A$9</f>
        <v>Impacto a la disponibilidad:</v>
      </c>
      <c r="H188" s="31" t="s">
        <v>711</v>
      </c>
      <c r="I188" s="33"/>
      <c r="J188" s="23"/>
      <c r="K188" s="23"/>
      <c r="L188" s="24"/>
      <c r="M188" s="24"/>
      <c r="N188" s="24"/>
      <c r="O188" s="24"/>
    </row>
    <row r="189" customFormat="false" ht="15.75" hidden="false" customHeight="true" outlineLevel="0" collapsed="false">
      <c r="A189" s="23"/>
      <c r="B189" s="24"/>
      <c r="C189" s="24"/>
      <c r="D189" s="24"/>
      <c r="E189" s="24"/>
      <c r="F189" s="25"/>
      <c r="G189" s="30" t="str">
        <f aca="false">CVSSv2!$A$10</f>
        <v>Explotabilidad:</v>
      </c>
      <c r="H189" s="31" t="s">
        <v>712</v>
      </c>
      <c r="I189" s="33"/>
      <c r="J189" s="23"/>
      <c r="K189" s="23"/>
      <c r="L189" s="24"/>
      <c r="M189" s="24"/>
      <c r="N189" s="24"/>
      <c r="O189" s="24"/>
    </row>
    <row r="190" customFormat="false" ht="15.75" hidden="false" customHeight="true" outlineLevel="0" collapsed="false">
      <c r="A190" s="23"/>
      <c r="B190" s="24"/>
      <c r="C190" s="24"/>
      <c r="D190" s="24"/>
      <c r="E190" s="24"/>
      <c r="F190" s="25"/>
      <c r="G190" s="30" t="str">
        <f aca="false">CVSSv2!$A$11</f>
        <v>Nivel de resolución:</v>
      </c>
      <c r="H190" s="31" t="s">
        <v>713</v>
      </c>
      <c r="I190" s="33"/>
      <c r="J190" s="23"/>
      <c r="K190" s="23"/>
      <c r="L190" s="24"/>
      <c r="M190" s="24"/>
      <c r="N190" s="24"/>
      <c r="O190" s="24"/>
    </row>
    <row r="191" customFormat="false" ht="15.75" hidden="false" customHeight="true" outlineLevel="0" collapsed="false">
      <c r="A191" s="23"/>
      <c r="B191" s="24"/>
      <c r="C191" s="24"/>
      <c r="D191" s="24"/>
      <c r="E191" s="24"/>
      <c r="F191" s="25"/>
      <c r="G191" s="30" t="str">
        <f aca="false">CVSSv2!$A$12</f>
        <v>Nivel de confianza:</v>
      </c>
      <c r="H191" s="31" t="s">
        <v>714</v>
      </c>
      <c r="I191" s="33"/>
      <c r="J191" s="23"/>
      <c r="K191" s="23"/>
      <c r="L191" s="24"/>
      <c r="M191" s="24"/>
      <c r="N191" s="24"/>
      <c r="O191" s="24"/>
    </row>
    <row r="192" customFormat="false" ht="15.75" hidden="false" customHeight="true" outlineLevel="0" collapsed="false">
      <c r="A192" s="23"/>
      <c r="B192" s="24"/>
      <c r="C192" s="24"/>
      <c r="D192" s="24"/>
      <c r="E192" s="24"/>
      <c r="F192" s="25"/>
      <c r="G192" s="32" t="str">
        <f aca="false">"("&amp;CVSSv2!$B$4&amp;":"&amp;IF(H183=CVSSv2!$C$4,CVSSv2!$C$26,IF(H183=CVSSv2!$D$4,CVSSv2!$D$26,IF(H183=CVSSv2!$E$4,CVSSv2!$E$26,"")))&amp;"/"&amp;CVSSv2!$B$5&amp;":"&amp;IF(H184=CVSSv2!$C$5,CVSSv2!$C$27,IF(H184=CVSSv2!$D$5,CVSSv2!$D$27,IF(H184=CVSSv2!$E$5,CVSSv2!$E$27,"")))&amp;"/"&amp;CVSSv2!$B$6&amp;":"&amp;IF(H185=CVSSv2!$C$6,CVSSv2!$C$28,IF(H185=CVSSv2!$D$6,CVSSv2!$D$28,IF(H185=CVSSv2!$E$6,CVSSv2!$E$28,"")))&amp;"/"&amp;CVSSv2!$B$7&amp;":"&amp;IF(H186=CVSSv2!$C$7,CVSSv2!$C$29,IF(H186=CVSSv2!$D$7,CVSSv2!$D$29,IF(H186=CVSSv2!$E$7,CVSSv2!$E$29,"")))&amp;"/"&amp;CVSSv2!$B$8&amp;":"&amp;IF(H187=CVSSv2!$C$8,CVSSv2!$C$30,IF(H187=CVSSv2!$D$8,CVSSv2!$D$30,IF(H187=CVSSv2!$E$8,CVSSv2!$E$30,"")))&amp;"/"&amp;CVSSv2!$B$9&amp;":"&amp;IF(H188=CVSSv2!$C$9,CVSSv2!$C$31,IF(H188=CVSSv2!$D$9,CVSSv2!$D$31,IF(H188=CVSSv2!$E$9,CVSSv2!$E$31,"")))&amp;"/"&amp;CVSSv2!$B$10&amp;":"&amp;IF(H189=CVSSv2!$C$10,CVSSv2!$C$32,IF(H189=CVSSv2!$D$10,CVSSv2!$D$32,IF(H189=CVSSv2!$E$10,CVSSv2!$E$32,IF(H189=CVSSv2!$F$10,CVSSv2!$F$32,""))))&amp;"/"&amp;CVSSv2!$B$11&amp;":"&amp;IF(H190=CVSSv2!$C$11,CVSSv2!$C$33,IF(H190=CVSSv2!$D$11,CVSSv2!$D$33,IF(H190=CVSSv2!$E$11,CVSSv2!$E$33,IF(H190=CVSSv2!$F$11,CVSSv2!$F$33,""))))&amp;"/"&amp;CVSSv2!$B$12&amp;":"&amp;IF(H191=CVSSv2!$C$12,CVSSv2!$C$34,IF(H191=CVSSv2!$D$12,CVSSv2!$D$34,IF(H191=CVSSv2!$E$12,CVSSv2!$E$34,"")))&amp;")"</f>
        <v>(AV:N/AC:L/Au:N/C:C/I:C/A:C/E:H/RL:W/RC:C)</v>
      </c>
      <c r="H192" s="32"/>
      <c r="I192" s="33"/>
      <c r="J192" s="23"/>
      <c r="K192" s="23"/>
      <c r="L192" s="24"/>
      <c r="M192" s="24"/>
      <c r="N192" s="24"/>
      <c r="O192" s="24"/>
    </row>
    <row r="193" customFormat="false" ht="15.75" hidden="false" customHeight="true" outlineLevel="0" collapsed="false">
      <c r="A193" s="23" t="n">
        <v>20</v>
      </c>
      <c r="B193" s="24" t="s">
        <v>733</v>
      </c>
      <c r="C193" s="24" t="s">
        <v>17</v>
      </c>
      <c r="D193" s="24" t="s">
        <v>17</v>
      </c>
      <c r="E193" s="24" t="s">
        <v>17</v>
      </c>
      <c r="F1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93" s="26" t="str">
        <f aca="false">CVSSv2!$A$4</f>
        <v>Vector de acceso:</v>
      </c>
      <c r="H193" s="27" t="s">
        <v>706</v>
      </c>
      <c r="I193" s="33" t="n">
        <f aca="false">ROUND(((0.6*(10.41*(1-(1-IF(H196=CVSSv2!$C$7,CVSSv2!$C$18,IF(H196=CVSSv2!$D$7,CVSSv2!$D$18,IF(H196=CVSSv2!$E$7,CVSSv2!$E$18,0))))*(1-IF(H197=CVSSv2!$C$8,CVSSv2!$C$19,IF(H197=CVSSv2!$D$8,CVSSv2!$D$19,IF(H197=CVSSv2!$E$8,CVSSv2!$E$19,0))))*(1-IF(H198=CVSSv2!$C$9,CVSSv2!$C$20,IF(H198=CVSSv2!$D$9,CVSSv2!$D$20,IF(H198=CVSSv2!$E$9,CVSSv2!$E$20,0))))))+0.4*(20*IF(H193=CVSSv2!$C$4,CVSSv2!$C$15,IF(H193=CVSSv2!$D$4,CVSSv2!$D$15,IF(H193=CVSSv2!$E$4,CVSSv2!$E$15,0)))*IF(H194=CVSSv2!$C$5,CVSSv2!$C$16,IF(H194=CVSSv2!$D$5,CVSSv2!$D$16,IF(H194=CVSSv2!$E$5,CVSSv2!$E$16,0)))*IF(H195=CVSSv2!$C$6,CVSSv2!$C$17,IF(H195=CVSSv2!$D$6,CVSSv2!$D$17,IF(H195=CVSSv2!$E$6,CVSSv2!$E$17,0))))-1.5)*(IF(10.41*(1-(1-IF(H196=CVSSv2!$C$7,CVSSv2!$C$18,IF(H196=CVSSv2!$D$7,CVSSv2!$D$18,IF(H196=CVSSv2!$E$7,CVSSv2!$E$18,0))))*(1-IF(H197=CVSSv2!$C$8,CVSSv2!$C$19,IF(H197=CVSSv2!$D$8,CVSSv2!$D$19,IF(H197=CVSSv2!$E$8,CVSSv2!$E$19,0))))*(1-IF(H198=CVSSv2!$C$9,CVSSv2!$C$20,IF(H198=CVSSv2!$D$9,CVSSv2!$D$20,IF(H198=CVSSv2!$E$9,CVSSv2!$E$20,0)))))=0,0,1.176)))*(IF(H199=CVSSv2!$C$10,CVSSv2!$C$21,IF(H199=CVSSv2!$D$10,CVSSv2!$D$21,IF(H199=CVSSv2!$E$10,CVSSv2!$E$21,IF(H199=CVSSv2!$F$10,CVSSv2!$F$21,0))))*IF(H200=CVSSv2!$C$11,CVSSv2!$C$22,IF(H200=CVSSv2!$D$11,CVSSv2!$D$22,IF(H200=CVSSv2!$E$11,CVSSv2!$E$22,IF(H200=CVSSv2!$F$11,CVSSv2!$F$22,0))))*IF(H201=CVSSv2!$C$12,CVSSv2!$C$23,IF(H201=CVSSv2!$D$12,CVSSv2!$D$23,IF(H201=CVSSv2!$E$12,CVSSv2!$E$23,0)))),1)</f>
        <v>9.5</v>
      </c>
      <c r="J193" s="23" t="n">
        <v>0</v>
      </c>
      <c r="K193" s="23" t="n">
        <v>0</v>
      </c>
      <c r="L193" s="24" t="s">
        <v>17</v>
      </c>
      <c r="M193" s="24" t="s">
        <v>17</v>
      </c>
      <c r="N193" s="24" t="s">
        <v>707</v>
      </c>
      <c r="O193" s="24" t="s">
        <v>708</v>
      </c>
    </row>
    <row r="194" customFormat="false" ht="15.75" hidden="false" customHeight="true" outlineLevel="0" collapsed="false">
      <c r="A194" s="23"/>
      <c r="B194" s="24"/>
      <c r="C194" s="24"/>
      <c r="D194" s="24"/>
      <c r="E194" s="24"/>
      <c r="F194" s="25"/>
      <c r="G194" s="30" t="str">
        <f aca="false">CVSSv2!$A$5</f>
        <v>Complejidad de acceso:</v>
      </c>
      <c r="H194" s="31" t="s">
        <v>709</v>
      </c>
      <c r="I194" s="33"/>
      <c r="J194" s="23"/>
      <c r="K194" s="23"/>
      <c r="L194" s="24"/>
      <c r="M194" s="24"/>
      <c r="N194" s="24"/>
      <c r="O194" s="24"/>
    </row>
    <row r="195" customFormat="false" ht="15.75" hidden="false" customHeight="true" outlineLevel="0" collapsed="false">
      <c r="A195" s="23"/>
      <c r="B195" s="24"/>
      <c r="C195" s="24"/>
      <c r="D195" s="24"/>
      <c r="E195" s="24"/>
      <c r="F195" s="25"/>
      <c r="G195" s="30" t="str">
        <f aca="false">CVSSv2!$A$6</f>
        <v>Autenticación:</v>
      </c>
      <c r="H195" s="31" t="s">
        <v>710</v>
      </c>
      <c r="I195" s="33"/>
      <c r="J195" s="23"/>
      <c r="K195" s="23"/>
      <c r="L195" s="24"/>
      <c r="M195" s="24"/>
      <c r="N195" s="24"/>
      <c r="O195" s="24"/>
    </row>
    <row r="196" customFormat="false" ht="15.75" hidden="false" customHeight="true" outlineLevel="0" collapsed="false">
      <c r="A196" s="23"/>
      <c r="B196" s="24"/>
      <c r="C196" s="24"/>
      <c r="D196" s="24"/>
      <c r="E196" s="24"/>
      <c r="F196" s="25"/>
      <c r="G196" s="30" t="str">
        <f aca="false">CVSSv2!$A$7</f>
        <v>Impacto a la confidencialidad:</v>
      </c>
      <c r="H196" s="31" t="s">
        <v>711</v>
      </c>
      <c r="I196" s="33"/>
      <c r="J196" s="23"/>
      <c r="K196" s="23"/>
      <c r="L196" s="24"/>
      <c r="M196" s="24"/>
      <c r="N196" s="24"/>
      <c r="O196" s="24"/>
    </row>
    <row r="197" customFormat="false" ht="15.75" hidden="false" customHeight="true" outlineLevel="0" collapsed="false">
      <c r="A197" s="23"/>
      <c r="B197" s="24"/>
      <c r="C197" s="24"/>
      <c r="D197" s="24"/>
      <c r="E197" s="24"/>
      <c r="F197" s="25"/>
      <c r="G197" s="30" t="str">
        <f aca="false">CVSSv2!$A$8</f>
        <v>Impacto a la integridad:</v>
      </c>
      <c r="H197" s="31" t="s">
        <v>711</v>
      </c>
      <c r="I197" s="33"/>
      <c r="J197" s="23"/>
      <c r="K197" s="23"/>
      <c r="L197" s="24"/>
      <c r="M197" s="24"/>
      <c r="N197" s="24"/>
      <c r="O197" s="24"/>
    </row>
    <row r="198" customFormat="false" ht="15.75" hidden="false" customHeight="true" outlineLevel="0" collapsed="false">
      <c r="A198" s="23"/>
      <c r="B198" s="24"/>
      <c r="C198" s="24"/>
      <c r="D198" s="24"/>
      <c r="E198" s="24"/>
      <c r="F198" s="25"/>
      <c r="G198" s="30" t="str">
        <f aca="false">CVSSv2!$A$9</f>
        <v>Impacto a la disponibilidad:</v>
      </c>
      <c r="H198" s="31" t="s">
        <v>711</v>
      </c>
      <c r="I198" s="33"/>
      <c r="J198" s="23"/>
      <c r="K198" s="23"/>
      <c r="L198" s="24"/>
      <c r="M198" s="24"/>
      <c r="N198" s="24"/>
      <c r="O198" s="24"/>
    </row>
    <row r="199" customFormat="false" ht="15.75" hidden="false" customHeight="true" outlineLevel="0" collapsed="false">
      <c r="A199" s="23"/>
      <c r="B199" s="24"/>
      <c r="C199" s="24"/>
      <c r="D199" s="24"/>
      <c r="E199" s="24"/>
      <c r="F199" s="25"/>
      <c r="G199" s="30" t="str">
        <f aca="false">CVSSv2!$A$10</f>
        <v>Explotabilidad:</v>
      </c>
      <c r="H199" s="31" t="s">
        <v>712</v>
      </c>
      <c r="I199" s="33"/>
      <c r="J199" s="23"/>
      <c r="K199" s="23"/>
      <c r="L199" s="24"/>
      <c r="M199" s="24"/>
      <c r="N199" s="24"/>
      <c r="O199" s="24"/>
    </row>
    <row r="200" customFormat="false" ht="15.75" hidden="false" customHeight="true" outlineLevel="0" collapsed="false">
      <c r="A200" s="23"/>
      <c r="B200" s="24"/>
      <c r="C200" s="24"/>
      <c r="D200" s="24"/>
      <c r="E200" s="24"/>
      <c r="F200" s="25"/>
      <c r="G200" s="30" t="str">
        <f aca="false">CVSSv2!$A$11</f>
        <v>Nivel de resolución:</v>
      </c>
      <c r="H200" s="31" t="s">
        <v>713</v>
      </c>
      <c r="I200" s="33"/>
      <c r="J200" s="23"/>
      <c r="K200" s="23"/>
      <c r="L200" s="24"/>
      <c r="M200" s="24"/>
      <c r="N200" s="24"/>
      <c r="O200" s="24"/>
    </row>
    <row r="201" customFormat="false" ht="15.75" hidden="false" customHeight="true" outlineLevel="0" collapsed="false">
      <c r="A201" s="23"/>
      <c r="B201" s="24"/>
      <c r="C201" s="24"/>
      <c r="D201" s="24"/>
      <c r="E201" s="24"/>
      <c r="F201" s="25"/>
      <c r="G201" s="30" t="str">
        <f aca="false">CVSSv2!$A$12</f>
        <v>Nivel de confianza:</v>
      </c>
      <c r="H201" s="31" t="s">
        <v>714</v>
      </c>
      <c r="I201" s="33"/>
      <c r="J201" s="23"/>
      <c r="K201" s="23"/>
      <c r="L201" s="24"/>
      <c r="M201" s="24"/>
      <c r="N201" s="24"/>
      <c r="O201" s="24"/>
    </row>
    <row r="202" customFormat="false" ht="15.75" hidden="false" customHeight="true" outlineLevel="0" collapsed="false">
      <c r="A202" s="23"/>
      <c r="B202" s="24"/>
      <c r="C202" s="24"/>
      <c r="D202" s="24"/>
      <c r="E202" s="24"/>
      <c r="F202" s="25"/>
      <c r="G202" s="32" t="str">
        <f aca="false">"("&amp;CVSSv2!$B$4&amp;":"&amp;IF(H193=CVSSv2!$C$4,CVSSv2!$C$26,IF(H193=CVSSv2!$D$4,CVSSv2!$D$26,IF(H193=CVSSv2!$E$4,CVSSv2!$E$26,"")))&amp;"/"&amp;CVSSv2!$B$5&amp;":"&amp;IF(H194=CVSSv2!$C$5,CVSSv2!$C$27,IF(H194=CVSSv2!$D$5,CVSSv2!$D$27,IF(H194=CVSSv2!$E$5,CVSSv2!$E$27,"")))&amp;"/"&amp;CVSSv2!$B$6&amp;":"&amp;IF(H195=CVSSv2!$C$6,CVSSv2!$C$28,IF(H195=CVSSv2!$D$6,CVSSv2!$D$28,IF(H195=CVSSv2!$E$6,CVSSv2!$E$28,"")))&amp;"/"&amp;CVSSv2!$B$7&amp;":"&amp;IF(H196=CVSSv2!$C$7,CVSSv2!$C$29,IF(H196=CVSSv2!$D$7,CVSSv2!$D$29,IF(H196=CVSSv2!$E$7,CVSSv2!$E$29,"")))&amp;"/"&amp;CVSSv2!$B$8&amp;":"&amp;IF(H197=CVSSv2!$C$8,CVSSv2!$C$30,IF(H197=CVSSv2!$D$8,CVSSv2!$D$30,IF(H197=CVSSv2!$E$8,CVSSv2!$E$30,"")))&amp;"/"&amp;CVSSv2!$B$9&amp;":"&amp;IF(H198=CVSSv2!$C$9,CVSSv2!$C$31,IF(H198=CVSSv2!$D$9,CVSSv2!$D$31,IF(H198=CVSSv2!$E$9,CVSSv2!$E$31,"")))&amp;"/"&amp;CVSSv2!$B$10&amp;":"&amp;IF(H199=CVSSv2!$C$10,CVSSv2!$C$32,IF(H199=CVSSv2!$D$10,CVSSv2!$D$32,IF(H199=CVSSv2!$E$10,CVSSv2!$E$32,IF(H199=CVSSv2!$F$10,CVSSv2!$F$32,""))))&amp;"/"&amp;CVSSv2!$B$11&amp;":"&amp;IF(H200=CVSSv2!$C$11,CVSSv2!$C$33,IF(H200=CVSSv2!$D$11,CVSSv2!$D$33,IF(H200=CVSSv2!$E$11,CVSSv2!$E$33,IF(H200=CVSSv2!$F$11,CVSSv2!$F$33,""))))&amp;"/"&amp;CVSSv2!$B$12&amp;":"&amp;IF(H201=CVSSv2!$C$12,CVSSv2!$C$34,IF(H201=CVSSv2!$D$12,CVSSv2!$D$34,IF(H201=CVSSv2!$E$12,CVSSv2!$E$34,"")))&amp;")"</f>
        <v>(AV:N/AC:L/Au:N/C:C/I:C/A:C/E:H/RL:W/RC:C)</v>
      </c>
      <c r="H202" s="32"/>
      <c r="I202" s="33"/>
      <c r="J202" s="23"/>
      <c r="K202" s="23"/>
      <c r="L202" s="24"/>
      <c r="M202" s="24"/>
      <c r="N202" s="24"/>
      <c r="O202" s="24"/>
    </row>
    <row r="203" customFormat="false" ht="15.75" hidden="false" customHeight="true" outlineLevel="0" collapsed="false">
      <c r="A203" s="23" t="n">
        <v>21</v>
      </c>
      <c r="B203" s="24" t="s">
        <v>734</v>
      </c>
      <c r="C203" s="24" t="s">
        <v>17</v>
      </c>
      <c r="D203" s="24" t="s">
        <v>17</v>
      </c>
      <c r="E203" s="24" t="s">
        <v>17</v>
      </c>
      <c r="F2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03" s="26" t="str">
        <f aca="false">CVSSv2!$A$4</f>
        <v>Vector de acceso:</v>
      </c>
      <c r="H203" s="27" t="s">
        <v>706</v>
      </c>
      <c r="I203" s="33" t="n">
        <f aca="false">ROUND(((0.6*(10.41*(1-(1-IF(H206=CVSSv2!$C$7,CVSSv2!$C$18,IF(H206=CVSSv2!$D$7,CVSSv2!$D$18,IF(H206=CVSSv2!$E$7,CVSSv2!$E$18,0))))*(1-IF(H207=CVSSv2!$C$8,CVSSv2!$C$19,IF(H207=CVSSv2!$D$8,CVSSv2!$D$19,IF(H207=CVSSv2!$E$8,CVSSv2!$E$19,0))))*(1-IF(H208=CVSSv2!$C$9,CVSSv2!$C$20,IF(H208=CVSSv2!$D$9,CVSSv2!$D$20,IF(H208=CVSSv2!$E$9,CVSSv2!$E$20,0))))))+0.4*(20*IF(H203=CVSSv2!$C$4,CVSSv2!$C$15,IF(H203=CVSSv2!$D$4,CVSSv2!$D$15,IF(H203=CVSSv2!$E$4,CVSSv2!$E$15,0)))*IF(H204=CVSSv2!$C$5,CVSSv2!$C$16,IF(H204=CVSSv2!$D$5,CVSSv2!$D$16,IF(H204=CVSSv2!$E$5,CVSSv2!$E$16,0)))*IF(H205=CVSSv2!$C$6,CVSSv2!$C$17,IF(H205=CVSSv2!$D$6,CVSSv2!$D$17,IF(H205=CVSSv2!$E$6,CVSSv2!$E$17,0))))-1.5)*(IF(10.41*(1-(1-IF(H206=CVSSv2!$C$7,CVSSv2!$C$18,IF(H206=CVSSv2!$D$7,CVSSv2!$D$18,IF(H206=CVSSv2!$E$7,CVSSv2!$E$18,0))))*(1-IF(H207=CVSSv2!$C$8,CVSSv2!$C$19,IF(H207=CVSSv2!$D$8,CVSSv2!$D$19,IF(H207=CVSSv2!$E$8,CVSSv2!$E$19,0))))*(1-IF(H208=CVSSv2!$C$9,CVSSv2!$C$20,IF(H208=CVSSv2!$D$9,CVSSv2!$D$20,IF(H208=CVSSv2!$E$9,CVSSv2!$E$20,0)))))=0,0,1.176)))*(IF(H209=CVSSv2!$C$10,CVSSv2!$C$21,IF(H209=CVSSv2!$D$10,CVSSv2!$D$21,IF(H209=CVSSv2!$E$10,CVSSv2!$E$21,IF(H209=CVSSv2!$F$10,CVSSv2!$F$21,0))))*IF(H210=CVSSv2!$C$11,CVSSv2!$C$22,IF(H210=CVSSv2!$D$11,CVSSv2!$D$22,IF(H210=CVSSv2!$E$11,CVSSv2!$E$22,IF(H210=CVSSv2!$F$11,CVSSv2!$F$22,0))))*IF(H211=CVSSv2!$C$12,CVSSv2!$C$23,IF(H211=CVSSv2!$D$12,CVSSv2!$D$23,IF(H211=CVSSv2!$E$12,CVSSv2!$E$23,0)))),1)</f>
        <v>9.5</v>
      </c>
      <c r="J203" s="23" t="n">
        <v>0</v>
      </c>
      <c r="K203" s="23" t="n">
        <v>0</v>
      </c>
      <c r="L203" s="24" t="s">
        <v>17</v>
      </c>
      <c r="M203" s="24" t="s">
        <v>17</v>
      </c>
      <c r="N203" s="24" t="s">
        <v>707</v>
      </c>
      <c r="O203" s="24" t="s">
        <v>708</v>
      </c>
    </row>
    <row r="204" customFormat="false" ht="15.75" hidden="false" customHeight="true" outlineLevel="0" collapsed="false">
      <c r="A204" s="23"/>
      <c r="B204" s="24"/>
      <c r="C204" s="24"/>
      <c r="D204" s="24"/>
      <c r="E204" s="24"/>
      <c r="F204" s="25"/>
      <c r="G204" s="30" t="str">
        <f aca="false">CVSSv2!$A$5</f>
        <v>Complejidad de acceso:</v>
      </c>
      <c r="H204" s="31" t="s">
        <v>709</v>
      </c>
      <c r="I204" s="33"/>
      <c r="J204" s="23"/>
      <c r="K204" s="23"/>
      <c r="L204" s="24"/>
      <c r="M204" s="24"/>
      <c r="N204" s="24"/>
      <c r="O204" s="24"/>
    </row>
    <row r="205" customFormat="false" ht="15.75" hidden="false" customHeight="true" outlineLevel="0" collapsed="false">
      <c r="A205" s="23"/>
      <c r="B205" s="24"/>
      <c r="C205" s="24"/>
      <c r="D205" s="24"/>
      <c r="E205" s="24"/>
      <c r="F205" s="25"/>
      <c r="G205" s="30" t="str">
        <f aca="false">CVSSv2!$A$6</f>
        <v>Autenticación:</v>
      </c>
      <c r="H205" s="31" t="s">
        <v>710</v>
      </c>
      <c r="I205" s="33"/>
      <c r="J205" s="23"/>
      <c r="K205" s="23"/>
      <c r="L205" s="24"/>
      <c r="M205" s="24"/>
      <c r="N205" s="24"/>
      <c r="O205" s="24"/>
    </row>
    <row r="206" customFormat="false" ht="15.75" hidden="false" customHeight="true" outlineLevel="0" collapsed="false">
      <c r="A206" s="23"/>
      <c r="B206" s="24"/>
      <c r="C206" s="24"/>
      <c r="D206" s="24"/>
      <c r="E206" s="24"/>
      <c r="F206" s="25"/>
      <c r="G206" s="30" t="str">
        <f aca="false">CVSSv2!$A$7</f>
        <v>Impacto a la confidencialidad:</v>
      </c>
      <c r="H206" s="31" t="s">
        <v>711</v>
      </c>
      <c r="I206" s="33"/>
      <c r="J206" s="23"/>
      <c r="K206" s="23"/>
      <c r="L206" s="24"/>
      <c r="M206" s="24"/>
      <c r="N206" s="24"/>
      <c r="O206" s="24"/>
    </row>
    <row r="207" customFormat="false" ht="15.75" hidden="false" customHeight="true" outlineLevel="0" collapsed="false">
      <c r="A207" s="23"/>
      <c r="B207" s="24"/>
      <c r="C207" s="24"/>
      <c r="D207" s="24"/>
      <c r="E207" s="24"/>
      <c r="F207" s="25"/>
      <c r="G207" s="30" t="str">
        <f aca="false">CVSSv2!$A$8</f>
        <v>Impacto a la integridad:</v>
      </c>
      <c r="H207" s="31" t="s">
        <v>711</v>
      </c>
      <c r="I207" s="33"/>
      <c r="J207" s="23"/>
      <c r="K207" s="23"/>
      <c r="L207" s="24"/>
      <c r="M207" s="24"/>
      <c r="N207" s="24"/>
      <c r="O207" s="24"/>
    </row>
    <row r="208" customFormat="false" ht="15.75" hidden="false" customHeight="true" outlineLevel="0" collapsed="false">
      <c r="A208" s="23"/>
      <c r="B208" s="24"/>
      <c r="C208" s="24"/>
      <c r="D208" s="24"/>
      <c r="E208" s="24"/>
      <c r="F208" s="25"/>
      <c r="G208" s="30" t="str">
        <f aca="false">CVSSv2!$A$9</f>
        <v>Impacto a la disponibilidad:</v>
      </c>
      <c r="H208" s="31" t="s">
        <v>711</v>
      </c>
      <c r="I208" s="33"/>
      <c r="J208" s="23"/>
      <c r="K208" s="23"/>
      <c r="L208" s="24"/>
      <c r="M208" s="24"/>
      <c r="N208" s="24"/>
      <c r="O208" s="24"/>
    </row>
    <row r="209" customFormat="false" ht="15.75" hidden="false" customHeight="true" outlineLevel="0" collapsed="false">
      <c r="A209" s="23"/>
      <c r="B209" s="24"/>
      <c r="C209" s="24"/>
      <c r="D209" s="24"/>
      <c r="E209" s="24"/>
      <c r="F209" s="25"/>
      <c r="G209" s="30" t="str">
        <f aca="false">CVSSv2!$A$10</f>
        <v>Explotabilidad:</v>
      </c>
      <c r="H209" s="31" t="s">
        <v>712</v>
      </c>
      <c r="I209" s="33"/>
      <c r="J209" s="23"/>
      <c r="K209" s="23"/>
      <c r="L209" s="24"/>
      <c r="M209" s="24"/>
      <c r="N209" s="24"/>
      <c r="O209" s="24"/>
    </row>
    <row r="210" customFormat="false" ht="15.75" hidden="false" customHeight="true" outlineLevel="0" collapsed="false">
      <c r="A210" s="23"/>
      <c r="B210" s="24"/>
      <c r="C210" s="24"/>
      <c r="D210" s="24"/>
      <c r="E210" s="24"/>
      <c r="F210" s="25"/>
      <c r="G210" s="30" t="str">
        <f aca="false">CVSSv2!$A$11</f>
        <v>Nivel de resolución:</v>
      </c>
      <c r="H210" s="31" t="s">
        <v>713</v>
      </c>
      <c r="I210" s="33"/>
      <c r="J210" s="23"/>
      <c r="K210" s="23"/>
      <c r="L210" s="24"/>
      <c r="M210" s="24"/>
      <c r="N210" s="24"/>
      <c r="O210" s="24"/>
    </row>
    <row r="211" customFormat="false" ht="15.75" hidden="false" customHeight="true" outlineLevel="0" collapsed="false">
      <c r="A211" s="23"/>
      <c r="B211" s="24"/>
      <c r="C211" s="24"/>
      <c r="D211" s="24"/>
      <c r="E211" s="24"/>
      <c r="F211" s="25"/>
      <c r="G211" s="30" t="str">
        <f aca="false">CVSSv2!$A$12</f>
        <v>Nivel de confianza:</v>
      </c>
      <c r="H211" s="31" t="s">
        <v>714</v>
      </c>
      <c r="I211" s="33"/>
      <c r="J211" s="23"/>
      <c r="K211" s="23"/>
      <c r="L211" s="24"/>
      <c r="M211" s="24"/>
      <c r="N211" s="24"/>
      <c r="O211" s="24"/>
    </row>
    <row r="212" customFormat="false" ht="15.75" hidden="false" customHeight="true" outlineLevel="0" collapsed="false">
      <c r="A212" s="23"/>
      <c r="B212" s="24"/>
      <c r="C212" s="24"/>
      <c r="D212" s="24"/>
      <c r="E212" s="24"/>
      <c r="F212" s="25"/>
      <c r="G212" s="32" t="str">
        <f aca="false">"("&amp;CVSSv2!$B$4&amp;":"&amp;IF(H203=CVSSv2!$C$4,CVSSv2!$C$26,IF(H203=CVSSv2!$D$4,CVSSv2!$D$26,IF(H203=CVSSv2!$E$4,CVSSv2!$E$26,"")))&amp;"/"&amp;CVSSv2!$B$5&amp;":"&amp;IF(H204=CVSSv2!$C$5,CVSSv2!$C$27,IF(H204=CVSSv2!$D$5,CVSSv2!$D$27,IF(H204=CVSSv2!$E$5,CVSSv2!$E$27,"")))&amp;"/"&amp;CVSSv2!$B$6&amp;":"&amp;IF(H205=CVSSv2!$C$6,CVSSv2!$C$28,IF(H205=CVSSv2!$D$6,CVSSv2!$D$28,IF(H205=CVSSv2!$E$6,CVSSv2!$E$28,"")))&amp;"/"&amp;CVSSv2!$B$7&amp;":"&amp;IF(H206=CVSSv2!$C$7,CVSSv2!$C$29,IF(H206=CVSSv2!$D$7,CVSSv2!$D$29,IF(H206=CVSSv2!$E$7,CVSSv2!$E$29,"")))&amp;"/"&amp;CVSSv2!$B$8&amp;":"&amp;IF(H207=CVSSv2!$C$8,CVSSv2!$C$30,IF(H207=CVSSv2!$D$8,CVSSv2!$D$30,IF(H207=CVSSv2!$E$8,CVSSv2!$E$30,"")))&amp;"/"&amp;CVSSv2!$B$9&amp;":"&amp;IF(H208=CVSSv2!$C$9,CVSSv2!$C$31,IF(H208=CVSSv2!$D$9,CVSSv2!$D$31,IF(H208=CVSSv2!$E$9,CVSSv2!$E$31,"")))&amp;"/"&amp;CVSSv2!$B$10&amp;":"&amp;IF(H209=CVSSv2!$C$10,CVSSv2!$C$32,IF(H209=CVSSv2!$D$10,CVSSv2!$D$32,IF(H209=CVSSv2!$E$10,CVSSv2!$E$32,IF(H209=CVSSv2!$F$10,CVSSv2!$F$32,""))))&amp;"/"&amp;CVSSv2!$B$11&amp;":"&amp;IF(H210=CVSSv2!$C$11,CVSSv2!$C$33,IF(H210=CVSSv2!$D$11,CVSSv2!$D$33,IF(H210=CVSSv2!$E$11,CVSSv2!$E$33,IF(H210=CVSSv2!$F$11,CVSSv2!$F$33,""))))&amp;"/"&amp;CVSSv2!$B$12&amp;":"&amp;IF(H211=CVSSv2!$C$12,CVSSv2!$C$34,IF(H211=CVSSv2!$D$12,CVSSv2!$D$34,IF(H211=CVSSv2!$E$12,CVSSv2!$E$34,"")))&amp;")"</f>
        <v>(AV:N/AC:L/Au:N/C:C/I:C/A:C/E:H/RL:W/RC:C)</v>
      </c>
      <c r="H212" s="32"/>
      <c r="I212" s="33"/>
      <c r="J212" s="23"/>
      <c r="K212" s="23"/>
      <c r="L212" s="24"/>
      <c r="M212" s="24"/>
      <c r="N212" s="24"/>
      <c r="O212" s="24"/>
    </row>
    <row r="213" customFormat="false" ht="15.75" hidden="false" customHeight="true" outlineLevel="0" collapsed="false">
      <c r="A213" s="23" t="n">
        <v>22</v>
      </c>
      <c r="B213" s="24" t="s">
        <v>735</v>
      </c>
      <c r="C213" s="24" t="s">
        <v>17</v>
      </c>
      <c r="D213" s="24" t="s">
        <v>17</v>
      </c>
      <c r="E213" s="24" t="s">
        <v>17</v>
      </c>
      <c r="F2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13" s="26" t="str">
        <f aca="false">CVSSv2!$A$4</f>
        <v>Vector de acceso:</v>
      </c>
      <c r="H213" s="27" t="s">
        <v>706</v>
      </c>
      <c r="I213" s="33" t="n">
        <f aca="false">ROUND(((0.6*(10.41*(1-(1-IF(H216=CVSSv2!$C$7,CVSSv2!$C$18,IF(H216=CVSSv2!$D$7,CVSSv2!$D$18,IF(H216=CVSSv2!$E$7,CVSSv2!$E$18,0))))*(1-IF(H217=CVSSv2!$C$8,CVSSv2!$C$19,IF(H217=CVSSv2!$D$8,CVSSv2!$D$19,IF(H217=CVSSv2!$E$8,CVSSv2!$E$19,0))))*(1-IF(H218=CVSSv2!$C$9,CVSSv2!$C$20,IF(H218=CVSSv2!$D$9,CVSSv2!$D$20,IF(H218=CVSSv2!$E$9,CVSSv2!$E$20,0))))))+0.4*(20*IF(H213=CVSSv2!$C$4,CVSSv2!$C$15,IF(H213=CVSSv2!$D$4,CVSSv2!$D$15,IF(H213=CVSSv2!$E$4,CVSSv2!$E$15,0)))*IF(H214=CVSSv2!$C$5,CVSSv2!$C$16,IF(H214=CVSSv2!$D$5,CVSSv2!$D$16,IF(H214=CVSSv2!$E$5,CVSSv2!$E$16,0)))*IF(H215=CVSSv2!$C$6,CVSSv2!$C$17,IF(H215=CVSSv2!$D$6,CVSSv2!$D$17,IF(H215=CVSSv2!$E$6,CVSSv2!$E$17,0))))-1.5)*(IF(10.41*(1-(1-IF(H216=CVSSv2!$C$7,CVSSv2!$C$18,IF(H216=CVSSv2!$D$7,CVSSv2!$D$18,IF(H216=CVSSv2!$E$7,CVSSv2!$E$18,0))))*(1-IF(H217=CVSSv2!$C$8,CVSSv2!$C$19,IF(H217=CVSSv2!$D$8,CVSSv2!$D$19,IF(H217=CVSSv2!$E$8,CVSSv2!$E$19,0))))*(1-IF(H218=CVSSv2!$C$9,CVSSv2!$C$20,IF(H218=CVSSv2!$D$9,CVSSv2!$D$20,IF(H218=CVSSv2!$E$9,CVSSv2!$E$20,0)))))=0,0,1.176)))*(IF(H219=CVSSv2!$C$10,CVSSv2!$C$21,IF(H219=CVSSv2!$D$10,CVSSv2!$D$21,IF(H219=CVSSv2!$E$10,CVSSv2!$E$21,IF(H219=CVSSv2!$F$10,CVSSv2!$F$21,0))))*IF(H220=CVSSv2!$C$11,CVSSv2!$C$22,IF(H220=CVSSv2!$D$11,CVSSv2!$D$22,IF(H220=CVSSv2!$E$11,CVSSv2!$E$22,IF(H220=CVSSv2!$F$11,CVSSv2!$F$22,0))))*IF(H221=CVSSv2!$C$12,CVSSv2!$C$23,IF(H221=CVSSv2!$D$12,CVSSv2!$D$23,IF(H221=CVSSv2!$E$12,CVSSv2!$E$23,0)))),1)</f>
        <v>9.5</v>
      </c>
      <c r="J213" s="23" t="n">
        <v>0</v>
      </c>
      <c r="K213" s="23" t="n">
        <v>0</v>
      </c>
      <c r="L213" s="24" t="s">
        <v>17</v>
      </c>
      <c r="M213" s="24" t="s">
        <v>17</v>
      </c>
      <c r="N213" s="24" t="s">
        <v>707</v>
      </c>
      <c r="O213" s="24" t="s">
        <v>708</v>
      </c>
    </row>
    <row r="214" customFormat="false" ht="15.75" hidden="false" customHeight="true" outlineLevel="0" collapsed="false">
      <c r="A214" s="23"/>
      <c r="B214" s="24"/>
      <c r="C214" s="24"/>
      <c r="D214" s="24"/>
      <c r="E214" s="24"/>
      <c r="F214" s="25"/>
      <c r="G214" s="30" t="str">
        <f aca="false">CVSSv2!$A$5</f>
        <v>Complejidad de acceso:</v>
      </c>
      <c r="H214" s="31" t="s">
        <v>709</v>
      </c>
      <c r="I214" s="33"/>
      <c r="J214" s="23"/>
      <c r="K214" s="23"/>
      <c r="L214" s="24"/>
      <c r="M214" s="24"/>
      <c r="N214" s="24"/>
      <c r="O214" s="24"/>
    </row>
    <row r="215" customFormat="false" ht="15.75" hidden="false" customHeight="true" outlineLevel="0" collapsed="false">
      <c r="A215" s="23"/>
      <c r="B215" s="24"/>
      <c r="C215" s="24"/>
      <c r="D215" s="24"/>
      <c r="E215" s="24"/>
      <c r="F215" s="25"/>
      <c r="G215" s="30" t="str">
        <f aca="false">CVSSv2!$A$6</f>
        <v>Autenticación:</v>
      </c>
      <c r="H215" s="31" t="s">
        <v>710</v>
      </c>
      <c r="I215" s="33"/>
      <c r="J215" s="23"/>
      <c r="K215" s="23"/>
      <c r="L215" s="24"/>
      <c r="M215" s="24"/>
      <c r="N215" s="24"/>
      <c r="O215" s="24"/>
    </row>
    <row r="216" customFormat="false" ht="15.75" hidden="false" customHeight="true" outlineLevel="0" collapsed="false">
      <c r="A216" s="23"/>
      <c r="B216" s="24"/>
      <c r="C216" s="24"/>
      <c r="D216" s="24"/>
      <c r="E216" s="24"/>
      <c r="F216" s="25"/>
      <c r="G216" s="30" t="str">
        <f aca="false">CVSSv2!$A$7</f>
        <v>Impacto a la confidencialidad:</v>
      </c>
      <c r="H216" s="31" t="s">
        <v>711</v>
      </c>
      <c r="I216" s="33"/>
      <c r="J216" s="23"/>
      <c r="K216" s="23"/>
      <c r="L216" s="24"/>
      <c r="M216" s="24"/>
      <c r="N216" s="24"/>
      <c r="O216" s="24"/>
    </row>
    <row r="217" customFormat="false" ht="15.75" hidden="false" customHeight="true" outlineLevel="0" collapsed="false">
      <c r="A217" s="23"/>
      <c r="B217" s="24"/>
      <c r="C217" s="24"/>
      <c r="D217" s="24"/>
      <c r="E217" s="24"/>
      <c r="F217" s="25"/>
      <c r="G217" s="30" t="str">
        <f aca="false">CVSSv2!$A$8</f>
        <v>Impacto a la integridad:</v>
      </c>
      <c r="H217" s="31" t="s">
        <v>711</v>
      </c>
      <c r="I217" s="33"/>
      <c r="J217" s="23"/>
      <c r="K217" s="23"/>
      <c r="L217" s="24"/>
      <c r="M217" s="24"/>
      <c r="N217" s="24"/>
      <c r="O217" s="24"/>
    </row>
    <row r="218" customFormat="false" ht="15.75" hidden="false" customHeight="true" outlineLevel="0" collapsed="false">
      <c r="A218" s="23"/>
      <c r="B218" s="24"/>
      <c r="C218" s="24"/>
      <c r="D218" s="24"/>
      <c r="E218" s="24"/>
      <c r="F218" s="25"/>
      <c r="G218" s="30" t="str">
        <f aca="false">CVSSv2!$A$9</f>
        <v>Impacto a la disponibilidad:</v>
      </c>
      <c r="H218" s="31" t="s">
        <v>711</v>
      </c>
      <c r="I218" s="33"/>
      <c r="J218" s="23"/>
      <c r="K218" s="23"/>
      <c r="L218" s="24"/>
      <c r="M218" s="24"/>
      <c r="N218" s="24"/>
      <c r="O218" s="24"/>
    </row>
    <row r="219" customFormat="false" ht="15.75" hidden="false" customHeight="true" outlineLevel="0" collapsed="false">
      <c r="A219" s="23"/>
      <c r="B219" s="24"/>
      <c r="C219" s="24"/>
      <c r="D219" s="24"/>
      <c r="E219" s="24"/>
      <c r="F219" s="25"/>
      <c r="G219" s="30" t="str">
        <f aca="false">CVSSv2!$A$10</f>
        <v>Explotabilidad:</v>
      </c>
      <c r="H219" s="31" t="s">
        <v>712</v>
      </c>
      <c r="I219" s="33"/>
      <c r="J219" s="23"/>
      <c r="K219" s="23"/>
      <c r="L219" s="24"/>
      <c r="M219" s="24"/>
      <c r="N219" s="24"/>
      <c r="O219" s="24"/>
    </row>
    <row r="220" customFormat="false" ht="15.75" hidden="false" customHeight="true" outlineLevel="0" collapsed="false">
      <c r="A220" s="23"/>
      <c r="B220" s="24"/>
      <c r="C220" s="24"/>
      <c r="D220" s="24"/>
      <c r="E220" s="24"/>
      <c r="F220" s="25"/>
      <c r="G220" s="30" t="str">
        <f aca="false">CVSSv2!$A$11</f>
        <v>Nivel de resolución:</v>
      </c>
      <c r="H220" s="31" t="s">
        <v>713</v>
      </c>
      <c r="I220" s="33"/>
      <c r="J220" s="23"/>
      <c r="K220" s="23"/>
      <c r="L220" s="24"/>
      <c r="M220" s="24"/>
      <c r="N220" s="24"/>
      <c r="O220" s="24"/>
    </row>
    <row r="221" customFormat="false" ht="15.75" hidden="false" customHeight="true" outlineLevel="0" collapsed="false">
      <c r="A221" s="23"/>
      <c r="B221" s="24"/>
      <c r="C221" s="24"/>
      <c r="D221" s="24"/>
      <c r="E221" s="24"/>
      <c r="F221" s="25"/>
      <c r="G221" s="30" t="str">
        <f aca="false">CVSSv2!$A$12</f>
        <v>Nivel de confianza:</v>
      </c>
      <c r="H221" s="31" t="s">
        <v>714</v>
      </c>
      <c r="I221" s="33"/>
      <c r="J221" s="23"/>
      <c r="K221" s="23"/>
      <c r="L221" s="24"/>
      <c r="M221" s="24"/>
      <c r="N221" s="24"/>
      <c r="O221" s="24"/>
    </row>
    <row r="222" customFormat="false" ht="15.75" hidden="false" customHeight="true" outlineLevel="0" collapsed="false">
      <c r="A222" s="23"/>
      <c r="B222" s="24"/>
      <c r="C222" s="24"/>
      <c r="D222" s="24"/>
      <c r="E222" s="24"/>
      <c r="F222" s="25"/>
      <c r="G222" s="32" t="str">
        <f aca="false">"("&amp;CVSSv2!$B$4&amp;":"&amp;IF(H213=CVSSv2!$C$4,CVSSv2!$C$26,IF(H213=CVSSv2!$D$4,CVSSv2!$D$26,IF(H213=CVSSv2!$E$4,CVSSv2!$E$26,"")))&amp;"/"&amp;CVSSv2!$B$5&amp;":"&amp;IF(H214=CVSSv2!$C$5,CVSSv2!$C$27,IF(H214=CVSSv2!$D$5,CVSSv2!$D$27,IF(H214=CVSSv2!$E$5,CVSSv2!$E$27,"")))&amp;"/"&amp;CVSSv2!$B$6&amp;":"&amp;IF(H215=CVSSv2!$C$6,CVSSv2!$C$28,IF(H215=CVSSv2!$D$6,CVSSv2!$D$28,IF(H215=CVSSv2!$E$6,CVSSv2!$E$28,"")))&amp;"/"&amp;CVSSv2!$B$7&amp;":"&amp;IF(H216=CVSSv2!$C$7,CVSSv2!$C$29,IF(H216=CVSSv2!$D$7,CVSSv2!$D$29,IF(H216=CVSSv2!$E$7,CVSSv2!$E$29,"")))&amp;"/"&amp;CVSSv2!$B$8&amp;":"&amp;IF(H217=CVSSv2!$C$8,CVSSv2!$C$30,IF(H217=CVSSv2!$D$8,CVSSv2!$D$30,IF(H217=CVSSv2!$E$8,CVSSv2!$E$30,"")))&amp;"/"&amp;CVSSv2!$B$9&amp;":"&amp;IF(H218=CVSSv2!$C$9,CVSSv2!$C$31,IF(H218=CVSSv2!$D$9,CVSSv2!$D$31,IF(H218=CVSSv2!$E$9,CVSSv2!$E$31,"")))&amp;"/"&amp;CVSSv2!$B$10&amp;":"&amp;IF(H219=CVSSv2!$C$10,CVSSv2!$C$32,IF(H219=CVSSv2!$D$10,CVSSv2!$D$32,IF(H219=CVSSv2!$E$10,CVSSv2!$E$32,IF(H219=CVSSv2!$F$10,CVSSv2!$F$32,""))))&amp;"/"&amp;CVSSv2!$B$11&amp;":"&amp;IF(H220=CVSSv2!$C$11,CVSSv2!$C$33,IF(H220=CVSSv2!$D$11,CVSSv2!$D$33,IF(H220=CVSSv2!$E$11,CVSSv2!$E$33,IF(H220=CVSSv2!$F$11,CVSSv2!$F$33,""))))&amp;"/"&amp;CVSSv2!$B$12&amp;":"&amp;IF(H221=CVSSv2!$C$12,CVSSv2!$C$34,IF(H221=CVSSv2!$D$12,CVSSv2!$D$34,IF(H221=CVSSv2!$E$12,CVSSv2!$E$34,"")))&amp;")"</f>
        <v>(AV:N/AC:L/Au:N/C:C/I:C/A:C/E:H/RL:W/RC:C)</v>
      </c>
      <c r="H222" s="32"/>
      <c r="I222" s="33"/>
      <c r="J222" s="23"/>
      <c r="K222" s="23"/>
      <c r="L222" s="24"/>
      <c r="M222" s="24"/>
      <c r="N222" s="24"/>
      <c r="O222" s="24"/>
    </row>
    <row r="223" customFormat="false" ht="15.75" hidden="false" customHeight="true" outlineLevel="0" collapsed="false">
      <c r="A223" s="23" t="n">
        <v>23</v>
      </c>
      <c r="B223" s="24" t="s">
        <v>736</v>
      </c>
      <c r="C223" s="24" t="s">
        <v>17</v>
      </c>
      <c r="D223" s="24" t="s">
        <v>17</v>
      </c>
      <c r="E223" s="24" t="s">
        <v>17</v>
      </c>
      <c r="F2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23" s="26" t="str">
        <f aca="false">CVSSv2!$A$4</f>
        <v>Vector de acceso:</v>
      </c>
      <c r="H223" s="27" t="s">
        <v>706</v>
      </c>
      <c r="I223" s="33" t="n">
        <f aca="false">ROUND(((0.6*(10.41*(1-(1-IF(H226=CVSSv2!$C$7,CVSSv2!$C$18,IF(H226=CVSSv2!$D$7,CVSSv2!$D$18,IF(H226=CVSSv2!$E$7,CVSSv2!$E$18,0))))*(1-IF(H227=CVSSv2!$C$8,CVSSv2!$C$19,IF(H227=CVSSv2!$D$8,CVSSv2!$D$19,IF(H227=CVSSv2!$E$8,CVSSv2!$E$19,0))))*(1-IF(H228=CVSSv2!$C$9,CVSSv2!$C$20,IF(H228=CVSSv2!$D$9,CVSSv2!$D$20,IF(H228=CVSSv2!$E$9,CVSSv2!$E$20,0))))))+0.4*(20*IF(H223=CVSSv2!$C$4,CVSSv2!$C$15,IF(H223=CVSSv2!$D$4,CVSSv2!$D$15,IF(H223=CVSSv2!$E$4,CVSSv2!$E$15,0)))*IF(H224=CVSSv2!$C$5,CVSSv2!$C$16,IF(H224=CVSSv2!$D$5,CVSSv2!$D$16,IF(H224=CVSSv2!$E$5,CVSSv2!$E$16,0)))*IF(H225=CVSSv2!$C$6,CVSSv2!$C$17,IF(H225=CVSSv2!$D$6,CVSSv2!$D$17,IF(H225=CVSSv2!$E$6,CVSSv2!$E$17,0))))-1.5)*(IF(10.41*(1-(1-IF(H226=CVSSv2!$C$7,CVSSv2!$C$18,IF(H226=CVSSv2!$D$7,CVSSv2!$D$18,IF(H226=CVSSv2!$E$7,CVSSv2!$E$18,0))))*(1-IF(H227=CVSSv2!$C$8,CVSSv2!$C$19,IF(H227=CVSSv2!$D$8,CVSSv2!$D$19,IF(H227=CVSSv2!$E$8,CVSSv2!$E$19,0))))*(1-IF(H228=CVSSv2!$C$9,CVSSv2!$C$20,IF(H228=CVSSv2!$D$9,CVSSv2!$D$20,IF(H228=CVSSv2!$E$9,CVSSv2!$E$20,0)))))=0,0,1.176)))*(IF(H229=CVSSv2!$C$10,CVSSv2!$C$21,IF(H229=CVSSv2!$D$10,CVSSv2!$D$21,IF(H229=CVSSv2!$E$10,CVSSv2!$E$21,IF(H229=CVSSv2!$F$10,CVSSv2!$F$21,0))))*IF(H230=CVSSv2!$C$11,CVSSv2!$C$22,IF(H230=CVSSv2!$D$11,CVSSv2!$D$22,IF(H230=CVSSv2!$E$11,CVSSv2!$E$22,IF(H230=CVSSv2!$F$11,CVSSv2!$F$22,0))))*IF(H231=CVSSv2!$C$12,CVSSv2!$C$23,IF(H231=CVSSv2!$D$12,CVSSv2!$D$23,IF(H231=CVSSv2!$E$12,CVSSv2!$E$23,0)))),1)</f>
        <v>9.5</v>
      </c>
      <c r="J223" s="23" t="n">
        <v>0</v>
      </c>
      <c r="K223" s="23" t="n">
        <v>0</v>
      </c>
      <c r="L223" s="24" t="s">
        <v>17</v>
      </c>
      <c r="M223" s="24" t="s">
        <v>17</v>
      </c>
      <c r="N223" s="24" t="s">
        <v>707</v>
      </c>
      <c r="O223" s="24" t="s">
        <v>708</v>
      </c>
    </row>
    <row r="224" customFormat="false" ht="15.75" hidden="false" customHeight="true" outlineLevel="0" collapsed="false">
      <c r="A224" s="23"/>
      <c r="B224" s="24"/>
      <c r="C224" s="24"/>
      <c r="D224" s="24"/>
      <c r="E224" s="24"/>
      <c r="F224" s="25"/>
      <c r="G224" s="30" t="str">
        <f aca="false">CVSSv2!$A$5</f>
        <v>Complejidad de acceso:</v>
      </c>
      <c r="H224" s="31" t="s">
        <v>709</v>
      </c>
      <c r="I224" s="33"/>
      <c r="J224" s="23"/>
      <c r="K224" s="23"/>
      <c r="L224" s="24"/>
      <c r="M224" s="24"/>
      <c r="N224" s="24"/>
      <c r="O224" s="24"/>
    </row>
    <row r="225" customFormat="false" ht="15.75" hidden="false" customHeight="true" outlineLevel="0" collapsed="false">
      <c r="A225" s="23"/>
      <c r="B225" s="24"/>
      <c r="C225" s="24"/>
      <c r="D225" s="24"/>
      <c r="E225" s="24"/>
      <c r="F225" s="25"/>
      <c r="G225" s="30" t="str">
        <f aca="false">CVSSv2!$A$6</f>
        <v>Autenticación:</v>
      </c>
      <c r="H225" s="31" t="s">
        <v>710</v>
      </c>
      <c r="I225" s="33"/>
      <c r="J225" s="23"/>
      <c r="K225" s="23"/>
      <c r="L225" s="24"/>
      <c r="M225" s="24"/>
      <c r="N225" s="24"/>
      <c r="O225" s="24"/>
    </row>
    <row r="226" customFormat="false" ht="15.75" hidden="false" customHeight="true" outlineLevel="0" collapsed="false">
      <c r="A226" s="23"/>
      <c r="B226" s="24"/>
      <c r="C226" s="24"/>
      <c r="D226" s="24"/>
      <c r="E226" s="24"/>
      <c r="F226" s="25"/>
      <c r="G226" s="30" t="str">
        <f aca="false">CVSSv2!$A$7</f>
        <v>Impacto a la confidencialidad:</v>
      </c>
      <c r="H226" s="31" t="s">
        <v>711</v>
      </c>
      <c r="I226" s="33"/>
      <c r="J226" s="23"/>
      <c r="K226" s="23"/>
      <c r="L226" s="24"/>
      <c r="M226" s="24"/>
      <c r="N226" s="24"/>
      <c r="O226" s="24"/>
    </row>
    <row r="227" customFormat="false" ht="15.75" hidden="false" customHeight="true" outlineLevel="0" collapsed="false">
      <c r="A227" s="23"/>
      <c r="B227" s="24"/>
      <c r="C227" s="24"/>
      <c r="D227" s="24"/>
      <c r="E227" s="24"/>
      <c r="F227" s="25"/>
      <c r="G227" s="30" t="str">
        <f aca="false">CVSSv2!$A$8</f>
        <v>Impacto a la integridad:</v>
      </c>
      <c r="H227" s="31" t="s">
        <v>711</v>
      </c>
      <c r="I227" s="33"/>
      <c r="J227" s="23"/>
      <c r="K227" s="23"/>
      <c r="L227" s="24"/>
      <c r="M227" s="24"/>
      <c r="N227" s="24"/>
      <c r="O227" s="24"/>
    </row>
    <row r="228" customFormat="false" ht="15.75" hidden="false" customHeight="true" outlineLevel="0" collapsed="false">
      <c r="A228" s="23"/>
      <c r="B228" s="24"/>
      <c r="C228" s="24"/>
      <c r="D228" s="24"/>
      <c r="E228" s="24"/>
      <c r="F228" s="25"/>
      <c r="G228" s="30" t="str">
        <f aca="false">CVSSv2!$A$9</f>
        <v>Impacto a la disponibilidad:</v>
      </c>
      <c r="H228" s="31" t="s">
        <v>711</v>
      </c>
      <c r="I228" s="33"/>
      <c r="J228" s="23"/>
      <c r="K228" s="23"/>
      <c r="L228" s="24"/>
      <c r="M228" s="24"/>
      <c r="N228" s="24"/>
      <c r="O228" s="24"/>
    </row>
    <row r="229" customFormat="false" ht="15.75" hidden="false" customHeight="true" outlineLevel="0" collapsed="false">
      <c r="A229" s="23"/>
      <c r="B229" s="24"/>
      <c r="C229" s="24"/>
      <c r="D229" s="24"/>
      <c r="E229" s="24"/>
      <c r="F229" s="25"/>
      <c r="G229" s="30" t="str">
        <f aca="false">CVSSv2!$A$10</f>
        <v>Explotabilidad:</v>
      </c>
      <c r="H229" s="31" t="s">
        <v>712</v>
      </c>
      <c r="I229" s="33"/>
      <c r="J229" s="23"/>
      <c r="K229" s="23"/>
      <c r="L229" s="24"/>
      <c r="M229" s="24"/>
      <c r="N229" s="24"/>
      <c r="O229" s="24"/>
    </row>
    <row r="230" customFormat="false" ht="15.75" hidden="false" customHeight="true" outlineLevel="0" collapsed="false">
      <c r="A230" s="23"/>
      <c r="B230" s="24"/>
      <c r="C230" s="24"/>
      <c r="D230" s="24"/>
      <c r="E230" s="24"/>
      <c r="F230" s="25"/>
      <c r="G230" s="30" t="str">
        <f aca="false">CVSSv2!$A$11</f>
        <v>Nivel de resolución:</v>
      </c>
      <c r="H230" s="31" t="s">
        <v>713</v>
      </c>
      <c r="I230" s="33"/>
      <c r="J230" s="23"/>
      <c r="K230" s="23"/>
      <c r="L230" s="24"/>
      <c r="M230" s="24"/>
      <c r="N230" s="24"/>
      <c r="O230" s="24"/>
    </row>
    <row r="231" customFormat="false" ht="15.75" hidden="false" customHeight="true" outlineLevel="0" collapsed="false">
      <c r="A231" s="23"/>
      <c r="B231" s="24"/>
      <c r="C231" s="24"/>
      <c r="D231" s="24"/>
      <c r="E231" s="24"/>
      <c r="F231" s="25"/>
      <c r="G231" s="30" t="str">
        <f aca="false">CVSSv2!$A$12</f>
        <v>Nivel de confianza:</v>
      </c>
      <c r="H231" s="31" t="s">
        <v>714</v>
      </c>
      <c r="I231" s="33"/>
      <c r="J231" s="23"/>
      <c r="K231" s="23"/>
      <c r="L231" s="24"/>
      <c r="M231" s="24"/>
      <c r="N231" s="24"/>
      <c r="O231" s="24"/>
    </row>
    <row r="232" customFormat="false" ht="15.75" hidden="false" customHeight="true" outlineLevel="0" collapsed="false">
      <c r="A232" s="23"/>
      <c r="B232" s="24"/>
      <c r="C232" s="24"/>
      <c r="D232" s="24"/>
      <c r="E232" s="24"/>
      <c r="F232" s="25"/>
      <c r="G232" s="32" t="str">
        <f aca="false">"("&amp;CVSSv2!$B$4&amp;":"&amp;IF(H223=CVSSv2!$C$4,CVSSv2!$C$26,IF(H223=CVSSv2!$D$4,CVSSv2!$D$26,IF(H223=CVSSv2!$E$4,CVSSv2!$E$26,"")))&amp;"/"&amp;CVSSv2!$B$5&amp;":"&amp;IF(H224=CVSSv2!$C$5,CVSSv2!$C$27,IF(H224=CVSSv2!$D$5,CVSSv2!$D$27,IF(H224=CVSSv2!$E$5,CVSSv2!$E$27,"")))&amp;"/"&amp;CVSSv2!$B$6&amp;":"&amp;IF(H225=CVSSv2!$C$6,CVSSv2!$C$28,IF(H225=CVSSv2!$D$6,CVSSv2!$D$28,IF(H225=CVSSv2!$E$6,CVSSv2!$E$28,"")))&amp;"/"&amp;CVSSv2!$B$7&amp;":"&amp;IF(H226=CVSSv2!$C$7,CVSSv2!$C$29,IF(H226=CVSSv2!$D$7,CVSSv2!$D$29,IF(H226=CVSSv2!$E$7,CVSSv2!$E$29,"")))&amp;"/"&amp;CVSSv2!$B$8&amp;":"&amp;IF(H227=CVSSv2!$C$8,CVSSv2!$C$30,IF(H227=CVSSv2!$D$8,CVSSv2!$D$30,IF(H227=CVSSv2!$E$8,CVSSv2!$E$30,"")))&amp;"/"&amp;CVSSv2!$B$9&amp;":"&amp;IF(H228=CVSSv2!$C$9,CVSSv2!$C$31,IF(H228=CVSSv2!$D$9,CVSSv2!$D$31,IF(H228=CVSSv2!$E$9,CVSSv2!$E$31,"")))&amp;"/"&amp;CVSSv2!$B$10&amp;":"&amp;IF(H229=CVSSv2!$C$10,CVSSv2!$C$32,IF(H229=CVSSv2!$D$10,CVSSv2!$D$32,IF(H229=CVSSv2!$E$10,CVSSv2!$E$32,IF(H229=CVSSv2!$F$10,CVSSv2!$F$32,""))))&amp;"/"&amp;CVSSv2!$B$11&amp;":"&amp;IF(H230=CVSSv2!$C$11,CVSSv2!$C$33,IF(H230=CVSSv2!$D$11,CVSSv2!$D$33,IF(H230=CVSSv2!$E$11,CVSSv2!$E$33,IF(H230=CVSSv2!$F$11,CVSSv2!$F$33,""))))&amp;"/"&amp;CVSSv2!$B$12&amp;":"&amp;IF(H231=CVSSv2!$C$12,CVSSv2!$C$34,IF(H231=CVSSv2!$D$12,CVSSv2!$D$34,IF(H231=CVSSv2!$E$12,CVSSv2!$E$34,"")))&amp;")"</f>
        <v>(AV:N/AC:L/Au:N/C:C/I:C/A:C/E:H/RL:W/RC:C)</v>
      </c>
      <c r="H232" s="32"/>
      <c r="I232" s="33"/>
      <c r="J232" s="23"/>
      <c r="K232" s="23"/>
      <c r="L232" s="24"/>
      <c r="M232" s="24"/>
      <c r="N232" s="24"/>
      <c r="O232" s="24"/>
    </row>
    <row r="233" customFormat="false" ht="15.75" hidden="false" customHeight="true" outlineLevel="0" collapsed="false">
      <c r="A233" s="23" t="n">
        <v>24</v>
      </c>
      <c r="B233" s="24" t="s">
        <v>737</v>
      </c>
      <c r="C233" s="24" t="s">
        <v>17</v>
      </c>
      <c r="D233" s="24" t="s">
        <v>17</v>
      </c>
      <c r="E233" s="24" t="s">
        <v>17</v>
      </c>
      <c r="F2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3" s="26" t="str">
        <f aca="false">CVSSv2!$A$4</f>
        <v>Vector de acceso:</v>
      </c>
      <c r="H233" s="27" t="s">
        <v>706</v>
      </c>
      <c r="I233" s="33" t="n">
        <f aca="false">ROUND(((0.6*(10.41*(1-(1-IF(H236=CVSSv2!$C$7,CVSSv2!$C$18,IF(H236=CVSSv2!$D$7,CVSSv2!$D$18,IF(H236=CVSSv2!$E$7,CVSSv2!$E$18,0))))*(1-IF(H237=CVSSv2!$C$8,CVSSv2!$C$19,IF(H237=CVSSv2!$D$8,CVSSv2!$D$19,IF(H237=CVSSv2!$E$8,CVSSv2!$E$19,0))))*(1-IF(H238=CVSSv2!$C$9,CVSSv2!$C$20,IF(H238=CVSSv2!$D$9,CVSSv2!$D$20,IF(H238=CVSSv2!$E$9,CVSSv2!$E$20,0))))))+0.4*(20*IF(H233=CVSSv2!$C$4,CVSSv2!$C$15,IF(H233=CVSSv2!$D$4,CVSSv2!$D$15,IF(H233=CVSSv2!$E$4,CVSSv2!$E$15,0)))*IF(H234=CVSSv2!$C$5,CVSSv2!$C$16,IF(H234=CVSSv2!$D$5,CVSSv2!$D$16,IF(H234=CVSSv2!$E$5,CVSSv2!$E$16,0)))*IF(H235=CVSSv2!$C$6,CVSSv2!$C$17,IF(H235=CVSSv2!$D$6,CVSSv2!$D$17,IF(H235=CVSSv2!$E$6,CVSSv2!$E$17,0))))-1.5)*(IF(10.41*(1-(1-IF(H236=CVSSv2!$C$7,CVSSv2!$C$18,IF(H236=CVSSv2!$D$7,CVSSv2!$D$18,IF(H236=CVSSv2!$E$7,CVSSv2!$E$18,0))))*(1-IF(H237=CVSSv2!$C$8,CVSSv2!$C$19,IF(H237=CVSSv2!$D$8,CVSSv2!$D$19,IF(H237=CVSSv2!$E$8,CVSSv2!$E$19,0))))*(1-IF(H238=CVSSv2!$C$9,CVSSv2!$C$20,IF(H238=CVSSv2!$D$9,CVSSv2!$D$20,IF(H238=CVSSv2!$E$9,CVSSv2!$E$20,0)))))=0,0,1.176)))*(IF(H239=CVSSv2!$C$10,CVSSv2!$C$21,IF(H239=CVSSv2!$D$10,CVSSv2!$D$21,IF(H239=CVSSv2!$E$10,CVSSv2!$E$21,IF(H239=CVSSv2!$F$10,CVSSv2!$F$21,0))))*IF(H240=CVSSv2!$C$11,CVSSv2!$C$22,IF(H240=CVSSv2!$D$11,CVSSv2!$D$22,IF(H240=CVSSv2!$E$11,CVSSv2!$E$22,IF(H240=CVSSv2!$F$11,CVSSv2!$F$22,0))))*IF(H241=CVSSv2!$C$12,CVSSv2!$C$23,IF(H241=CVSSv2!$D$12,CVSSv2!$D$23,IF(H241=CVSSv2!$E$12,CVSSv2!$E$23,0)))),1)</f>
        <v>9.5</v>
      </c>
      <c r="J233" s="23" t="n">
        <v>0</v>
      </c>
      <c r="K233" s="23" t="n">
        <v>0</v>
      </c>
      <c r="L233" s="24" t="s">
        <v>17</v>
      </c>
      <c r="M233" s="24" t="s">
        <v>17</v>
      </c>
      <c r="N233" s="24" t="s">
        <v>707</v>
      </c>
      <c r="O233" s="24" t="s">
        <v>708</v>
      </c>
    </row>
    <row r="234" customFormat="false" ht="15.75" hidden="false" customHeight="true" outlineLevel="0" collapsed="false">
      <c r="A234" s="23"/>
      <c r="B234" s="24"/>
      <c r="C234" s="24"/>
      <c r="D234" s="24"/>
      <c r="E234" s="24"/>
      <c r="F234" s="25"/>
      <c r="G234" s="30" t="str">
        <f aca="false">CVSSv2!$A$5</f>
        <v>Complejidad de acceso:</v>
      </c>
      <c r="H234" s="31" t="s">
        <v>709</v>
      </c>
      <c r="I234" s="33"/>
      <c r="J234" s="23"/>
      <c r="K234" s="23"/>
      <c r="L234" s="24"/>
      <c r="M234" s="24"/>
      <c r="N234" s="24"/>
      <c r="O234" s="24"/>
    </row>
    <row r="235" customFormat="false" ht="15.75" hidden="false" customHeight="true" outlineLevel="0" collapsed="false">
      <c r="A235" s="23"/>
      <c r="B235" s="24"/>
      <c r="C235" s="24"/>
      <c r="D235" s="24"/>
      <c r="E235" s="24"/>
      <c r="F235" s="25"/>
      <c r="G235" s="30" t="str">
        <f aca="false">CVSSv2!$A$6</f>
        <v>Autenticación:</v>
      </c>
      <c r="H235" s="31" t="s">
        <v>710</v>
      </c>
      <c r="I235" s="33"/>
      <c r="J235" s="23"/>
      <c r="K235" s="23"/>
      <c r="L235" s="24"/>
      <c r="M235" s="24"/>
      <c r="N235" s="24"/>
      <c r="O235" s="24"/>
    </row>
    <row r="236" customFormat="false" ht="15.75" hidden="false" customHeight="true" outlineLevel="0" collapsed="false">
      <c r="A236" s="23"/>
      <c r="B236" s="24"/>
      <c r="C236" s="24"/>
      <c r="D236" s="24"/>
      <c r="E236" s="24"/>
      <c r="F236" s="25"/>
      <c r="G236" s="30" t="str">
        <f aca="false">CVSSv2!$A$7</f>
        <v>Impacto a la confidencialidad:</v>
      </c>
      <c r="H236" s="31" t="s">
        <v>711</v>
      </c>
      <c r="I236" s="33"/>
      <c r="J236" s="23"/>
      <c r="K236" s="23"/>
      <c r="L236" s="24"/>
      <c r="M236" s="24"/>
      <c r="N236" s="24"/>
      <c r="O236" s="24"/>
    </row>
    <row r="237" customFormat="false" ht="15.75" hidden="false" customHeight="true" outlineLevel="0" collapsed="false">
      <c r="A237" s="23"/>
      <c r="B237" s="24"/>
      <c r="C237" s="24"/>
      <c r="D237" s="24"/>
      <c r="E237" s="24"/>
      <c r="F237" s="25"/>
      <c r="G237" s="30" t="str">
        <f aca="false">CVSSv2!$A$8</f>
        <v>Impacto a la integridad:</v>
      </c>
      <c r="H237" s="31" t="s">
        <v>711</v>
      </c>
      <c r="I237" s="33"/>
      <c r="J237" s="23"/>
      <c r="K237" s="23"/>
      <c r="L237" s="24"/>
      <c r="M237" s="24"/>
      <c r="N237" s="24"/>
      <c r="O237" s="24"/>
    </row>
    <row r="238" customFormat="false" ht="15.75" hidden="false" customHeight="true" outlineLevel="0" collapsed="false">
      <c r="A238" s="23"/>
      <c r="B238" s="24"/>
      <c r="C238" s="24"/>
      <c r="D238" s="24"/>
      <c r="E238" s="24"/>
      <c r="F238" s="25"/>
      <c r="G238" s="30" t="str">
        <f aca="false">CVSSv2!$A$9</f>
        <v>Impacto a la disponibilidad:</v>
      </c>
      <c r="H238" s="31" t="s">
        <v>711</v>
      </c>
      <c r="I238" s="33"/>
      <c r="J238" s="23"/>
      <c r="K238" s="23"/>
      <c r="L238" s="24"/>
      <c r="M238" s="24"/>
      <c r="N238" s="24"/>
      <c r="O238" s="24"/>
    </row>
    <row r="239" customFormat="false" ht="15.75" hidden="false" customHeight="true" outlineLevel="0" collapsed="false">
      <c r="A239" s="23"/>
      <c r="B239" s="24"/>
      <c r="C239" s="24"/>
      <c r="D239" s="24"/>
      <c r="E239" s="24"/>
      <c r="F239" s="25"/>
      <c r="G239" s="30" t="str">
        <f aca="false">CVSSv2!$A$10</f>
        <v>Explotabilidad:</v>
      </c>
      <c r="H239" s="31" t="s">
        <v>712</v>
      </c>
      <c r="I239" s="33"/>
      <c r="J239" s="23"/>
      <c r="K239" s="23"/>
      <c r="L239" s="24"/>
      <c r="M239" s="24"/>
      <c r="N239" s="24"/>
      <c r="O239" s="24"/>
    </row>
    <row r="240" customFormat="false" ht="15.75" hidden="false" customHeight="true" outlineLevel="0" collapsed="false">
      <c r="A240" s="23"/>
      <c r="B240" s="24"/>
      <c r="C240" s="24"/>
      <c r="D240" s="24"/>
      <c r="E240" s="24"/>
      <c r="F240" s="25"/>
      <c r="G240" s="30" t="str">
        <f aca="false">CVSSv2!$A$11</f>
        <v>Nivel de resolución:</v>
      </c>
      <c r="H240" s="31" t="s">
        <v>713</v>
      </c>
      <c r="I240" s="33"/>
      <c r="J240" s="23"/>
      <c r="K240" s="23"/>
      <c r="L240" s="24"/>
      <c r="M240" s="24"/>
      <c r="N240" s="24"/>
      <c r="O240" s="24"/>
    </row>
    <row r="241" customFormat="false" ht="15.75" hidden="false" customHeight="true" outlineLevel="0" collapsed="false">
      <c r="A241" s="23"/>
      <c r="B241" s="24"/>
      <c r="C241" s="24"/>
      <c r="D241" s="24"/>
      <c r="E241" s="24"/>
      <c r="F241" s="25"/>
      <c r="G241" s="30" t="str">
        <f aca="false">CVSSv2!$A$12</f>
        <v>Nivel de confianza:</v>
      </c>
      <c r="H241" s="31" t="s">
        <v>714</v>
      </c>
      <c r="I241" s="33"/>
      <c r="J241" s="23"/>
      <c r="K241" s="23"/>
      <c r="L241" s="24"/>
      <c r="M241" s="24"/>
      <c r="N241" s="24"/>
      <c r="O241" s="24"/>
    </row>
    <row r="242" customFormat="false" ht="15.75" hidden="false" customHeight="true" outlineLevel="0" collapsed="false">
      <c r="A242" s="23"/>
      <c r="B242" s="24"/>
      <c r="C242" s="24"/>
      <c r="D242" s="24"/>
      <c r="E242" s="24"/>
      <c r="F242" s="25"/>
      <c r="G242" s="32" t="str">
        <f aca="false">"("&amp;CVSSv2!$B$4&amp;":"&amp;IF(H233=CVSSv2!$C$4,CVSSv2!$C$26,IF(H233=CVSSv2!$D$4,CVSSv2!$D$26,IF(H233=CVSSv2!$E$4,CVSSv2!$E$26,"")))&amp;"/"&amp;CVSSv2!$B$5&amp;":"&amp;IF(H234=CVSSv2!$C$5,CVSSv2!$C$27,IF(H234=CVSSv2!$D$5,CVSSv2!$D$27,IF(H234=CVSSv2!$E$5,CVSSv2!$E$27,"")))&amp;"/"&amp;CVSSv2!$B$6&amp;":"&amp;IF(H235=CVSSv2!$C$6,CVSSv2!$C$28,IF(H235=CVSSv2!$D$6,CVSSv2!$D$28,IF(H235=CVSSv2!$E$6,CVSSv2!$E$28,"")))&amp;"/"&amp;CVSSv2!$B$7&amp;":"&amp;IF(H236=CVSSv2!$C$7,CVSSv2!$C$29,IF(H236=CVSSv2!$D$7,CVSSv2!$D$29,IF(H236=CVSSv2!$E$7,CVSSv2!$E$29,"")))&amp;"/"&amp;CVSSv2!$B$8&amp;":"&amp;IF(H237=CVSSv2!$C$8,CVSSv2!$C$30,IF(H237=CVSSv2!$D$8,CVSSv2!$D$30,IF(H237=CVSSv2!$E$8,CVSSv2!$E$30,"")))&amp;"/"&amp;CVSSv2!$B$9&amp;":"&amp;IF(H238=CVSSv2!$C$9,CVSSv2!$C$31,IF(H238=CVSSv2!$D$9,CVSSv2!$D$31,IF(H238=CVSSv2!$E$9,CVSSv2!$E$31,"")))&amp;"/"&amp;CVSSv2!$B$10&amp;":"&amp;IF(H239=CVSSv2!$C$10,CVSSv2!$C$32,IF(H239=CVSSv2!$D$10,CVSSv2!$D$32,IF(H239=CVSSv2!$E$10,CVSSv2!$E$32,IF(H239=CVSSv2!$F$10,CVSSv2!$F$32,""))))&amp;"/"&amp;CVSSv2!$B$11&amp;":"&amp;IF(H240=CVSSv2!$C$11,CVSSv2!$C$33,IF(H240=CVSSv2!$D$11,CVSSv2!$D$33,IF(H240=CVSSv2!$E$11,CVSSv2!$E$33,IF(H240=CVSSv2!$F$11,CVSSv2!$F$33,""))))&amp;"/"&amp;CVSSv2!$B$12&amp;":"&amp;IF(H241=CVSSv2!$C$12,CVSSv2!$C$34,IF(H241=CVSSv2!$D$12,CVSSv2!$D$34,IF(H241=CVSSv2!$E$12,CVSSv2!$E$34,"")))&amp;")"</f>
        <v>(AV:N/AC:L/Au:N/C:C/I:C/A:C/E:H/RL:W/RC:C)</v>
      </c>
      <c r="H242" s="32"/>
      <c r="I242" s="33"/>
      <c r="J242" s="23"/>
      <c r="K242" s="23"/>
      <c r="L242" s="24"/>
      <c r="M242" s="24"/>
      <c r="N242" s="24"/>
      <c r="O242" s="24"/>
    </row>
    <row r="243" customFormat="false" ht="15.75" hidden="false" customHeight="true" outlineLevel="0" collapsed="false">
      <c r="A243" s="23" t="n">
        <v>25</v>
      </c>
      <c r="B243" s="24" t="s">
        <v>738</v>
      </c>
      <c r="C243" s="24" t="s">
        <v>17</v>
      </c>
      <c r="D243" s="24" t="s">
        <v>17</v>
      </c>
      <c r="E243" s="24" t="s">
        <v>17</v>
      </c>
      <c r="F2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43" s="26" t="str">
        <f aca="false">CVSSv2!$A$4</f>
        <v>Vector de acceso:</v>
      </c>
      <c r="H243" s="27" t="s">
        <v>706</v>
      </c>
      <c r="I243" s="33" t="n">
        <f aca="false">ROUND(((0.6*(10.41*(1-(1-IF(H246=CVSSv2!$C$7,CVSSv2!$C$18,IF(H246=CVSSv2!$D$7,CVSSv2!$D$18,IF(H246=CVSSv2!$E$7,CVSSv2!$E$18,0))))*(1-IF(H247=CVSSv2!$C$8,CVSSv2!$C$19,IF(H247=CVSSv2!$D$8,CVSSv2!$D$19,IF(H247=CVSSv2!$E$8,CVSSv2!$E$19,0))))*(1-IF(H248=CVSSv2!$C$9,CVSSv2!$C$20,IF(H248=CVSSv2!$D$9,CVSSv2!$D$20,IF(H248=CVSSv2!$E$9,CVSSv2!$E$20,0))))))+0.4*(20*IF(H243=CVSSv2!$C$4,CVSSv2!$C$15,IF(H243=CVSSv2!$D$4,CVSSv2!$D$15,IF(H243=CVSSv2!$E$4,CVSSv2!$E$15,0)))*IF(H244=CVSSv2!$C$5,CVSSv2!$C$16,IF(H244=CVSSv2!$D$5,CVSSv2!$D$16,IF(H244=CVSSv2!$E$5,CVSSv2!$E$16,0)))*IF(H245=CVSSv2!$C$6,CVSSv2!$C$17,IF(H245=CVSSv2!$D$6,CVSSv2!$D$17,IF(H245=CVSSv2!$E$6,CVSSv2!$E$17,0))))-1.5)*(IF(10.41*(1-(1-IF(H246=CVSSv2!$C$7,CVSSv2!$C$18,IF(H246=CVSSv2!$D$7,CVSSv2!$D$18,IF(H246=CVSSv2!$E$7,CVSSv2!$E$18,0))))*(1-IF(H247=CVSSv2!$C$8,CVSSv2!$C$19,IF(H247=CVSSv2!$D$8,CVSSv2!$D$19,IF(H247=CVSSv2!$E$8,CVSSv2!$E$19,0))))*(1-IF(H248=CVSSv2!$C$9,CVSSv2!$C$20,IF(H248=CVSSv2!$D$9,CVSSv2!$D$20,IF(H248=CVSSv2!$E$9,CVSSv2!$E$20,0)))))=0,0,1.176)))*(IF(H249=CVSSv2!$C$10,CVSSv2!$C$21,IF(H249=CVSSv2!$D$10,CVSSv2!$D$21,IF(H249=CVSSv2!$E$10,CVSSv2!$E$21,IF(H249=CVSSv2!$F$10,CVSSv2!$F$21,0))))*IF(H250=CVSSv2!$C$11,CVSSv2!$C$22,IF(H250=CVSSv2!$D$11,CVSSv2!$D$22,IF(H250=CVSSv2!$E$11,CVSSv2!$E$22,IF(H250=CVSSv2!$F$11,CVSSv2!$F$22,0))))*IF(H251=CVSSv2!$C$12,CVSSv2!$C$23,IF(H251=CVSSv2!$D$12,CVSSv2!$D$23,IF(H251=CVSSv2!$E$12,CVSSv2!$E$23,0)))),1)</f>
        <v>9.5</v>
      </c>
      <c r="J243" s="23" t="n">
        <v>0</v>
      </c>
      <c r="K243" s="23" t="n">
        <v>0</v>
      </c>
      <c r="L243" s="24" t="s">
        <v>17</v>
      </c>
      <c r="M243" s="24" t="s">
        <v>17</v>
      </c>
      <c r="N243" s="24" t="s">
        <v>707</v>
      </c>
      <c r="O243" s="24" t="s">
        <v>708</v>
      </c>
    </row>
    <row r="244" customFormat="false" ht="15.75" hidden="false" customHeight="true" outlineLevel="0" collapsed="false">
      <c r="A244" s="23"/>
      <c r="B244" s="24"/>
      <c r="C244" s="24"/>
      <c r="D244" s="24"/>
      <c r="E244" s="24"/>
      <c r="F244" s="25"/>
      <c r="G244" s="30" t="str">
        <f aca="false">CVSSv2!$A$5</f>
        <v>Complejidad de acceso:</v>
      </c>
      <c r="H244" s="31" t="s">
        <v>709</v>
      </c>
      <c r="I244" s="33"/>
      <c r="J244" s="23"/>
      <c r="K244" s="23"/>
      <c r="L244" s="24"/>
      <c r="M244" s="24"/>
      <c r="N244" s="24"/>
      <c r="O244" s="24"/>
    </row>
    <row r="245" customFormat="false" ht="15.75" hidden="false" customHeight="true" outlineLevel="0" collapsed="false">
      <c r="A245" s="23"/>
      <c r="B245" s="24"/>
      <c r="C245" s="24"/>
      <c r="D245" s="24"/>
      <c r="E245" s="24"/>
      <c r="F245" s="25"/>
      <c r="G245" s="30" t="str">
        <f aca="false">CVSSv2!$A$6</f>
        <v>Autenticación:</v>
      </c>
      <c r="H245" s="31" t="s">
        <v>710</v>
      </c>
      <c r="I245" s="33"/>
      <c r="J245" s="23"/>
      <c r="K245" s="23"/>
      <c r="L245" s="24"/>
      <c r="M245" s="24"/>
      <c r="N245" s="24"/>
      <c r="O245" s="24"/>
    </row>
    <row r="246" customFormat="false" ht="15.75" hidden="false" customHeight="true" outlineLevel="0" collapsed="false">
      <c r="A246" s="23"/>
      <c r="B246" s="24"/>
      <c r="C246" s="24"/>
      <c r="D246" s="24"/>
      <c r="E246" s="24"/>
      <c r="F246" s="25"/>
      <c r="G246" s="30" t="str">
        <f aca="false">CVSSv2!$A$7</f>
        <v>Impacto a la confidencialidad:</v>
      </c>
      <c r="H246" s="31" t="s">
        <v>711</v>
      </c>
      <c r="I246" s="33"/>
      <c r="J246" s="23"/>
      <c r="K246" s="23"/>
      <c r="L246" s="24"/>
      <c r="M246" s="24"/>
      <c r="N246" s="24"/>
      <c r="O246" s="24"/>
    </row>
    <row r="247" customFormat="false" ht="15.75" hidden="false" customHeight="true" outlineLevel="0" collapsed="false">
      <c r="A247" s="23"/>
      <c r="B247" s="24"/>
      <c r="C247" s="24"/>
      <c r="D247" s="24"/>
      <c r="E247" s="24"/>
      <c r="F247" s="25"/>
      <c r="G247" s="30" t="str">
        <f aca="false">CVSSv2!$A$8</f>
        <v>Impacto a la integridad:</v>
      </c>
      <c r="H247" s="31" t="s">
        <v>711</v>
      </c>
      <c r="I247" s="33"/>
      <c r="J247" s="23"/>
      <c r="K247" s="23"/>
      <c r="L247" s="24"/>
      <c r="M247" s="24"/>
      <c r="N247" s="24"/>
      <c r="O247" s="24"/>
    </row>
    <row r="248" customFormat="false" ht="15.75" hidden="false" customHeight="true" outlineLevel="0" collapsed="false">
      <c r="A248" s="23"/>
      <c r="B248" s="24"/>
      <c r="C248" s="24"/>
      <c r="D248" s="24"/>
      <c r="E248" s="24"/>
      <c r="F248" s="25"/>
      <c r="G248" s="30" t="str">
        <f aca="false">CVSSv2!$A$9</f>
        <v>Impacto a la disponibilidad:</v>
      </c>
      <c r="H248" s="31" t="s">
        <v>711</v>
      </c>
      <c r="I248" s="33"/>
      <c r="J248" s="23"/>
      <c r="K248" s="23"/>
      <c r="L248" s="24"/>
      <c r="M248" s="24"/>
      <c r="N248" s="24"/>
      <c r="O248" s="24"/>
    </row>
    <row r="249" customFormat="false" ht="15.75" hidden="false" customHeight="true" outlineLevel="0" collapsed="false">
      <c r="A249" s="23"/>
      <c r="B249" s="24"/>
      <c r="C249" s="24"/>
      <c r="D249" s="24"/>
      <c r="E249" s="24"/>
      <c r="F249" s="25"/>
      <c r="G249" s="30" t="str">
        <f aca="false">CVSSv2!$A$10</f>
        <v>Explotabilidad:</v>
      </c>
      <c r="H249" s="31" t="s">
        <v>712</v>
      </c>
      <c r="I249" s="33"/>
      <c r="J249" s="23"/>
      <c r="K249" s="23"/>
      <c r="L249" s="24"/>
      <c r="M249" s="24"/>
      <c r="N249" s="24"/>
      <c r="O249" s="24"/>
    </row>
    <row r="250" customFormat="false" ht="15.75" hidden="false" customHeight="true" outlineLevel="0" collapsed="false">
      <c r="A250" s="23"/>
      <c r="B250" s="24"/>
      <c r="C250" s="24"/>
      <c r="D250" s="24"/>
      <c r="E250" s="24"/>
      <c r="F250" s="25"/>
      <c r="G250" s="30" t="str">
        <f aca="false">CVSSv2!$A$11</f>
        <v>Nivel de resolución:</v>
      </c>
      <c r="H250" s="31" t="s">
        <v>713</v>
      </c>
      <c r="I250" s="33"/>
      <c r="J250" s="23"/>
      <c r="K250" s="23"/>
      <c r="L250" s="24"/>
      <c r="M250" s="24"/>
      <c r="N250" s="24"/>
      <c r="O250" s="24"/>
    </row>
    <row r="251" customFormat="false" ht="15.75" hidden="false" customHeight="true" outlineLevel="0" collapsed="false">
      <c r="A251" s="23"/>
      <c r="B251" s="24"/>
      <c r="C251" s="24"/>
      <c r="D251" s="24"/>
      <c r="E251" s="24"/>
      <c r="F251" s="25"/>
      <c r="G251" s="30" t="str">
        <f aca="false">CVSSv2!$A$12</f>
        <v>Nivel de confianza:</v>
      </c>
      <c r="H251" s="31" t="s">
        <v>714</v>
      </c>
      <c r="I251" s="33"/>
      <c r="J251" s="23"/>
      <c r="K251" s="23"/>
      <c r="L251" s="24"/>
      <c r="M251" s="24"/>
      <c r="N251" s="24"/>
      <c r="O251" s="24"/>
    </row>
    <row r="252" customFormat="false" ht="15.75" hidden="false" customHeight="true" outlineLevel="0" collapsed="false">
      <c r="A252" s="23"/>
      <c r="B252" s="24"/>
      <c r="C252" s="24"/>
      <c r="D252" s="24"/>
      <c r="E252" s="24"/>
      <c r="F252" s="25"/>
      <c r="G252" s="32" t="str">
        <f aca="false">"("&amp;CVSSv2!$B$4&amp;":"&amp;IF(H243=CVSSv2!$C$4,CVSSv2!$C$26,IF(H243=CVSSv2!$D$4,CVSSv2!$D$26,IF(H243=CVSSv2!$E$4,CVSSv2!$E$26,"")))&amp;"/"&amp;CVSSv2!$B$5&amp;":"&amp;IF(H244=CVSSv2!$C$5,CVSSv2!$C$27,IF(H244=CVSSv2!$D$5,CVSSv2!$D$27,IF(H244=CVSSv2!$E$5,CVSSv2!$E$27,"")))&amp;"/"&amp;CVSSv2!$B$6&amp;":"&amp;IF(H245=CVSSv2!$C$6,CVSSv2!$C$28,IF(H245=CVSSv2!$D$6,CVSSv2!$D$28,IF(H245=CVSSv2!$E$6,CVSSv2!$E$28,"")))&amp;"/"&amp;CVSSv2!$B$7&amp;":"&amp;IF(H246=CVSSv2!$C$7,CVSSv2!$C$29,IF(H246=CVSSv2!$D$7,CVSSv2!$D$29,IF(H246=CVSSv2!$E$7,CVSSv2!$E$29,"")))&amp;"/"&amp;CVSSv2!$B$8&amp;":"&amp;IF(H247=CVSSv2!$C$8,CVSSv2!$C$30,IF(H247=CVSSv2!$D$8,CVSSv2!$D$30,IF(H247=CVSSv2!$E$8,CVSSv2!$E$30,"")))&amp;"/"&amp;CVSSv2!$B$9&amp;":"&amp;IF(H248=CVSSv2!$C$9,CVSSv2!$C$31,IF(H248=CVSSv2!$D$9,CVSSv2!$D$31,IF(H248=CVSSv2!$E$9,CVSSv2!$E$31,"")))&amp;"/"&amp;CVSSv2!$B$10&amp;":"&amp;IF(H249=CVSSv2!$C$10,CVSSv2!$C$32,IF(H249=CVSSv2!$D$10,CVSSv2!$D$32,IF(H249=CVSSv2!$E$10,CVSSv2!$E$32,IF(H249=CVSSv2!$F$10,CVSSv2!$F$32,""))))&amp;"/"&amp;CVSSv2!$B$11&amp;":"&amp;IF(H250=CVSSv2!$C$11,CVSSv2!$C$33,IF(H250=CVSSv2!$D$11,CVSSv2!$D$33,IF(H250=CVSSv2!$E$11,CVSSv2!$E$33,IF(H250=CVSSv2!$F$11,CVSSv2!$F$33,""))))&amp;"/"&amp;CVSSv2!$B$12&amp;":"&amp;IF(H251=CVSSv2!$C$12,CVSSv2!$C$34,IF(H251=CVSSv2!$D$12,CVSSv2!$D$34,IF(H251=CVSSv2!$E$12,CVSSv2!$E$34,"")))&amp;")"</f>
        <v>(AV:N/AC:L/Au:N/C:C/I:C/A:C/E:H/RL:W/RC:C)</v>
      </c>
      <c r="H252" s="32"/>
      <c r="I252" s="33"/>
      <c r="J252" s="23"/>
      <c r="K252" s="23"/>
      <c r="L252" s="24"/>
      <c r="M252" s="24"/>
      <c r="N252" s="24"/>
      <c r="O252" s="24"/>
    </row>
    <row r="253" customFormat="false" ht="15.75" hidden="false" customHeight="true" outlineLevel="0" collapsed="false">
      <c r="A253" s="23" t="n">
        <v>26</v>
      </c>
      <c r="B253" s="24" t="s">
        <v>739</v>
      </c>
      <c r="C253" s="24" t="s">
        <v>17</v>
      </c>
      <c r="D253" s="24" t="s">
        <v>17</v>
      </c>
      <c r="E253" s="24" t="s">
        <v>17</v>
      </c>
      <c r="F2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53" s="26" t="str">
        <f aca="false">CVSSv2!$A$4</f>
        <v>Vector de acceso:</v>
      </c>
      <c r="H253" s="27" t="s">
        <v>706</v>
      </c>
      <c r="I253" s="33" t="n">
        <f aca="false">ROUND(((0.6*(10.41*(1-(1-IF(H256=CVSSv2!$C$7,CVSSv2!$C$18,IF(H256=CVSSv2!$D$7,CVSSv2!$D$18,IF(H256=CVSSv2!$E$7,CVSSv2!$E$18,0))))*(1-IF(H257=CVSSv2!$C$8,CVSSv2!$C$19,IF(H257=CVSSv2!$D$8,CVSSv2!$D$19,IF(H257=CVSSv2!$E$8,CVSSv2!$E$19,0))))*(1-IF(H258=CVSSv2!$C$9,CVSSv2!$C$20,IF(H258=CVSSv2!$D$9,CVSSv2!$D$20,IF(H258=CVSSv2!$E$9,CVSSv2!$E$20,0))))))+0.4*(20*IF(H253=CVSSv2!$C$4,CVSSv2!$C$15,IF(H253=CVSSv2!$D$4,CVSSv2!$D$15,IF(H253=CVSSv2!$E$4,CVSSv2!$E$15,0)))*IF(H254=CVSSv2!$C$5,CVSSv2!$C$16,IF(H254=CVSSv2!$D$5,CVSSv2!$D$16,IF(H254=CVSSv2!$E$5,CVSSv2!$E$16,0)))*IF(H255=CVSSv2!$C$6,CVSSv2!$C$17,IF(H255=CVSSv2!$D$6,CVSSv2!$D$17,IF(H255=CVSSv2!$E$6,CVSSv2!$E$17,0))))-1.5)*(IF(10.41*(1-(1-IF(H256=CVSSv2!$C$7,CVSSv2!$C$18,IF(H256=CVSSv2!$D$7,CVSSv2!$D$18,IF(H256=CVSSv2!$E$7,CVSSv2!$E$18,0))))*(1-IF(H257=CVSSv2!$C$8,CVSSv2!$C$19,IF(H257=CVSSv2!$D$8,CVSSv2!$D$19,IF(H257=CVSSv2!$E$8,CVSSv2!$E$19,0))))*(1-IF(H258=CVSSv2!$C$9,CVSSv2!$C$20,IF(H258=CVSSv2!$D$9,CVSSv2!$D$20,IF(H258=CVSSv2!$E$9,CVSSv2!$E$20,0)))))=0,0,1.176)))*(IF(H259=CVSSv2!$C$10,CVSSv2!$C$21,IF(H259=CVSSv2!$D$10,CVSSv2!$D$21,IF(H259=CVSSv2!$E$10,CVSSv2!$E$21,IF(H259=CVSSv2!$F$10,CVSSv2!$F$21,0))))*IF(H260=CVSSv2!$C$11,CVSSv2!$C$22,IF(H260=CVSSv2!$D$11,CVSSv2!$D$22,IF(H260=CVSSv2!$E$11,CVSSv2!$E$22,IF(H260=CVSSv2!$F$11,CVSSv2!$F$22,0))))*IF(H261=CVSSv2!$C$12,CVSSv2!$C$23,IF(H261=CVSSv2!$D$12,CVSSv2!$D$23,IF(H261=CVSSv2!$E$12,CVSSv2!$E$23,0)))),1)</f>
        <v>9.5</v>
      </c>
      <c r="J253" s="23" t="n">
        <v>0</v>
      </c>
      <c r="K253" s="23" t="n">
        <v>0</v>
      </c>
      <c r="L253" s="24" t="s">
        <v>17</v>
      </c>
      <c r="M253" s="24" t="s">
        <v>17</v>
      </c>
      <c r="N253" s="24" t="s">
        <v>707</v>
      </c>
      <c r="O253" s="24" t="s">
        <v>708</v>
      </c>
    </row>
    <row r="254" customFormat="false" ht="15.75" hidden="false" customHeight="true" outlineLevel="0" collapsed="false">
      <c r="A254" s="23"/>
      <c r="B254" s="24"/>
      <c r="C254" s="24"/>
      <c r="D254" s="24"/>
      <c r="E254" s="24"/>
      <c r="F254" s="25"/>
      <c r="G254" s="30" t="str">
        <f aca="false">CVSSv2!$A$5</f>
        <v>Complejidad de acceso:</v>
      </c>
      <c r="H254" s="31" t="s">
        <v>709</v>
      </c>
      <c r="I254" s="33"/>
      <c r="J254" s="23"/>
      <c r="K254" s="23"/>
      <c r="L254" s="24"/>
      <c r="M254" s="24"/>
      <c r="N254" s="24"/>
      <c r="O254" s="24"/>
    </row>
    <row r="255" customFormat="false" ht="15.75" hidden="false" customHeight="true" outlineLevel="0" collapsed="false">
      <c r="A255" s="23"/>
      <c r="B255" s="24"/>
      <c r="C255" s="24"/>
      <c r="D255" s="24"/>
      <c r="E255" s="24"/>
      <c r="F255" s="25"/>
      <c r="G255" s="30" t="str">
        <f aca="false">CVSSv2!$A$6</f>
        <v>Autenticación:</v>
      </c>
      <c r="H255" s="31" t="s">
        <v>710</v>
      </c>
      <c r="I255" s="33"/>
      <c r="J255" s="23"/>
      <c r="K255" s="23"/>
      <c r="L255" s="24"/>
      <c r="M255" s="24"/>
      <c r="N255" s="24"/>
      <c r="O255" s="24"/>
    </row>
    <row r="256" customFormat="false" ht="15.75" hidden="false" customHeight="true" outlineLevel="0" collapsed="false">
      <c r="A256" s="23"/>
      <c r="B256" s="24"/>
      <c r="C256" s="24"/>
      <c r="D256" s="24"/>
      <c r="E256" s="24"/>
      <c r="F256" s="25"/>
      <c r="G256" s="30" t="str">
        <f aca="false">CVSSv2!$A$7</f>
        <v>Impacto a la confidencialidad:</v>
      </c>
      <c r="H256" s="31" t="s">
        <v>711</v>
      </c>
      <c r="I256" s="33"/>
      <c r="J256" s="23"/>
      <c r="K256" s="23"/>
      <c r="L256" s="24"/>
      <c r="M256" s="24"/>
      <c r="N256" s="24"/>
      <c r="O256" s="24"/>
    </row>
    <row r="257" customFormat="false" ht="15.75" hidden="false" customHeight="true" outlineLevel="0" collapsed="false">
      <c r="A257" s="23"/>
      <c r="B257" s="24"/>
      <c r="C257" s="24"/>
      <c r="D257" s="24"/>
      <c r="E257" s="24"/>
      <c r="F257" s="25"/>
      <c r="G257" s="30" t="str">
        <f aca="false">CVSSv2!$A$8</f>
        <v>Impacto a la integridad:</v>
      </c>
      <c r="H257" s="31" t="s">
        <v>711</v>
      </c>
      <c r="I257" s="33"/>
      <c r="J257" s="23"/>
      <c r="K257" s="23"/>
      <c r="L257" s="24"/>
      <c r="M257" s="24"/>
      <c r="N257" s="24"/>
      <c r="O257" s="24"/>
    </row>
    <row r="258" customFormat="false" ht="15.75" hidden="false" customHeight="true" outlineLevel="0" collapsed="false">
      <c r="A258" s="23"/>
      <c r="B258" s="24"/>
      <c r="C258" s="24"/>
      <c r="D258" s="24"/>
      <c r="E258" s="24"/>
      <c r="F258" s="25"/>
      <c r="G258" s="30" t="str">
        <f aca="false">CVSSv2!$A$9</f>
        <v>Impacto a la disponibilidad:</v>
      </c>
      <c r="H258" s="31" t="s">
        <v>711</v>
      </c>
      <c r="I258" s="33"/>
      <c r="J258" s="23"/>
      <c r="K258" s="23"/>
      <c r="L258" s="24"/>
      <c r="M258" s="24"/>
      <c r="N258" s="24"/>
      <c r="O258" s="24"/>
    </row>
    <row r="259" customFormat="false" ht="15.75" hidden="false" customHeight="true" outlineLevel="0" collapsed="false">
      <c r="A259" s="23"/>
      <c r="B259" s="24"/>
      <c r="C259" s="24"/>
      <c r="D259" s="24"/>
      <c r="E259" s="24"/>
      <c r="F259" s="25"/>
      <c r="G259" s="30" t="str">
        <f aca="false">CVSSv2!$A$10</f>
        <v>Explotabilidad:</v>
      </c>
      <c r="H259" s="31" t="s">
        <v>712</v>
      </c>
      <c r="I259" s="33"/>
      <c r="J259" s="23"/>
      <c r="K259" s="23"/>
      <c r="L259" s="24"/>
      <c r="M259" s="24"/>
      <c r="N259" s="24"/>
      <c r="O259" s="24"/>
    </row>
    <row r="260" customFormat="false" ht="15.75" hidden="false" customHeight="true" outlineLevel="0" collapsed="false">
      <c r="A260" s="23"/>
      <c r="B260" s="24"/>
      <c r="C260" s="24"/>
      <c r="D260" s="24"/>
      <c r="E260" s="24"/>
      <c r="F260" s="25"/>
      <c r="G260" s="30" t="str">
        <f aca="false">CVSSv2!$A$11</f>
        <v>Nivel de resolución:</v>
      </c>
      <c r="H260" s="31" t="s">
        <v>713</v>
      </c>
      <c r="I260" s="33"/>
      <c r="J260" s="23"/>
      <c r="K260" s="23"/>
      <c r="L260" s="24"/>
      <c r="M260" s="24"/>
      <c r="N260" s="24"/>
      <c r="O260" s="24"/>
    </row>
    <row r="261" customFormat="false" ht="15.75" hidden="false" customHeight="true" outlineLevel="0" collapsed="false">
      <c r="A261" s="23"/>
      <c r="B261" s="24"/>
      <c r="C261" s="24"/>
      <c r="D261" s="24"/>
      <c r="E261" s="24"/>
      <c r="F261" s="25"/>
      <c r="G261" s="30" t="str">
        <f aca="false">CVSSv2!$A$12</f>
        <v>Nivel de confianza:</v>
      </c>
      <c r="H261" s="31" t="s">
        <v>714</v>
      </c>
      <c r="I261" s="33"/>
      <c r="J261" s="23"/>
      <c r="K261" s="23"/>
      <c r="L261" s="24"/>
      <c r="M261" s="24"/>
      <c r="N261" s="24"/>
      <c r="O261" s="24"/>
    </row>
    <row r="262" customFormat="false" ht="15.75" hidden="false" customHeight="true" outlineLevel="0" collapsed="false">
      <c r="A262" s="23"/>
      <c r="B262" s="24"/>
      <c r="C262" s="24"/>
      <c r="D262" s="24"/>
      <c r="E262" s="24"/>
      <c r="F262" s="25"/>
      <c r="G262" s="32" t="str">
        <f aca="false">"("&amp;CVSSv2!$B$4&amp;":"&amp;IF(H253=CVSSv2!$C$4,CVSSv2!$C$26,IF(H253=CVSSv2!$D$4,CVSSv2!$D$26,IF(H253=CVSSv2!$E$4,CVSSv2!$E$26,"")))&amp;"/"&amp;CVSSv2!$B$5&amp;":"&amp;IF(H254=CVSSv2!$C$5,CVSSv2!$C$27,IF(H254=CVSSv2!$D$5,CVSSv2!$D$27,IF(H254=CVSSv2!$E$5,CVSSv2!$E$27,"")))&amp;"/"&amp;CVSSv2!$B$6&amp;":"&amp;IF(H255=CVSSv2!$C$6,CVSSv2!$C$28,IF(H255=CVSSv2!$D$6,CVSSv2!$D$28,IF(H255=CVSSv2!$E$6,CVSSv2!$E$28,"")))&amp;"/"&amp;CVSSv2!$B$7&amp;":"&amp;IF(H256=CVSSv2!$C$7,CVSSv2!$C$29,IF(H256=CVSSv2!$D$7,CVSSv2!$D$29,IF(H256=CVSSv2!$E$7,CVSSv2!$E$29,"")))&amp;"/"&amp;CVSSv2!$B$8&amp;":"&amp;IF(H257=CVSSv2!$C$8,CVSSv2!$C$30,IF(H257=CVSSv2!$D$8,CVSSv2!$D$30,IF(H257=CVSSv2!$E$8,CVSSv2!$E$30,"")))&amp;"/"&amp;CVSSv2!$B$9&amp;":"&amp;IF(H258=CVSSv2!$C$9,CVSSv2!$C$31,IF(H258=CVSSv2!$D$9,CVSSv2!$D$31,IF(H258=CVSSv2!$E$9,CVSSv2!$E$31,"")))&amp;"/"&amp;CVSSv2!$B$10&amp;":"&amp;IF(H259=CVSSv2!$C$10,CVSSv2!$C$32,IF(H259=CVSSv2!$D$10,CVSSv2!$D$32,IF(H259=CVSSv2!$E$10,CVSSv2!$E$32,IF(H259=CVSSv2!$F$10,CVSSv2!$F$32,""))))&amp;"/"&amp;CVSSv2!$B$11&amp;":"&amp;IF(H260=CVSSv2!$C$11,CVSSv2!$C$33,IF(H260=CVSSv2!$D$11,CVSSv2!$D$33,IF(H260=CVSSv2!$E$11,CVSSv2!$E$33,IF(H260=CVSSv2!$F$11,CVSSv2!$F$33,""))))&amp;"/"&amp;CVSSv2!$B$12&amp;":"&amp;IF(H261=CVSSv2!$C$12,CVSSv2!$C$34,IF(H261=CVSSv2!$D$12,CVSSv2!$D$34,IF(H261=CVSSv2!$E$12,CVSSv2!$E$34,"")))&amp;")"</f>
        <v>(AV:N/AC:L/Au:N/C:C/I:C/A:C/E:H/RL:W/RC:C)</v>
      </c>
      <c r="H262" s="32"/>
      <c r="I262" s="33"/>
      <c r="J262" s="23"/>
      <c r="K262" s="23"/>
      <c r="L262" s="24"/>
      <c r="M262" s="24"/>
      <c r="N262" s="24"/>
      <c r="O262" s="24"/>
    </row>
    <row r="263" customFormat="false" ht="15.75" hidden="false" customHeight="true" outlineLevel="0" collapsed="false">
      <c r="A263" s="23" t="n">
        <v>27</v>
      </c>
      <c r="B263" s="24" t="s">
        <v>740</v>
      </c>
      <c r="C263" s="24" t="s">
        <v>17</v>
      </c>
      <c r="D263" s="24" t="s">
        <v>17</v>
      </c>
      <c r="E263" s="24" t="s">
        <v>17</v>
      </c>
      <c r="F2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63" s="26" t="str">
        <f aca="false">CVSSv2!$A$4</f>
        <v>Vector de acceso:</v>
      </c>
      <c r="H263" s="27" t="s">
        <v>706</v>
      </c>
      <c r="I263" s="33" t="n">
        <f aca="false">ROUND(((0.6*(10.41*(1-(1-IF(H266=CVSSv2!$C$7,CVSSv2!$C$18,IF(H266=CVSSv2!$D$7,CVSSv2!$D$18,IF(H266=CVSSv2!$E$7,CVSSv2!$E$18,0))))*(1-IF(H267=CVSSv2!$C$8,CVSSv2!$C$19,IF(H267=CVSSv2!$D$8,CVSSv2!$D$19,IF(H267=CVSSv2!$E$8,CVSSv2!$E$19,0))))*(1-IF(H268=CVSSv2!$C$9,CVSSv2!$C$20,IF(H268=CVSSv2!$D$9,CVSSv2!$D$20,IF(H268=CVSSv2!$E$9,CVSSv2!$E$20,0))))))+0.4*(20*IF(H263=CVSSv2!$C$4,CVSSv2!$C$15,IF(H263=CVSSv2!$D$4,CVSSv2!$D$15,IF(H263=CVSSv2!$E$4,CVSSv2!$E$15,0)))*IF(H264=CVSSv2!$C$5,CVSSv2!$C$16,IF(H264=CVSSv2!$D$5,CVSSv2!$D$16,IF(H264=CVSSv2!$E$5,CVSSv2!$E$16,0)))*IF(H265=CVSSv2!$C$6,CVSSv2!$C$17,IF(H265=CVSSv2!$D$6,CVSSv2!$D$17,IF(H265=CVSSv2!$E$6,CVSSv2!$E$17,0))))-1.5)*(IF(10.41*(1-(1-IF(H266=CVSSv2!$C$7,CVSSv2!$C$18,IF(H266=CVSSv2!$D$7,CVSSv2!$D$18,IF(H266=CVSSv2!$E$7,CVSSv2!$E$18,0))))*(1-IF(H267=CVSSv2!$C$8,CVSSv2!$C$19,IF(H267=CVSSv2!$D$8,CVSSv2!$D$19,IF(H267=CVSSv2!$E$8,CVSSv2!$E$19,0))))*(1-IF(H268=CVSSv2!$C$9,CVSSv2!$C$20,IF(H268=CVSSv2!$D$9,CVSSv2!$D$20,IF(H268=CVSSv2!$E$9,CVSSv2!$E$20,0)))))=0,0,1.176)))*(IF(H269=CVSSv2!$C$10,CVSSv2!$C$21,IF(H269=CVSSv2!$D$10,CVSSv2!$D$21,IF(H269=CVSSv2!$E$10,CVSSv2!$E$21,IF(H269=CVSSv2!$F$10,CVSSv2!$F$21,0))))*IF(H270=CVSSv2!$C$11,CVSSv2!$C$22,IF(H270=CVSSv2!$D$11,CVSSv2!$D$22,IF(H270=CVSSv2!$E$11,CVSSv2!$E$22,IF(H270=CVSSv2!$F$11,CVSSv2!$F$22,0))))*IF(H271=CVSSv2!$C$12,CVSSv2!$C$23,IF(H271=CVSSv2!$D$12,CVSSv2!$D$23,IF(H271=CVSSv2!$E$12,CVSSv2!$E$23,0)))),1)</f>
        <v>9.5</v>
      </c>
      <c r="J263" s="23" t="n">
        <v>0</v>
      </c>
      <c r="K263" s="23" t="n">
        <v>0</v>
      </c>
      <c r="L263" s="24" t="s">
        <v>17</v>
      </c>
      <c r="M263" s="24" t="s">
        <v>17</v>
      </c>
      <c r="N263" s="24" t="s">
        <v>707</v>
      </c>
      <c r="O263" s="24" t="s">
        <v>708</v>
      </c>
    </row>
    <row r="264" customFormat="false" ht="15.75" hidden="false" customHeight="true" outlineLevel="0" collapsed="false">
      <c r="A264" s="23"/>
      <c r="B264" s="24"/>
      <c r="C264" s="24"/>
      <c r="D264" s="24"/>
      <c r="E264" s="24"/>
      <c r="F264" s="25"/>
      <c r="G264" s="30" t="str">
        <f aca="false">CVSSv2!$A$5</f>
        <v>Complejidad de acceso:</v>
      </c>
      <c r="H264" s="31" t="s">
        <v>709</v>
      </c>
      <c r="I264" s="33"/>
      <c r="J264" s="23"/>
      <c r="K264" s="23"/>
      <c r="L264" s="24"/>
      <c r="M264" s="24"/>
      <c r="N264" s="24"/>
      <c r="O264" s="24"/>
    </row>
    <row r="265" customFormat="false" ht="15.75" hidden="false" customHeight="true" outlineLevel="0" collapsed="false">
      <c r="A265" s="23"/>
      <c r="B265" s="24"/>
      <c r="C265" s="24"/>
      <c r="D265" s="24"/>
      <c r="E265" s="24"/>
      <c r="F265" s="25"/>
      <c r="G265" s="30" t="str">
        <f aca="false">CVSSv2!$A$6</f>
        <v>Autenticación:</v>
      </c>
      <c r="H265" s="31" t="s">
        <v>710</v>
      </c>
      <c r="I265" s="33"/>
      <c r="J265" s="23"/>
      <c r="K265" s="23"/>
      <c r="L265" s="24"/>
      <c r="M265" s="24"/>
      <c r="N265" s="24"/>
      <c r="O265" s="24"/>
    </row>
    <row r="266" customFormat="false" ht="15.75" hidden="false" customHeight="true" outlineLevel="0" collapsed="false">
      <c r="A266" s="23"/>
      <c r="B266" s="24"/>
      <c r="C266" s="24"/>
      <c r="D266" s="24"/>
      <c r="E266" s="24"/>
      <c r="F266" s="25"/>
      <c r="G266" s="30" t="str">
        <f aca="false">CVSSv2!$A$7</f>
        <v>Impacto a la confidencialidad:</v>
      </c>
      <c r="H266" s="31" t="s">
        <v>711</v>
      </c>
      <c r="I266" s="33"/>
      <c r="J266" s="23"/>
      <c r="K266" s="23"/>
      <c r="L266" s="24"/>
      <c r="M266" s="24"/>
      <c r="N266" s="24"/>
      <c r="O266" s="24"/>
    </row>
    <row r="267" customFormat="false" ht="15.75" hidden="false" customHeight="true" outlineLevel="0" collapsed="false">
      <c r="A267" s="23"/>
      <c r="B267" s="24"/>
      <c r="C267" s="24"/>
      <c r="D267" s="24"/>
      <c r="E267" s="24"/>
      <c r="F267" s="25"/>
      <c r="G267" s="30" t="str">
        <f aca="false">CVSSv2!$A$8</f>
        <v>Impacto a la integridad:</v>
      </c>
      <c r="H267" s="31" t="s">
        <v>711</v>
      </c>
      <c r="I267" s="33"/>
      <c r="J267" s="23"/>
      <c r="K267" s="23"/>
      <c r="L267" s="24"/>
      <c r="M267" s="24"/>
      <c r="N267" s="24"/>
      <c r="O267" s="24"/>
    </row>
    <row r="268" customFormat="false" ht="15.75" hidden="false" customHeight="true" outlineLevel="0" collapsed="false">
      <c r="A268" s="23"/>
      <c r="B268" s="24"/>
      <c r="C268" s="24"/>
      <c r="D268" s="24"/>
      <c r="E268" s="24"/>
      <c r="F268" s="25"/>
      <c r="G268" s="30" t="str">
        <f aca="false">CVSSv2!$A$9</f>
        <v>Impacto a la disponibilidad:</v>
      </c>
      <c r="H268" s="31" t="s">
        <v>711</v>
      </c>
      <c r="I268" s="33"/>
      <c r="J268" s="23"/>
      <c r="K268" s="23"/>
      <c r="L268" s="24"/>
      <c r="M268" s="24"/>
      <c r="N268" s="24"/>
      <c r="O268" s="24"/>
    </row>
    <row r="269" customFormat="false" ht="15.75" hidden="false" customHeight="true" outlineLevel="0" collapsed="false">
      <c r="A269" s="23"/>
      <c r="B269" s="24"/>
      <c r="C269" s="24"/>
      <c r="D269" s="24"/>
      <c r="E269" s="24"/>
      <c r="F269" s="25"/>
      <c r="G269" s="30" t="str">
        <f aca="false">CVSSv2!$A$10</f>
        <v>Explotabilidad:</v>
      </c>
      <c r="H269" s="31" t="s">
        <v>712</v>
      </c>
      <c r="I269" s="33"/>
      <c r="J269" s="23"/>
      <c r="K269" s="23"/>
      <c r="L269" s="24"/>
      <c r="M269" s="24"/>
      <c r="N269" s="24"/>
      <c r="O269" s="24"/>
    </row>
    <row r="270" customFormat="false" ht="15.75" hidden="false" customHeight="true" outlineLevel="0" collapsed="false">
      <c r="A270" s="23"/>
      <c r="B270" s="24"/>
      <c r="C270" s="24"/>
      <c r="D270" s="24"/>
      <c r="E270" s="24"/>
      <c r="F270" s="25"/>
      <c r="G270" s="30" t="str">
        <f aca="false">CVSSv2!$A$11</f>
        <v>Nivel de resolución:</v>
      </c>
      <c r="H270" s="31" t="s">
        <v>713</v>
      </c>
      <c r="I270" s="33"/>
      <c r="J270" s="23"/>
      <c r="K270" s="23"/>
      <c r="L270" s="24"/>
      <c r="M270" s="24"/>
      <c r="N270" s="24"/>
      <c r="O270" s="24"/>
    </row>
    <row r="271" customFormat="false" ht="15.75" hidden="false" customHeight="true" outlineLevel="0" collapsed="false">
      <c r="A271" s="23"/>
      <c r="B271" s="24"/>
      <c r="C271" s="24"/>
      <c r="D271" s="24"/>
      <c r="E271" s="24"/>
      <c r="F271" s="25"/>
      <c r="G271" s="30" t="str">
        <f aca="false">CVSSv2!$A$12</f>
        <v>Nivel de confianza:</v>
      </c>
      <c r="H271" s="31" t="s">
        <v>714</v>
      </c>
      <c r="I271" s="33"/>
      <c r="J271" s="23"/>
      <c r="K271" s="23"/>
      <c r="L271" s="24"/>
      <c r="M271" s="24"/>
      <c r="N271" s="24"/>
      <c r="O271" s="24"/>
    </row>
    <row r="272" customFormat="false" ht="15.75" hidden="false" customHeight="true" outlineLevel="0" collapsed="false">
      <c r="A272" s="23"/>
      <c r="B272" s="24"/>
      <c r="C272" s="24"/>
      <c r="D272" s="24"/>
      <c r="E272" s="24"/>
      <c r="F272" s="25"/>
      <c r="G272" s="32" t="str">
        <f aca="false">"("&amp;CVSSv2!$B$4&amp;":"&amp;IF(H263=CVSSv2!$C$4,CVSSv2!$C$26,IF(H263=CVSSv2!$D$4,CVSSv2!$D$26,IF(H263=CVSSv2!$E$4,CVSSv2!$E$26,"")))&amp;"/"&amp;CVSSv2!$B$5&amp;":"&amp;IF(H264=CVSSv2!$C$5,CVSSv2!$C$27,IF(H264=CVSSv2!$D$5,CVSSv2!$D$27,IF(H264=CVSSv2!$E$5,CVSSv2!$E$27,"")))&amp;"/"&amp;CVSSv2!$B$6&amp;":"&amp;IF(H265=CVSSv2!$C$6,CVSSv2!$C$28,IF(H265=CVSSv2!$D$6,CVSSv2!$D$28,IF(H265=CVSSv2!$E$6,CVSSv2!$E$28,"")))&amp;"/"&amp;CVSSv2!$B$7&amp;":"&amp;IF(H266=CVSSv2!$C$7,CVSSv2!$C$29,IF(H266=CVSSv2!$D$7,CVSSv2!$D$29,IF(H266=CVSSv2!$E$7,CVSSv2!$E$29,"")))&amp;"/"&amp;CVSSv2!$B$8&amp;":"&amp;IF(H267=CVSSv2!$C$8,CVSSv2!$C$30,IF(H267=CVSSv2!$D$8,CVSSv2!$D$30,IF(H267=CVSSv2!$E$8,CVSSv2!$E$30,"")))&amp;"/"&amp;CVSSv2!$B$9&amp;":"&amp;IF(H268=CVSSv2!$C$9,CVSSv2!$C$31,IF(H268=CVSSv2!$D$9,CVSSv2!$D$31,IF(H268=CVSSv2!$E$9,CVSSv2!$E$31,"")))&amp;"/"&amp;CVSSv2!$B$10&amp;":"&amp;IF(H269=CVSSv2!$C$10,CVSSv2!$C$32,IF(H269=CVSSv2!$D$10,CVSSv2!$D$32,IF(H269=CVSSv2!$E$10,CVSSv2!$E$32,IF(H269=CVSSv2!$F$10,CVSSv2!$F$32,""))))&amp;"/"&amp;CVSSv2!$B$11&amp;":"&amp;IF(H270=CVSSv2!$C$11,CVSSv2!$C$33,IF(H270=CVSSv2!$D$11,CVSSv2!$D$33,IF(H270=CVSSv2!$E$11,CVSSv2!$E$33,IF(H270=CVSSv2!$F$11,CVSSv2!$F$33,""))))&amp;"/"&amp;CVSSv2!$B$12&amp;":"&amp;IF(H271=CVSSv2!$C$12,CVSSv2!$C$34,IF(H271=CVSSv2!$D$12,CVSSv2!$D$34,IF(H271=CVSSv2!$E$12,CVSSv2!$E$34,"")))&amp;")"</f>
        <v>(AV:N/AC:L/Au:N/C:C/I:C/A:C/E:H/RL:W/RC:C)</v>
      </c>
      <c r="H272" s="32"/>
      <c r="I272" s="33"/>
      <c r="J272" s="23"/>
      <c r="K272" s="23"/>
      <c r="L272" s="24"/>
      <c r="M272" s="24"/>
      <c r="N272" s="24"/>
      <c r="O272" s="24"/>
    </row>
    <row r="273" customFormat="false" ht="15.75" hidden="false" customHeight="true" outlineLevel="0" collapsed="false">
      <c r="A273" s="23" t="n">
        <v>28</v>
      </c>
      <c r="B273" s="24" t="s">
        <v>741</v>
      </c>
      <c r="C273" s="24" t="s">
        <v>17</v>
      </c>
      <c r="D273" s="24" t="s">
        <v>17</v>
      </c>
      <c r="E273" s="24" t="s">
        <v>17</v>
      </c>
      <c r="F2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3" s="26" t="str">
        <f aca="false">CVSSv2!$A$4</f>
        <v>Vector de acceso:</v>
      </c>
      <c r="H273" s="27" t="s">
        <v>706</v>
      </c>
      <c r="I273" s="33" t="n">
        <f aca="false">ROUND(((0.6*(10.41*(1-(1-IF(H276=CVSSv2!$C$7,CVSSv2!$C$18,IF(H276=CVSSv2!$D$7,CVSSv2!$D$18,IF(H276=CVSSv2!$E$7,CVSSv2!$E$18,0))))*(1-IF(H277=CVSSv2!$C$8,CVSSv2!$C$19,IF(H277=CVSSv2!$D$8,CVSSv2!$D$19,IF(H277=CVSSv2!$E$8,CVSSv2!$E$19,0))))*(1-IF(H278=CVSSv2!$C$9,CVSSv2!$C$20,IF(H278=CVSSv2!$D$9,CVSSv2!$D$20,IF(H278=CVSSv2!$E$9,CVSSv2!$E$20,0))))))+0.4*(20*IF(H273=CVSSv2!$C$4,CVSSv2!$C$15,IF(H273=CVSSv2!$D$4,CVSSv2!$D$15,IF(H273=CVSSv2!$E$4,CVSSv2!$E$15,0)))*IF(H274=CVSSv2!$C$5,CVSSv2!$C$16,IF(H274=CVSSv2!$D$5,CVSSv2!$D$16,IF(H274=CVSSv2!$E$5,CVSSv2!$E$16,0)))*IF(H275=CVSSv2!$C$6,CVSSv2!$C$17,IF(H275=CVSSv2!$D$6,CVSSv2!$D$17,IF(H275=CVSSv2!$E$6,CVSSv2!$E$17,0))))-1.5)*(IF(10.41*(1-(1-IF(H276=CVSSv2!$C$7,CVSSv2!$C$18,IF(H276=CVSSv2!$D$7,CVSSv2!$D$18,IF(H276=CVSSv2!$E$7,CVSSv2!$E$18,0))))*(1-IF(H277=CVSSv2!$C$8,CVSSv2!$C$19,IF(H277=CVSSv2!$D$8,CVSSv2!$D$19,IF(H277=CVSSv2!$E$8,CVSSv2!$E$19,0))))*(1-IF(H278=CVSSv2!$C$9,CVSSv2!$C$20,IF(H278=CVSSv2!$D$9,CVSSv2!$D$20,IF(H278=CVSSv2!$E$9,CVSSv2!$E$20,0)))))=0,0,1.176)))*(IF(H279=CVSSv2!$C$10,CVSSv2!$C$21,IF(H279=CVSSv2!$D$10,CVSSv2!$D$21,IF(H279=CVSSv2!$E$10,CVSSv2!$E$21,IF(H279=CVSSv2!$F$10,CVSSv2!$F$21,0))))*IF(H280=CVSSv2!$C$11,CVSSv2!$C$22,IF(H280=CVSSv2!$D$11,CVSSv2!$D$22,IF(H280=CVSSv2!$E$11,CVSSv2!$E$22,IF(H280=CVSSv2!$F$11,CVSSv2!$F$22,0))))*IF(H281=CVSSv2!$C$12,CVSSv2!$C$23,IF(H281=CVSSv2!$D$12,CVSSv2!$D$23,IF(H281=CVSSv2!$E$12,CVSSv2!$E$23,0)))),1)</f>
        <v>9.5</v>
      </c>
      <c r="J273" s="23" t="n">
        <v>0</v>
      </c>
      <c r="K273" s="23" t="n">
        <v>0</v>
      </c>
      <c r="L273" s="24" t="s">
        <v>17</v>
      </c>
      <c r="M273" s="24" t="s">
        <v>17</v>
      </c>
      <c r="N273" s="24" t="s">
        <v>707</v>
      </c>
      <c r="O273" s="24" t="s">
        <v>708</v>
      </c>
    </row>
    <row r="274" customFormat="false" ht="15.75" hidden="false" customHeight="true" outlineLevel="0" collapsed="false">
      <c r="A274" s="23"/>
      <c r="B274" s="24"/>
      <c r="C274" s="24"/>
      <c r="D274" s="24"/>
      <c r="E274" s="24"/>
      <c r="F274" s="25"/>
      <c r="G274" s="30" t="str">
        <f aca="false">CVSSv2!$A$5</f>
        <v>Complejidad de acceso:</v>
      </c>
      <c r="H274" s="31" t="s">
        <v>709</v>
      </c>
      <c r="I274" s="33"/>
      <c r="J274" s="23"/>
      <c r="K274" s="23"/>
      <c r="L274" s="24"/>
      <c r="M274" s="24"/>
      <c r="N274" s="24"/>
      <c r="O274" s="24"/>
    </row>
    <row r="275" customFormat="false" ht="15.75" hidden="false" customHeight="true" outlineLevel="0" collapsed="false">
      <c r="A275" s="23"/>
      <c r="B275" s="24"/>
      <c r="C275" s="24"/>
      <c r="D275" s="24"/>
      <c r="E275" s="24"/>
      <c r="F275" s="25"/>
      <c r="G275" s="30" t="str">
        <f aca="false">CVSSv2!$A$6</f>
        <v>Autenticación:</v>
      </c>
      <c r="H275" s="31" t="s">
        <v>710</v>
      </c>
      <c r="I275" s="33"/>
      <c r="J275" s="23"/>
      <c r="K275" s="23"/>
      <c r="L275" s="24"/>
      <c r="M275" s="24"/>
      <c r="N275" s="24"/>
      <c r="O275" s="24"/>
    </row>
    <row r="276" customFormat="false" ht="15.75" hidden="false" customHeight="true" outlineLevel="0" collapsed="false">
      <c r="A276" s="23"/>
      <c r="B276" s="24"/>
      <c r="C276" s="24"/>
      <c r="D276" s="24"/>
      <c r="E276" s="24"/>
      <c r="F276" s="25"/>
      <c r="G276" s="30" t="str">
        <f aca="false">CVSSv2!$A$7</f>
        <v>Impacto a la confidencialidad:</v>
      </c>
      <c r="H276" s="31" t="s">
        <v>711</v>
      </c>
      <c r="I276" s="33"/>
      <c r="J276" s="23"/>
      <c r="K276" s="23"/>
      <c r="L276" s="24"/>
      <c r="M276" s="24"/>
      <c r="N276" s="24"/>
      <c r="O276" s="24"/>
    </row>
    <row r="277" customFormat="false" ht="15.75" hidden="false" customHeight="true" outlineLevel="0" collapsed="false">
      <c r="A277" s="23"/>
      <c r="B277" s="24"/>
      <c r="C277" s="24"/>
      <c r="D277" s="24"/>
      <c r="E277" s="24"/>
      <c r="F277" s="25"/>
      <c r="G277" s="30" t="str">
        <f aca="false">CVSSv2!$A$8</f>
        <v>Impacto a la integridad:</v>
      </c>
      <c r="H277" s="31" t="s">
        <v>711</v>
      </c>
      <c r="I277" s="33"/>
      <c r="J277" s="23"/>
      <c r="K277" s="23"/>
      <c r="L277" s="24"/>
      <c r="M277" s="24"/>
      <c r="N277" s="24"/>
      <c r="O277" s="24"/>
    </row>
    <row r="278" customFormat="false" ht="15.75" hidden="false" customHeight="true" outlineLevel="0" collapsed="false">
      <c r="A278" s="23"/>
      <c r="B278" s="24"/>
      <c r="C278" s="24"/>
      <c r="D278" s="24"/>
      <c r="E278" s="24"/>
      <c r="F278" s="25"/>
      <c r="G278" s="30" t="str">
        <f aca="false">CVSSv2!$A$9</f>
        <v>Impacto a la disponibilidad:</v>
      </c>
      <c r="H278" s="31" t="s">
        <v>711</v>
      </c>
      <c r="I278" s="33"/>
      <c r="J278" s="23"/>
      <c r="K278" s="23"/>
      <c r="L278" s="24"/>
      <c r="M278" s="24"/>
      <c r="N278" s="24"/>
      <c r="O278" s="24"/>
    </row>
    <row r="279" customFormat="false" ht="15.75" hidden="false" customHeight="true" outlineLevel="0" collapsed="false">
      <c r="A279" s="23"/>
      <c r="B279" s="24"/>
      <c r="C279" s="24"/>
      <c r="D279" s="24"/>
      <c r="E279" s="24"/>
      <c r="F279" s="25"/>
      <c r="G279" s="30" t="str">
        <f aca="false">CVSSv2!$A$10</f>
        <v>Explotabilidad:</v>
      </c>
      <c r="H279" s="31" t="s">
        <v>712</v>
      </c>
      <c r="I279" s="33"/>
      <c r="J279" s="23"/>
      <c r="K279" s="23"/>
      <c r="L279" s="24"/>
      <c r="M279" s="24"/>
      <c r="N279" s="24"/>
      <c r="O279" s="24"/>
    </row>
    <row r="280" customFormat="false" ht="15.75" hidden="false" customHeight="true" outlineLevel="0" collapsed="false">
      <c r="A280" s="23"/>
      <c r="B280" s="24"/>
      <c r="C280" s="24"/>
      <c r="D280" s="24"/>
      <c r="E280" s="24"/>
      <c r="F280" s="25"/>
      <c r="G280" s="30" t="str">
        <f aca="false">CVSSv2!$A$11</f>
        <v>Nivel de resolución:</v>
      </c>
      <c r="H280" s="31" t="s">
        <v>713</v>
      </c>
      <c r="I280" s="33"/>
      <c r="J280" s="23"/>
      <c r="K280" s="23"/>
      <c r="L280" s="24"/>
      <c r="M280" s="24"/>
      <c r="N280" s="24"/>
      <c r="O280" s="24"/>
    </row>
    <row r="281" customFormat="false" ht="15.75" hidden="false" customHeight="true" outlineLevel="0" collapsed="false">
      <c r="A281" s="23"/>
      <c r="B281" s="24"/>
      <c r="C281" s="24"/>
      <c r="D281" s="24"/>
      <c r="E281" s="24"/>
      <c r="F281" s="25"/>
      <c r="G281" s="30" t="str">
        <f aca="false">CVSSv2!$A$12</f>
        <v>Nivel de confianza:</v>
      </c>
      <c r="H281" s="31" t="s">
        <v>714</v>
      </c>
      <c r="I281" s="33"/>
      <c r="J281" s="23"/>
      <c r="K281" s="23"/>
      <c r="L281" s="24"/>
      <c r="M281" s="24"/>
      <c r="N281" s="24"/>
      <c r="O281" s="24"/>
    </row>
    <row r="282" customFormat="false" ht="15.75" hidden="false" customHeight="true" outlineLevel="0" collapsed="false">
      <c r="A282" s="23"/>
      <c r="B282" s="24"/>
      <c r="C282" s="24"/>
      <c r="D282" s="24"/>
      <c r="E282" s="24"/>
      <c r="F282" s="25"/>
      <c r="G282" s="32" t="str">
        <f aca="false">"("&amp;CVSSv2!$B$4&amp;":"&amp;IF(H273=CVSSv2!$C$4,CVSSv2!$C$26,IF(H273=CVSSv2!$D$4,CVSSv2!$D$26,IF(H273=CVSSv2!$E$4,CVSSv2!$E$26,"")))&amp;"/"&amp;CVSSv2!$B$5&amp;":"&amp;IF(H274=CVSSv2!$C$5,CVSSv2!$C$27,IF(H274=CVSSv2!$D$5,CVSSv2!$D$27,IF(H274=CVSSv2!$E$5,CVSSv2!$E$27,"")))&amp;"/"&amp;CVSSv2!$B$6&amp;":"&amp;IF(H275=CVSSv2!$C$6,CVSSv2!$C$28,IF(H275=CVSSv2!$D$6,CVSSv2!$D$28,IF(H275=CVSSv2!$E$6,CVSSv2!$E$28,"")))&amp;"/"&amp;CVSSv2!$B$7&amp;":"&amp;IF(H276=CVSSv2!$C$7,CVSSv2!$C$29,IF(H276=CVSSv2!$D$7,CVSSv2!$D$29,IF(H276=CVSSv2!$E$7,CVSSv2!$E$29,"")))&amp;"/"&amp;CVSSv2!$B$8&amp;":"&amp;IF(H277=CVSSv2!$C$8,CVSSv2!$C$30,IF(H277=CVSSv2!$D$8,CVSSv2!$D$30,IF(H277=CVSSv2!$E$8,CVSSv2!$E$30,"")))&amp;"/"&amp;CVSSv2!$B$9&amp;":"&amp;IF(H278=CVSSv2!$C$9,CVSSv2!$C$31,IF(H278=CVSSv2!$D$9,CVSSv2!$D$31,IF(H278=CVSSv2!$E$9,CVSSv2!$E$31,"")))&amp;"/"&amp;CVSSv2!$B$10&amp;":"&amp;IF(H279=CVSSv2!$C$10,CVSSv2!$C$32,IF(H279=CVSSv2!$D$10,CVSSv2!$D$32,IF(H279=CVSSv2!$E$10,CVSSv2!$E$32,IF(H279=CVSSv2!$F$10,CVSSv2!$F$32,""))))&amp;"/"&amp;CVSSv2!$B$11&amp;":"&amp;IF(H280=CVSSv2!$C$11,CVSSv2!$C$33,IF(H280=CVSSv2!$D$11,CVSSv2!$D$33,IF(H280=CVSSv2!$E$11,CVSSv2!$E$33,IF(H280=CVSSv2!$F$11,CVSSv2!$F$33,""))))&amp;"/"&amp;CVSSv2!$B$12&amp;":"&amp;IF(H281=CVSSv2!$C$12,CVSSv2!$C$34,IF(H281=CVSSv2!$D$12,CVSSv2!$D$34,IF(H281=CVSSv2!$E$12,CVSSv2!$E$34,"")))&amp;")"</f>
        <v>(AV:N/AC:L/Au:N/C:C/I:C/A:C/E:H/RL:W/RC:C)</v>
      </c>
      <c r="H282" s="32"/>
      <c r="I282" s="33"/>
      <c r="J282" s="23"/>
      <c r="K282" s="23"/>
      <c r="L282" s="24"/>
      <c r="M282" s="24"/>
      <c r="N282" s="24"/>
      <c r="O282" s="24"/>
    </row>
    <row r="283" customFormat="false" ht="15.75" hidden="false" customHeight="true" outlineLevel="0" collapsed="false">
      <c r="A283" s="23" t="n">
        <v>29</v>
      </c>
      <c r="B283" s="24" t="s">
        <v>742</v>
      </c>
      <c r="C283" s="24" t="s">
        <v>17</v>
      </c>
      <c r="D283" s="24" t="s">
        <v>17</v>
      </c>
      <c r="E283" s="24" t="s">
        <v>17</v>
      </c>
      <c r="F2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83" s="26" t="str">
        <f aca="false">CVSSv2!$A$4</f>
        <v>Vector de acceso:</v>
      </c>
      <c r="H283" s="27" t="s">
        <v>706</v>
      </c>
      <c r="I283" s="33" t="n">
        <f aca="false">ROUND(((0.6*(10.41*(1-(1-IF(H286=CVSSv2!$C$7,CVSSv2!$C$18,IF(H286=CVSSv2!$D$7,CVSSv2!$D$18,IF(H286=CVSSv2!$E$7,CVSSv2!$E$18,0))))*(1-IF(H287=CVSSv2!$C$8,CVSSv2!$C$19,IF(H287=CVSSv2!$D$8,CVSSv2!$D$19,IF(H287=CVSSv2!$E$8,CVSSv2!$E$19,0))))*(1-IF(H288=CVSSv2!$C$9,CVSSv2!$C$20,IF(H288=CVSSv2!$D$9,CVSSv2!$D$20,IF(H288=CVSSv2!$E$9,CVSSv2!$E$20,0))))))+0.4*(20*IF(H283=CVSSv2!$C$4,CVSSv2!$C$15,IF(H283=CVSSv2!$D$4,CVSSv2!$D$15,IF(H283=CVSSv2!$E$4,CVSSv2!$E$15,0)))*IF(H284=CVSSv2!$C$5,CVSSv2!$C$16,IF(H284=CVSSv2!$D$5,CVSSv2!$D$16,IF(H284=CVSSv2!$E$5,CVSSv2!$E$16,0)))*IF(H285=CVSSv2!$C$6,CVSSv2!$C$17,IF(H285=CVSSv2!$D$6,CVSSv2!$D$17,IF(H285=CVSSv2!$E$6,CVSSv2!$E$17,0))))-1.5)*(IF(10.41*(1-(1-IF(H286=CVSSv2!$C$7,CVSSv2!$C$18,IF(H286=CVSSv2!$D$7,CVSSv2!$D$18,IF(H286=CVSSv2!$E$7,CVSSv2!$E$18,0))))*(1-IF(H287=CVSSv2!$C$8,CVSSv2!$C$19,IF(H287=CVSSv2!$D$8,CVSSv2!$D$19,IF(H287=CVSSv2!$E$8,CVSSv2!$E$19,0))))*(1-IF(H288=CVSSv2!$C$9,CVSSv2!$C$20,IF(H288=CVSSv2!$D$9,CVSSv2!$D$20,IF(H288=CVSSv2!$E$9,CVSSv2!$E$20,0)))))=0,0,1.176)))*(IF(H289=CVSSv2!$C$10,CVSSv2!$C$21,IF(H289=CVSSv2!$D$10,CVSSv2!$D$21,IF(H289=CVSSv2!$E$10,CVSSv2!$E$21,IF(H289=CVSSv2!$F$10,CVSSv2!$F$21,0))))*IF(H290=CVSSv2!$C$11,CVSSv2!$C$22,IF(H290=CVSSv2!$D$11,CVSSv2!$D$22,IF(H290=CVSSv2!$E$11,CVSSv2!$E$22,IF(H290=CVSSv2!$F$11,CVSSv2!$F$22,0))))*IF(H291=CVSSv2!$C$12,CVSSv2!$C$23,IF(H291=CVSSv2!$D$12,CVSSv2!$D$23,IF(H291=CVSSv2!$E$12,CVSSv2!$E$23,0)))),1)</f>
        <v>9.5</v>
      </c>
      <c r="J283" s="23" t="n">
        <v>0</v>
      </c>
      <c r="K283" s="23" t="n">
        <v>0</v>
      </c>
      <c r="L283" s="24" t="s">
        <v>17</v>
      </c>
      <c r="M283" s="24" t="s">
        <v>17</v>
      </c>
      <c r="N283" s="24" t="s">
        <v>707</v>
      </c>
      <c r="O283" s="24" t="s">
        <v>708</v>
      </c>
    </row>
    <row r="284" customFormat="false" ht="15.75" hidden="false" customHeight="true" outlineLevel="0" collapsed="false">
      <c r="A284" s="23"/>
      <c r="B284" s="24"/>
      <c r="C284" s="24"/>
      <c r="D284" s="24"/>
      <c r="E284" s="24"/>
      <c r="F284" s="25"/>
      <c r="G284" s="30" t="str">
        <f aca="false">CVSSv2!$A$5</f>
        <v>Complejidad de acceso:</v>
      </c>
      <c r="H284" s="31" t="s">
        <v>709</v>
      </c>
      <c r="I284" s="33"/>
      <c r="J284" s="23"/>
      <c r="K284" s="23"/>
      <c r="L284" s="24"/>
      <c r="M284" s="24"/>
      <c r="N284" s="24"/>
      <c r="O284" s="24"/>
    </row>
    <row r="285" customFormat="false" ht="15.75" hidden="false" customHeight="true" outlineLevel="0" collapsed="false">
      <c r="A285" s="23"/>
      <c r="B285" s="24"/>
      <c r="C285" s="24"/>
      <c r="D285" s="24"/>
      <c r="E285" s="24"/>
      <c r="F285" s="25"/>
      <c r="G285" s="30" t="str">
        <f aca="false">CVSSv2!$A$6</f>
        <v>Autenticación:</v>
      </c>
      <c r="H285" s="31" t="s">
        <v>710</v>
      </c>
      <c r="I285" s="33"/>
      <c r="J285" s="23"/>
      <c r="K285" s="23"/>
      <c r="L285" s="24"/>
      <c r="M285" s="24"/>
      <c r="N285" s="24"/>
      <c r="O285" s="24"/>
    </row>
    <row r="286" customFormat="false" ht="15.75" hidden="false" customHeight="true" outlineLevel="0" collapsed="false">
      <c r="A286" s="23"/>
      <c r="B286" s="24"/>
      <c r="C286" s="24"/>
      <c r="D286" s="24"/>
      <c r="E286" s="24"/>
      <c r="F286" s="25"/>
      <c r="G286" s="30" t="str">
        <f aca="false">CVSSv2!$A$7</f>
        <v>Impacto a la confidencialidad:</v>
      </c>
      <c r="H286" s="31" t="s">
        <v>711</v>
      </c>
      <c r="I286" s="33"/>
      <c r="J286" s="23"/>
      <c r="K286" s="23"/>
      <c r="L286" s="24"/>
      <c r="M286" s="24"/>
      <c r="N286" s="24"/>
      <c r="O286" s="24"/>
    </row>
    <row r="287" customFormat="false" ht="15.75" hidden="false" customHeight="true" outlineLevel="0" collapsed="false">
      <c r="A287" s="23"/>
      <c r="B287" s="24"/>
      <c r="C287" s="24"/>
      <c r="D287" s="24"/>
      <c r="E287" s="24"/>
      <c r="F287" s="25"/>
      <c r="G287" s="30" t="str">
        <f aca="false">CVSSv2!$A$8</f>
        <v>Impacto a la integridad:</v>
      </c>
      <c r="H287" s="31" t="s">
        <v>711</v>
      </c>
      <c r="I287" s="33"/>
      <c r="J287" s="23"/>
      <c r="K287" s="23"/>
      <c r="L287" s="24"/>
      <c r="M287" s="24"/>
      <c r="N287" s="24"/>
      <c r="O287" s="24"/>
    </row>
    <row r="288" customFormat="false" ht="15.75" hidden="false" customHeight="true" outlineLevel="0" collapsed="false">
      <c r="A288" s="23"/>
      <c r="B288" s="24"/>
      <c r="C288" s="24"/>
      <c r="D288" s="24"/>
      <c r="E288" s="24"/>
      <c r="F288" s="25"/>
      <c r="G288" s="30" t="str">
        <f aca="false">CVSSv2!$A$9</f>
        <v>Impacto a la disponibilidad:</v>
      </c>
      <c r="H288" s="31" t="s">
        <v>711</v>
      </c>
      <c r="I288" s="33"/>
      <c r="J288" s="23"/>
      <c r="K288" s="23"/>
      <c r="L288" s="24"/>
      <c r="M288" s="24"/>
      <c r="N288" s="24"/>
      <c r="O288" s="24"/>
    </row>
    <row r="289" customFormat="false" ht="15.75" hidden="false" customHeight="true" outlineLevel="0" collapsed="false">
      <c r="A289" s="23"/>
      <c r="B289" s="24"/>
      <c r="C289" s="24"/>
      <c r="D289" s="24"/>
      <c r="E289" s="24"/>
      <c r="F289" s="25"/>
      <c r="G289" s="30" t="str">
        <f aca="false">CVSSv2!$A$10</f>
        <v>Explotabilidad:</v>
      </c>
      <c r="H289" s="31" t="s">
        <v>712</v>
      </c>
      <c r="I289" s="33"/>
      <c r="J289" s="23"/>
      <c r="K289" s="23"/>
      <c r="L289" s="24"/>
      <c r="M289" s="24"/>
      <c r="N289" s="24"/>
      <c r="O289" s="24"/>
    </row>
    <row r="290" customFormat="false" ht="15.75" hidden="false" customHeight="true" outlineLevel="0" collapsed="false">
      <c r="A290" s="23"/>
      <c r="B290" s="24"/>
      <c r="C290" s="24"/>
      <c r="D290" s="24"/>
      <c r="E290" s="24"/>
      <c r="F290" s="25"/>
      <c r="G290" s="30" t="str">
        <f aca="false">CVSSv2!$A$11</f>
        <v>Nivel de resolución:</v>
      </c>
      <c r="H290" s="31" t="s">
        <v>713</v>
      </c>
      <c r="I290" s="33"/>
      <c r="J290" s="23"/>
      <c r="K290" s="23"/>
      <c r="L290" s="24"/>
      <c r="M290" s="24"/>
      <c r="N290" s="24"/>
      <c r="O290" s="24"/>
    </row>
    <row r="291" customFormat="false" ht="15.75" hidden="false" customHeight="true" outlineLevel="0" collapsed="false">
      <c r="A291" s="23"/>
      <c r="B291" s="24"/>
      <c r="C291" s="24"/>
      <c r="D291" s="24"/>
      <c r="E291" s="24"/>
      <c r="F291" s="25"/>
      <c r="G291" s="30" t="str">
        <f aca="false">CVSSv2!$A$12</f>
        <v>Nivel de confianza:</v>
      </c>
      <c r="H291" s="31" t="s">
        <v>714</v>
      </c>
      <c r="I291" s="33"/>
      <c r="J291" s="23"/>
      <c r="K291" s="23"/>
      <c r="L291" s="24"/>
      <c r="M291" s="24"/>
      <c r="N291" s="24"/>
      <c r="O291" s="24"/>
    </row>
    <row r="292" customFormat="false" ht="15.75" hidden="false" customHeight="true" outlineLevel="0" collapsed="false">
      <c r="A292" s="23"/>
      <c r="B292" s="24"/>
      <c r="C292" s="24"/>
      <c r="D292" s="24"/>
      <c r="E292" s="24"/>
      <c r="F292" s="25"/>
      <c r="G292" s="32" t="str">
        <f aca="false">"("&amp;CVSSv2!$B$4&amp;":"&amp;IF(H283=CVSSv2!$C$4,CVSSv2!$C$26,IF(H283=CVSSv2!$D$4,CVSSv2!$D$26,IF(H283=CVSSv2!$E$4,CVSSv2!$E$26,"")))&amp;"/"&amp;CVSSv2!$B$5&amp;":"&amp;IF(H284=CVSSv2!$C$5,CVSSv2!$C$27,IF(H284=CVSSv2!$D$5,CVSSv2!$D$27,IF(H284=CVSSv2!$E$5,CVSSv2!$E$27,"")))&amp;"/"&amp;CVSSv2!$B$6&amp;":"&amp;IF(H285=CVSSv2!$C$6,CVSSv2!$C$28,IF(H285=CVSSv2!$D$6,CVSSv2!$D$28,IF(H285=CVSSv2!$E$6,CVSSv2!$E$28,"")))&amp;"/"&amp;CVSSv2!$B$7&amp;":"&amp;IF(H286=CVSSv2!$C$7,CVSSv2!$C$29,IF(H286=CVSSv2!$D$7,CVSSv2!$D$29,IF(H286=CVSSv2!$E$7,CVSSv2!$E$29,"")))&amp;"/"&amp;CVSSv2!$B$8&amp;":"&amp;IF(H287=CVSSv2!$C$8,CVSSv2!$C$30,IF(H287=CVSSv2!$D$8,CVSSv2!$D$30,IF(H287=CVSSv2!$E$8,CVSSv2!$E$30,"")))&amp;"/"&amp;CVSSv2!$B$9&amp;":"&amp;IF(H288=CVSSv2!$C$9,CVSSv2!$C$31,IF(H288=CVSSv2!$D$9,CVSSv2!$D$31,IF(H288=CVSSv2!$E$9,CVSSv2!$E$31,"")))&amp;"/"&amp;CVSSv2!$B$10&amp;":"&amp;IF(H289=CVSSv2!$C$10,CVSSv2!$C$32,IF(H289=CVSSv2!$D$10,CVSSv2!$D$32,IF(H289=CVSSv2!$E$10,CVSSv2!$E$32,IF(H289=CVSSv2!$F$10,CVSSv2!$F$32,""))))&amp;"/"&amp;CVSSv2!$B$11&amp;":"&amp;IF(H290=CVSSv2!$C$11,CVSSv2!$C$33,IF(H290=CVSSv2!$D$11,CVSSv2!$D$33,IF(H290=CVSSv2!$E$11,CVSSv2!$E$33,IF(H290=CVSSv2!$F$11,CVSSv2!$F$33,""))))&amp;"/"&amp;CVSSv2!$B$12&amp;":"&amp;IF(H291=CVSSv2!$C$12,CVSSv2!$C$34,IF(H291=CVSSv2!$D$12,CVSSv2!$D$34,IF(H291=CVSSv2!$E$12,CVSSv2!$E$34,"")))&amp;")"</f>
        <v>(AV:N/AC:L/Au:N/C:C/I:C/A:C/E:H/RL:W/RC:C)</v>
      </c>
      <c r="H292" s="32"/>
      <c r="I292" s="33"/>
      <c r="J292" s="23"/>
      <c r="K292" s="23"/>
      <c r="L292" s="24"/>
      <c r="M292" s="24"/>
      <c r="N292" s="24"/>
      <c r="O292" s="24"/>
    </row>
    <row r="293" customFormat="false" ht="15.75" hidden="false" customHeight="true" outlineLevel="0" collapsed="false">
      <c r="A293" s="23" t="n">
        <v>30</v>
      </c>
      <c r="B293" s="24" t="s">
        <v>743</v>
      </c>
      <c r="C293" s="24" t="s">
        <v>17</v>
      </c>
      <c r="D293" s="24" t="s">
        <v>17</v>
      </c>
      <c r="E293" s="24" t="s">
        <v>17</v>
      </c>
      <c r="F2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93" s="26" t="str">
        <f aca="false">CVSSv2!$A$4</f>
        <v>Vector de acceso:</v>
      </c>
      <c r="H293" s="27" t="s">
        <v>706</v>
      </c>
      <c r="I293" s="33" t="n">
        <f aca="false">ROUND(((0.6*(10.41*(1-(1-IF(H296=CVSSv2!$C$7,CVSSv2!$C$18,IF(H296=CVSSv2!$D$7,CVSSv2!$D$18,IF(H296=CVSSv2!$E$7,CVSSv2!$E$18,0))))*(1-IF(H297=CVSSv2!$C$8,CVSSv2!$C$19,IF(H297=CVSSv2!$D$8,CVSSv2!$D$19,IF(H297=CVSSv2!$E$8,CVSSv2!$E$19,0))))*(1-IF(H298=CVSSv2!$C$9,CVSSv2!$C$20,IF(H298=CVSSv2!$D$9,CVSSv2!$D$20,IF(H298=CVSSv2!$E$9,CVSSv2!$E$20,0))))))+0.4*(20*IF(H293=CVSSv2!$C$4,CVSSv2!$C$15,IF(H293=CVSSv2!$D$4,CVSSv2!$D$15,IF(H293=CVSSv2!$E$4,CVSSv2!$E$15,0)))*IF(H294=CVSSv2!$C$5,CVSSv2!$C$16,IF(H294=CVSSv2!$D$5,CVSSv2!$D$16,IF(H294=CVSSv2!$E$5,CVSSv2!$E$16,0)))*IF(H295=CVSSv2!$C$6,CVSSv2!$C$17,IF(H295=CVSSv2!$D$6,CVSSv2!$D$17,IF(H295=CVSSv2!$E$6,CVSSv2!$E$17,0))))-1.5)*(IF(10.41*(1-(1-IF(H296=CVSSv2!$C$7,CVSSv2!$C$18,IF(H296=CVSSv2!$D$7,CVSSv2!$D$18,IF(H296=CVSSv2!$E$7,CVSSv2!$E$18,0))))*(1-IF(H297=CVSSv2!$C$8,CVSSv2!$C$19,IF(H297=CVSSv2!$D$8,CVSSv2!$D$19,IF(H297=CVSSv2!$E$8,CVSSv2!$E$19,0))))*(1-IF(H298=CVSSv2!$C$9,CVSSv2!$C$20,IF(H298=CVSSv2!$D$9,CVSSv2!$D$20,IF(H298=CVSSv2!$E$9,CVSSv2!$E$20,0)))))=0,0,1.176)))*(IF(H299=CVSSv2!$C$10,CVSSv2!$C$21,IF(H299=CVSSv2!$D$10,CVSSv2!$D$21,IF(H299=CVSSv2!$E$10,CVSSv2!$E$21,IF(H299=CVSSv2!$F$10,CVSSv2!$F$21,0))))*IF(H300=CVSSv2!$C$11,CVSSv2!$C$22,IF(H300=CVSSv2!$D$11,CVSSv2!$D$22,IF(H300=CVSSv2!$E$11,CVSSv2!$E$22,IF(H300=CVSSv2!$F$11,CVSSv2!$F$22,0))))*IF(H301=CVSSv2!$C$12,CVSSv2!$C$23,IF(H301=CVSSv2!$D$12,CVSSv2!$D$23,IF(H301=CVSSv2!$E$12,CVSSv2!$E$23,0)))),1)</f>
        <v>9.5</v>
      </c>
      <c r="J293" s="23" t="n">
        <v>0</v>
      </c>
      <c r="K293" s="23" t="n">
        <v>0</v>
      </c>
      <c r="L293" s="24" t="s">
        <v>17</v>
      </c>
      <c r="M293" s="24" t="s">
        <v>17</v>
      </c>
      <c r="N293" s="24" t="s">
        <v>707</v>
      </c>
      <c r="O293" s="24" t="s">
        <v>708</v>
      </c>
    </row>
    <row r="294" customFormat="false" ht="15.75" hidden="false" customHeight="true" outlineLevel="0" collapsed="false">
      <c r="A294" s="23"/>
      <c r="B294" s="24"/>
      <c r="C294" s="24"/>
      <c r="D294" s="24"/>
      <c r="E294" s="24"/>
      <c r="F294" s="25"/>
      <c r="G294" s="30" t="str">
        <f aca="false">CVSSv2!$A$5</f>
        <v>Complejidad de acceso:</v>
      </c>
      <c r="H294" s="31" t="s">
        <v>709</v>
      </c>
      <c r="I294" s="33"/>
      <c r="J294" s="23"/>
      <c r="K294" s="23"/>
      <c r="L294" s="24"/>
      <c r="M294" s="24"/>
      <c r="N294" s="24"/>
      <c r="O294" s="24"/>
    </row>
    <row r="295" customFormat="false" ht="15.75" hidden="false" customHeight="true" outlineLevel="0" collapsed="false">
      <c r="A295" s="23"/>
      <c r="B295" s="24"/>
      <c r="C295" s="24"/>
      <c r="D295" s="24"/>
      <c r="E295" s="24"/>
      <c r="F295" s="25"/>
      <c r="G295" s="30" t="str">
        <f aca="false">CVSSv2!$A$6</f>
        <v>Autenticación:</v>
      </c>
      <c r="H295" s="31" t="s">
        <v>710</v>
      </c>
      <c r="I295" s="33"/>
      <c r="J295" s="23"/>
      <c r="K295" s="23"/>
      <c r="L295" s="24"/>
      <c r="M295" s="24"/>
      <c r="N295" s="24"/>
      <c r="O295" s="24"/>
    </row>
    <row r="296" customFormat="false" ht="15.75" hidden="false" customHeight="true" outlineLevel="0" collapsed="false">
      <c r="A296" s="23"/>
      <c r="B296" s="24"/>
      <c r="C296" s="24"/>
      <c r="D296" s="24"/>
      <c r="E296" s="24"/>
      <c r="F296" s="25"/>
      <c r="G296" s="30" t="str">
        <f aca="false">CVSSv2!$A$7</f>
        <v>Impacto a la confidencialidad:</v>
      </c>
      <c r="H296" s="31" t="s">
        <v>711</v>
      </c>
      <c r="I296" s="33"/>
      <c r="J296" s="23"/>
      <c r="K296" s="23"/>
      <c r="L296" s="24"/>
      <c r="M296" s="24"/>
      <c r="N296" s="24"/>
      <c r="O296" s="24"/>
    </row>
    <row r="297" customFormat="false" ht="15.75" hidden="false" customHeight="true" outlineLevel="0" collapsed="false">
      <c r="A297" s="23"/>
      <c r="B297" s="24"/>
      <c r="C297" s="24"/>
      <c r="D297" s="24"/>
      <c r="E297" s="24"/>
      <c r="F297" s="25"/>
      <c r="G297" s="30" t="str">
        <f aca="false">CVSSv2!$A$8</f>
        <v>Impacto a la integridad:</v>
      </c>
      <c r="H297" s="31" t="s">
        <v>711</v>
      </c>
      <c r="I297" s="33"/>
      <c r="J297" s="23"/>
      <c r="K297" s="23"/>
      <c r="L297" s="24"/>
      <c r="M297" s="24"/>
      <c r="N297" s="24"/>
      <c r="O297" s="24"/>
    </row>
    <row r="298" customFormat="false" ht="15.75" hidden="false" customHeight="true" outlineLevel="0" collapsed="false">
      <c r="A298" s="23"/>
      <c r="B298" s="24"/>
      <c r="C298" s="24"/>
      <c r="D298" s="24"/>
      <c r="E298" s="24"/>
      <c r="F298" s="25"/>
      <c r="G298" s="30" t="str">
        <f aca="false">CVSSv2!$A$9</f>
        <v>Impacto a la disponibilidad:</v>
      </c>
      <c r="H298" s="31" t="s">
        <v>711</v>
      </c>
      <c r="I298" s="33"/>
      <c r="J298" s="23"/>
      <c r="K298" s="23"/>
      <c r="L298" s="24"/>
      <c r="M298" s="24"/>
      <c r="N298" s="24"/>
      <c r="O298" s="24"/>
    </row>
    <row r="299" customFormat="false" ht="15.75" hidden="false" customHeight="true" outlineLevel="0" collapsed="false">
      <c r="A299" s="23"/>
      <c r="B299" s="24"/>
      <c r="C299" s="24"/>
      <c r="D299" s="24"/>
      <c r="E299" s="24"/>
      <c r="F299" s="25"/>
      <c r="G299" s="30" t="str">
        <f aca="false">CVSSv2!$A$10</f>
        <v>Explotabilidad:</v>
      </c>
      <c r="H299" s="31" t="s">
        <v>712</v>
      </c>
      <c r="I299" s="33"/>
      <c r="J299" s="23"/>
      <c r="K299" s="23"/>
      <c r="L299" s="24"/>
      <c r="M299" s="24"/>
      <c r="N299" s="24"/>
      <c r="O299" s="24"/>
    </row>
    <row r="300" customFormat="false" ht="15.75" hidden="false" customHeight="true" outlineLevel="0" collapsed="false">
      <c r="A300" s="23"/>
      <c r="B300" s="24"/>
      <c r="C300" s="24"/>
      <c r="D300" s="24"/>
      <c r="E300" s="24"/>
      <c r="F300" s="25"/>
      <c r="G300" s="30" t="str">
        <f aca="false">CVSSv2!$A$11</f>
        <v>Nivel de resolución:</v>
      </c>
      <c r="H300" s="31" t="s">
        <v>713</v>
      </c>
      <c r="I300" s="33"/>
      <c r="J300" s="23"/>
      <c r="K300" s="23"/>
      <c r="L300" s="24"/>
      <c r="M300" s="24"/>
      <c r="N300" s="24"/>
      <c r="O300" s="24"/>
    </row>
    <row r="301" customFormat="false" ht="15.75" hidden="false" customHeight="true" outlineLevel="0" collapsed="false">
      <c r="A301" s="23"/>
      <c r="B301" s="24"/>
      <c r="C301" s="24"/>
      <c r="D301" s="24"/>
      <c r="E301" s="24"/>
      <c r="F301" s="25"/>
      <c r="G301" s="30" t="str">
        <f aca="false">CVSSv2!$A$12</f>
        <v>Nivel de confianza:</v>
      </c>
      <c r="H301" s="31" t="s">
        <v>714</v>
      </c>
      <c r="I301" s="33"/>
      <c r="J301" s="23"/>
      <c r="K301" s="23"/>
      <c r="L301" s="24"/>
      <c r="M301" s="24"/>
      <c r="N301" s="24"/>
      <c r="O301" s="24"/>
    </row>
    <row r="302" customFormat="false" ht="15.75" hidden="false" customHeight="true" outlineLevel="0" collapsed="false">
      <c r="A302" s="23"/>
      <c r="B302" s="24"/>
      <c r="C302" s="24"/>
      <c r="D302" s="24"/>
      <c r="E302" s="24"/>
      <c r="F302" s="25"/>
      <c r="G302" s="32" t="str">
        <f aca="false">"("&amp;CVSSv2!$B$4&amp;":"&amp;IF(H293=CVSSv2!$C$4,CVSSv2!$C$26,IF(H293=CVSSv2!$D$4,CVSSv2!$D$26,IF(H293=CVSSv2!$E$4,CVSSv2!$E$26,"")))&amp;"/"&amp;CVSSv2!$B$5&amp;":"&amp;IF(H294=CVSSv2!$C$5,CVSSv2!$C$27,IF(H294=CVSSv2!$D$5,CVSSv2!$D$27,IF(H294=CVSSv2!$E$5,CVSSv2!$E$27,"")))&amp;"/"&amp;CVSSv2!$B$6&amp;":"&amp;IF(H295=CVSSv2!$C$6,CVSSv2!$C$28,IF(H295=CVSSv2!$D$6,CVSSv2!$D$28,IF(H295=CVSSv2!$E$6,CVSSv2!$E$28,"")))&amp;"/"&amp;CVSSv2!$B$7&amp;":"&amp;IF(H296=CVSSv2!$C$7,CVSSv2!$C$29,IF(H296=CVSSv2!$D$7,CVSSv2!$D$29,IF(H296=CVSSv2!$E$7,CVSSv2!$E$29,"")))&amp;"/"&amp;CVSSv2!$B$8&amp;":"&amp;IF(H297=CVSSv2!$C$8,CVSSv2!$C$30,IF(H297=CVSSv2!$D$8,CVSSv2!$D$30,IF(H297=CVSSv2!$E$8,CVSSv2!$E$30,"")))&amp;"/"&amp;CVSSv2!$B$9&amp;":"&amp;IF(H298=CVSSv2!$C$9,CVSSv2!$C$31,IF(H298=CVSSv2!$D$9,CVSSv2!$D$31,IF(H298=CVSSv2!$E$9,CVSSv2!$E$31,"")))&amp;"/"&amp;CVSSv2!$B$10&amp;":"&amp;IF(H299=CVSSv2!$C$10,CVSSv2!$C$32,IF(H299=CVSSv2!$D$10,CVSSv2!$D$32,IF(H299=CVSSv2!$E$10,CVSSv2!$E$32,IF(H299=CVSSv2!$F$10,CVSSv2!$F$32,""))))&amp;"/"&amp;CVSSv2!$B$11&amp;":"&amp;IF(H300=CVSSv2!$C$11,CVSSv2!$C$33,IF(H300=CVSSv2!$D$11,CVSSv2!$D$33,IF(H300=CVSSv2!$E$11,CVSSv2!$E$33,IF(H300=CVSSv2!$F$11,CVSSv2!$F$33,""))))&amp;"/"&amp;CVSSv2!$B$12&amp;":"&amp;IF(H301=CVSSv2!$C$12,CVSSv2!$C$34,IF(H301=CVSSv2!$D$12,CVSSv2!$D$34,IF(H301=CVSSv2!$E$12,CVSSv2!$E$34,"")))&amp;")"</f>
        <v>(AV:N/AC:L/Au:N/C:C/I:C/A:C/E:H/RL:W/RC:C)</v>
      </c>
      <c r="H302" s="32"/>
      <c r="I302" s="33"/>
      <c r="J302" s="23"/>
      <c r="K302" s="23"/>
      <c r="L302" s="24"/>
      <c r="M302" s="24"/>
      <c r="N302" s="24"/>
      <c r="O302" s="24"/>
    </row>
    <row r="303" customFormat="false" ht="15.75" hidden="false" customHeight="true" outlineLevel="0" collapsed="false">
      <c r="A303" s="23" t="n">
        <v>31</v>
      </c>
      <c r="B303" s="24" t="s">
        <v>744</v>
      </c>
      <c r="C303" s="24" t="s">
        <v>17</v>
      </c>
      <c r="D303" s="24" t="s">
        <v>17</v>
      </c>
      <c r="E303" s="24" t="s">
        <v>17</v>
      </c>
      <c r="F3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03" s="26" t="str">
        <f aca="false">CVSSv2!$A$4</f>
        <v>Vector de acceso:</v>
      </c>
      <c r="H303" s="27" t="s">
        <v>706</v>
      </c>
      <c r="I303" s="33" t="n">
        <f aca="false">ROUND(((0.6*(10.41*(1-(1-IF(H306=CVSSv2!$C$7,CVSSv2!$C$18,IF(H306=CVSSv2!$D$7,CVSSv2!$D$18,IF(H306=CVSSv2!$E$7,CVSSv2!$E$18,0))))*(1-IF(H307=CVSSv2!$C$8,CVSSv2!$C$19,IF(H307=CVSSv2!$D$8,CVSSv2!$D$19,IF(H307=CVSSv2!$E$8,CVSSv2!$E$19,0))))*(1-IF(H308=CVSSv2!$C$9,CVSSv2!$C$20,IF(H308=CVSSv2!$D$9,CVSSv2!$D$20,IF(H308=CVSSv2!$E$9,CVSSv2!$E$20,0))))))+0.4*(20*IF(H303=CVSSv2!$C$4,CVSSv2!$C$15,IF(H303=CVSSv2!$D$4,CVSSv2!$D$15,IF(H303=CVSSv2!$E$4,CVSSv2!$E$15,0)))*IF(H304=CVSSv2!$C$5,CVSSv2!$C$16,IF(H304=CVSSv2!$D$5,CVSSv2!$D$16,IF(H304=CVSSv2!$E$5,CVSSv2!$E$16,0)))*IF(H305=CVSSv2!$C$6,CVSSv2!$C$17,IF(H305=CVSSv2!$D$6,CVSSv2!$D$17,IF(H305=CVSSv2!$E$6,CVSSv2!$E$17,0))))-1.5)*(IF(10.41*(1-(1-IF(H306=CVSSv2!$C$7,CVSSv2!$C$18,IF(H306=CVSSv2!$D$7,CVSSv2!$D$18,IF(H306=CVSSv2!$E$7,CVSSv2!$E$18,0))))*(1-IF(H307=CVSSv2!$C$8,CVSSv2!$C$19,IF(H307=CVSSv2!$D$8,CVSSv2!$D$19,IF(H307=CVSSv2!$E$8,CVSSv2!$E$19,0))))*(1-IF(H308=CVSSv2!$C$9,CVSSv2!$C$20,IF(H308=CVSSv2!$D$9,CVSSv2!$D$20,IF(H308=CVSSv2!$E$9,CVSSv2!$E$20,0)))))=0,0,1.176)))*(IF(H309=CVSSv2!$C$10,CVSSv2!$C$21,IF(H309=CVSSv2!$D$10,CVSSv2!$D$21,IF(H309=CVSSv2!$E$10,CVSSv2!$E$21,IF(H309=CVSSv2!$F$10,CVSSv2!$F$21,0))))*IF(H310=CVSSv2!$C$11,CVSSv2!$C$22,IF(H310=CVSSv2!$D$11,CVSSv2!$D$22,IF(H310=CVSSv2!$E$11,CVSSv2!$E$22,IF(H310=CVSSv2!$F$11,CVSSv2!$F$22,0))))*IF(H311=CVSSv2!$C$12,CVSSv2!$C$23,IF(H311=CVSSv2!$D$12,CVSSv2!$D$23,IF(H311=CVSSv2!$E$12,CVSSv2!$E$23,0)))),1)</f>
        <v>9.5</v>
      </c>
      <c r="J303" s="23" t="n">
        <v>0</v>
      </c>
      <c r="K303" s="23" t="n">
        <v>0</v>
      </c>
      <c r="L303" s="24" t="s">
        <v>17</v>
      </c>
      <c r="M303" s="24" t="s">
        <v>17</v>
      </c>
      <c r="N303" s="24" t="s">
        <v>707</v>
      </c>
      <c r="O303" s="24" t="s">
        <v>708</v>
      </c>
    </row>
    <row r="304" customFormat="false" ht="15.75" hidden="false" customHeight="true" outlineLevel="0" collapsed="false">
      <c r="A304" s="23"/>
      <c r="B304" s="24"/>
      <c r="C304" s="24"/>
      <c r="D304" s="24"/>
      <c r="E304" s="24"/>
      <c r="F304" s="25"/>
      <c r="G304" s="30" t="str">
        <f aca="false">CVSSv2!$A$5</f>
        <v>Complejidad de acceso:</v>
      </c>
      <c r="H304" s="31" t="s">
        <v>709</v>
      </c>
      <c r="I304" s="33"/>
      <c r="J304" s="23"/>
      <c r="K304" s="23"/>
      <c r="L304" s="24"/>
      <c r="M304" s="24"/>
      <c r="N304" s="24"/>
      <c r="O304" s="24"/>
    </row>
    <row r="305" customFormat="false" ht="15.75" hidden="false" customHeight="true" outlineLevel="0" collapsed="false">
      <c r="A305" s="23"/>
      <c r="B305" s="24"/>
      <c r="C305" s="24"/>
      <c r="D305" s="24"/>
      <c r="E305" s="24"/>
      <c r="F305" s="25"/>
      <c r="G305" s="30" t="str">
        <f aca="false">CVSSv2!$A$6</f>
        <v>Autenticación:</v>
      </c>
      <c r="H305" s="31" t="s">
        <v>710</v>
      </c>
      <c r="I305" s="33"/>
      <c r="J305" s="23"/>
      <c r="K305" s="23"/>
      <c r="L305" s="24"/>
      <c r="M305" s="24"/>
      <c r="N305" s="24"/>
      <c r="O305" s="24"/>
    </row>
    <row r="306" customFormat="false" ht="15.75" hidden="false" customHeight="true" outlineLevel="0" collapsed="false">
      <c r="A306" s="23"/>
      <c r="B306" s="24"/>
      <c r="C306" s="24"/>
      <c r="D306" s="24"/>
      <c r="E306" s="24"/>
      <c r="F306" s="25"/>
      <c r="G306" s="30" t="str">
        <f aca="false">CVSSv2!$A$7</f>
        <v>Impacto a la confidencialidad:</v>
      </c>
      <c r="H306" s="31" t="s">
        <v>711</v>
      </c>
      <c r="I306" s="33"/>
      <c r="J306" s="23"/>
      <c r="K306" s="23"/>
      <c r="L306" s="24"/>
      <c r="M306" s="24"/>
      <c r="N306" s="24"/>
      <c r="O306" s="24"/>
    </row>
    <row r="307" customFormat="false" ht="15.75" hidden="false" customHeight="true" outlineLevel="0" collapsed="false">
      <c r="A307" s="23"/>
      <c r="B307" s="24"/>
      <c r="C307" s="24"/>
      <c r="D307" s="24"/>
      <c r="E307" s="24"/>
      <c r="F307" s="25"/>
      <c r="G307" s="30" t="str">
        <f aca="false">CVSSv2!$A$8</f>
        <v>Impacto a la integridad:</v>
      </c>
      <c r="H307" s="31" t="s">
        <v>711</v>
      </c>
      <c r="I307" s="33"/>
      <c r="J307" s="23"/>
      <c r="K307" s="23"/>
      <c r="L307" s="24"/>
      <c r="M307" s="24"/>
      <c r="N307" s="24"/>
      <c r="O307" s="24"/>
    </row>
    <row r="308" customFormat="false" ht="15.75" hidden="false" customHeight="true" outlineLevel="0" collapsed="false">
      <c r="A308" s="23"/>
      <c r="B308" s="24"/>
      <c r="C308" s="24"/>
      <c r="D308" s="24"/>
      <c r="E308" s="24"/>
      <c r="F308" s="25"/>
      <c r="G308" s="30" t="str">
        <f aca="false">CVSSv2!$A$9</f>
        <v>Impacto a la disponibilidad:</v>
      </c>
      <c r="H308" s="31" t="s">
        <v>711</v>
      </c>
      <c r="I308" s="33"/>
      <c r="J308" s="23"/>
      <c r="K308" s="23"/>
      <c r="L308" s="24"/>
      <c r="M308" s="24"/>
      <c r="N308" s="24"/>
      <c r="O308" s="24"/>
    </row>
    <row r="309" customFormat="false" ht="15.75" hidden="false" customHeight="true" outlineLevel="0" collapsed="false">
      <c r="A309" s="23"/>
      <c r="B309" s="24"/>
      <c r="C309" s="24"/>
      <c r="D309" s="24"/>
      <c r="E309" s="24"/>
      <c r="F309" s="25"/>
      <c r="G309" s="30" t="str">
        <f aca="false">CVSSv2!$A$10</f>
        <v>Explotabilidad:</v>
      </c>
      <c r="H309" s="31" t="s">
        <v>712</v>
      </c>
      <c r="I309" s="33"/>
      <c r="J309" s="23"/>
      <c r="K309" s="23"/>
      <c r="L309" s="24"/>
      <c r="M309" s="24"/>
      <c r="N309" s="24"/>
      <c r="O309" s="24"/>
    </row>
    <row r="310" customFormat="false" ht="15.75" hidden="false" customHeight="true" outlineLevel="0" collapsed="false">
      <c r="A310" s="23"/>
      <c r="B310" s="24"/>
      <c r="C310" s="24"/>
      <c r="D310" s="24"/>
      <c r="E310" s="24"/>
      <c r="F310" s="25"/>
      <c r="G310" s="30" t="str">
        <f aca="false">CVSSv2!$A$11</f>
        <v>Nivel de resolución:</v>
      </c>
      <c r="H310" s="31" t="s">
        <v>713</v>
      </c>
      <c r="I310" s="33"/>
      <c r="J310" s="23"/>
      <c r="K310" s="23"/>
      <c r="L310" s="24"/>
      <c r="M310" s="24"/>
      <c r="N310" s="24"/>
      <c r="O310" s="24"/>
    </row>
    <row r="311" customFormat="false" ht="15.75" hidden="false" customHeight="true" outlineLevel="0" collapsed="false">
      <c r="A311" s="23"/>
      <c r="B311" s="24"/>
      <c r="C311" s="24"/>
      <c r="D311" s="24"/>
      <c r="E311" s="24"/>
      <c r="F311" s="25"/>
      <c r="G311" s="30" t="str">
        <f aca="false">CVSSv2!$A$12</f>
        <v>Nivel de confianza:</v>
      </c>
      <c r="H311" s="31" t="s">
        <v>714</v>
      </c>
      <c r="I311" s="33"/>
      <c r="J311" s="23"/>
      <c r="K311" s="23"/>
      <c r="L311" s="24"/>
      <c r="M311" s="24"/>
      <c r="N311" s="24"/>
      <c r="O311" s="24"/>
    </row>
    <row r="312" customFormat="false" ht="15.75" hidden="false" customHeight="true" outlineLevel="0" collapsed="false">
      <c r="A312" s="23"/>
      <c r="B312" s="24"/>
      <c r="C312" s="24"/>
      <c r="D312" s="24"/>
      <c r="E312" s="24"/>
      <c r="F312" s="25"/>
      <c r="G312" s="32" t="str">
        <f aca="false">"("&amp;CVSSv2!$B$4&amp;":"&amp;IF(H303=CVSSv2!$C$4,CVSSv2!$C$26,IF(H303=CVSSv2!$D$4,CVSSv2!$D$26,IF(H303=CVSSv2!$E$4,CVSSv2!$E$26,"")))&amp;"/"&amp;CVSSv2!$B$5&amp;":"&amp;IF(H304=CVSSv2!$C$5,CVSSv2!$C$27,IF(H304=CVSSv2!$D$5,CVSSv2!$D$27,IF(H304=CVSSv2!$E$5,CVSSv2!$E$27,"")))&amp;"/"&amp;CVSSv2!$B$6&amp;":"&amp;IF(H305=CVSSv2!$C$6,CVSSv2!$C$28,IF(H305=CVSSv2!$D$6,CVSSv2!$D$28,IF(H305=CVSSv2!$E$6,CVSSv2!$E$28,"")))&amp;"/"&amp;CVSSv2!$B$7&amp;":"&amp;IF(H306=CVSSv2!$C$7,CVSSv2!$C$29,IF(H306=CVSSv2!$D$7,CVSSv2!$D$29,IF(H306=CVSSv2!$E$7,CVSSv2!$E$29,"")))&amp;"/"&amp;CVSSv2!$B$8&amp;":"&amp;IF(H307=CVSSv2!$C$8,CVSSv2!$C$30,IF(H307=CVSSv2!$D$8,CVSSv2!$D$30,IF(H307=CVSSv2!$E$8,CVSSv2!$E$30,"")))&amp;"/"&amp;CVSSv2!$B$9&amp;":"&amp;IF(H308=CVSSv2!$C$9,CVSSv2!$C$31,IF(H308=CVSSv2!$D$9,CVSSv2!$D$31,IF(H308=CVSSv2!$E$9,CVSSv2!$E$31,"")))&amp;"/"&amp;CVSSv2!$B$10&amp;":"&amp;IF(H309=CVSSv2!$C$10,CVSSv2!$C$32,IF(H309=CVSSv2!$D$10,CVSSv2!$D$32,IF(H309=CVSSv2!$E$10,CVSSv2!$E$32,IF(H309=CVSSv2!$F$10,CVSSv2!$F$32,""))))&amp;"/"&amp;CVSSv2!$B$11&amp;":"&amp;IF(H310=CVSSv2!$C$11,CVSSv2!$C$33,IF(H310=CVSSv2!$D$11,CVSSv2!$D$33,IF(H310=CVSSv2!$E$11,CVSSv2!$E$33,IF(H310=CVSSv2!$F$11,CVSSv2!$F$33,""))))&amp;"/"&amp;CVSSv2!$B$12&amp;":"&amp;IF(H311=CVSSv2!$C$12,CVSSv2!$C$34,IF(H311=CVSSv2!$D$12,CVSSv2!$D$34,IF(H311=CVSSv2!$E$12,CVSSv2!$E$34,"")))&amp;")"</f>
        <v>(AV:N/AC:L/Au:N/C:C/I:C/A:C/E:H/RL:W/RC:C)</v>
      </c>
      <c r="H312" s="32"/>
      <c r="I312" s="33"/>
      <c r="J312" s="23"/>
      <c r="K312" s="23"/>
      <c r="L312" s="24"/>
      <c r="M312" s="24"/>
      <c r="N312" s="24"/>
      <c r="O312" s="24"/>
    </row>
    <row r="313" customFormat="false" ht="15.75" hidden="false" customHeight="true" outlineLevel="0" collapsed="false">
      <c r="A313" s="23" t="n">
        <v>32</v>
      </c>
      <c r="B313" s="24" t="s">
        <v>745</v>
      </c>
      <c r="C313" s="24" t="s">
        <v>17</v>
      </c>
      <c r="D313" s="24" t="s">
        <v>17</v>
      </c>
      <c r="E313" s="24" t="s">
        <v>17</v>
      </c>
      <c r="F3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13" s="26" t="str">
        <f aca="false">CVSSv2!$A$4</f>
        <v>Vector de acceso:</v>
      </c>
      <c r="H313" s="27" t="s">
        <v>706</v>
      </c>
      <c r="I313" s="33" t="n">
        <f aca="false">ROUND(((0.6*(10.41*(1-(1-IF(H316=CVSSv2!$C$7,CVSSv2!$C$18,IF(H316=CVSSv2!$D$7,CVSSv2!$D$18,IF(H316=CVSSv2!$E$7,CVSSv2!$E$18,0))))*(1-IF(H317=CVSSv2!$C$8,CVSSv2!$C$19,IF(H317=CVSSv2!$D$8,CVSSv2!$D$19,IF(H317=CVSSv2!$E$8,CVSSv2!$E$19,0))))*(1-IF(H318=CVSSv2!$C$9,CVSSv2!$C$20,IF(H318=CVSSv2!$D$9,CVSSv2!$D$20,IF(H318=CVSSv2!$E$9,CVSSv2!$E$20,0))))))+0.4*(20*IF(H313=CVSSv2!$C$4,CVSSv2!$C$15,IF(H313=CVSSv2!$D$4,CVSSv2!$D$15,IF(H313=CVSSv2!$E$4,CVSSv2!$E$15,0)))*IF(H314=CVSSv2!$C$5,CVSSv2!$C$16,IF(H314=CVSSv2!$D$5,CVSSv2!$D$16,IF(H314=CVSSv2!$E$5,CVSSv2!$E$16,0)))*IF(H315=CVSSv2!$C$6,CVSSv2!$C$17,IF(H315=CVSSv2!$D$6,CVSSv2!$D$17,IF(H315=CVSSv2!$E$6,CVSSv2!$E$17,0))))-1.5)*(IF(10.41*(1-(1-IF(H316=CVSSv2!$C$7,CVSSv2!$C$18,IF(H316=CVSSv2!$D$7,CVSSv2!$D$18,IF(H316=CVSSv2!$E$7,CVSSv2!$E$18,0))))*(1-IF(H317=CVSSv2!$C$8,CVSSv2!$C$19,IF(H317=CVSSv2!$D$8,CVSSv2!$D$19,IF(H317=CVSSv2!$E$8,CVSSv2!$E$19,0))))*(1-IF(H318=CVSSv2!$C$9,CVSSv2!$C$20,IF(H318=CVSSv2!$D$9,CVSSv2!$D$20,IF(H318=CVSSv2!$E$9,CVSSv2!$E$20,0)))))=0,0,1.176)))*(IF(H319=CVSSv2!$C$10,CVSSv2!$C$21,IF(H319=CVSSv2!$D$10,CVSSv2!$D$21,IF(H319=CVSSv2!$E$10,CVSSv2!$E$21,IF(H319=CVSSv2!$F$10,CVSSv2!$F$21,0))))*IF(H320=CVSSv2!$C$11,CVSSv2!$C$22,IF(H320=CVSSv2!$D$11,CVSSv2!$D$22,IF(H320=CVSSv2!$E$11,CVSSv2!$E$22,IF(H320=CVSSv2!$F$11,CVSSv2!$F$22,0))))*IF(H321=CVSSv2!$C$12,CVSSv2!$C$23,IF(H321=CVSSv2!$D$12,CVSSv2!$D$23,IF(H321=CVSSv2!$E$12,CVSSv2!$E$23,0)))),1)</f>
        <v>9.5</v>
      </c>
      <c r="J313" s="23" t="n">
        <v>0</v>
      </c>
      <c r="K313" s="23" t="n">
        <v>0</v>
      </c>
      <c r="L313" s="24" t="s">
        <v>17</v>
      </c>
      <c r="M313" s="24" t="s">
        <v>17</v>
      </c>
      <c r="N313" s="24" t="s">
        <v>707</v>
      </c>
      <c r="O313" s="24" t="s">
        <v>708</v>
      </c>
    </row>
    <row r="314" customFormat="false" ht="15.75" hidden="false" customHeight="true" outlineLevel="0" collapsed="false">
      <c r="A314" s="23"/>
      <c r="B314" s="24"/>
      <c r="C314" s="24"/>
      <c r="D314" s="24"/>
      <c r="E314" s="24"/>
      <c r="F314" s="25"/>
      <c r="G314" s="30" t="str">
        <f aca="false">CVSSv2!$A$5</f>
        <v>Complejidad de acceso:</v>
      </c>
      <c r="H314" s="31" t="s">
        <v>709</v>
      </c>
      <c r="I314" s="33"/>
      <c r="J314" s="23"/>
      <c r="K314" s="23"/>
      <c r="L314" s="24"/>
      <c r="M314" s="24"/>
      <c r="N314" s="24"/>
      <c r="O314" s="24"/>
    </row>
    <row r="315" customFormat="false" ht="15.75" hidden="false" customHeight="true" outlineLevel="0" collapsed="false">
      <c r="A315" s="23"/>
      <c r="B315" s="24"/>
      <c r="C315" s="24"/>
      <c r="D315" s="24"/>
      <c r="E315" s="24"/>
      <c r="F315" s="25"/>
      <c r="G315" s="30" t="str">
        <f aca="false">CVSSv2!$A$6</f>
        <v>Autenticación:</v>
      </c>
      <c r="H315" s="31" t="s">
        <v>710</v>
      </c>
      <c r="I315" s="33"/>
      <c r="J315" s="23"/>
      <c r="K315" s="23"/>
      <c r="L315" s="24"/>
      <c r="M315" s="24"/>
      <c r="N315" s="24"/>
      <c r="O315" s="24"/>
    </row>
    <row r="316" customFormat="false" ht="15.75" hidden="false" customHeight="true" outlineLevel="0" collapsed="false">
      <c r="A316" s="23"/>
      <c r="B316" s="24"/>
      <c r="C316" s="24"/>
      <c r="D316" s="24"/>
      <c r="E316" s="24"/>
      <c r="F316" s="25"/>
      <c r="G316" s="30" t="str">
        <f aca="false">CVSSv2!$A$7</f>
        <v>Impacto a la confidencialidad:</v>
      </c>
      <c r="H316" s="31" t="s">
        <v>711</v>
      </c>
      <c r="I316" s="33"/>
      <c r="J316" s="23"/>
      <c r="K316" s="23"/>
      <c r="L316" s="24"/>
      <c r="M316" s="24"/>
      <c r="N316" s="24"/>
      <c r="O316" s="24"/>
    </row>
    <row r="317" customFormat="false" ht="15.75" hidden="false" customHeight="true" outlineLevel="0" collapsed="false">
      <c r="A317" s="23"/>
      <c r="B317" s="24"/>
      <c r="C317" s="24"/>
      <c r="D317" s="24"/>
      <c r="E317" s="24"/>
      <c r="F317" s="25"/>
      <c r="G317" s="30" t="str">
        <f aca="false">CVSSv2!$A$8</f>
        <v>Impacto a la integridad:</v>
      </c>
      <c r="H317" s="31" t="s">
        <v>711</v>
      </c>
      <c r="I317" s="33"/>
      <c r="J317" s="23"/>
      <c r="K317" s="23"/>
      <c r="L317" s="24"/>
      <c r="M317" s="24"/>
      <c r="N317" s="24"/>
      <c r="O317" s="24"/>
    </row>
    <row r="318" customFormat="false" ht="15.75" hidden="false" customHeight="true" outlineLevel="0" collapsed="false">
      <c r="A318" s="23"/>
      <c r="B318" s="24"/>
      <c r="C318" s="24"/>
      <c r="D318" s="24"/>
      <c r="E318" s="24"/>
      <c r="F318" s="25"/>
      <c r="G318" s="30" t="str">
        <f aca="false">CVSSv2!$A$9</f>
        <v>Impacto a la disponibilidad:</v>
      </c>
      <c r="H318" s="31" t="s">
        <v>711</v>
      </c>
      <c r="I318" s="33"/>
      <c r="J318" s="23"/>
      <c r="K318" s="23"/>
      <c r="L318" s="24"/>
      <c r="M318" s="24"/>
      <c r="N318" s="24"/>
      <c r="O318" s="24"/>
    </row>
    <row r="319" customFormat="false" ht="15.75" hidden="false" customHeight="true" outlineLevel="0" collapsed="false">
      <c r="A319" s="23"/>
      <c r="B319" s="24"/>
      <c r="C319" s="24"/>
      <c r="D319" s="24"/>
      <c r="E319" s="24"/>
      <c r="F319" s="25"/>
      <c r="G319" s="30" t="str">
        <f aca="false">CVSSv2!$A$10</f>
        <v>Explotabilidad:</v>
      </c>
      <c r="H319" s="31" t="s">
        <v>712</v>
      </c>
      <c r="I319" s="33"/>
      <c r="J319" s="23"/>
      <c r="K319" s="23"/>
      <c r="L319" s="24"/>
      <c r="M319" s="24"/>
      <c r="N319" s="24"/>
      <c r="O319" s="24"/>
    </row>
    <row r="320" customFormat="false" ht="15.75" hidden="false" customHeight="true" outlineLevel="0" collapsed="false">
      <c r="A320" s="23"/>
      <c r="B320" s="24"/>
      <c r="C320" s="24"/>
      <c r="D320" s="24"/>
      <c r="E320" s="24"/>
      <c r="F320" s="25"/>
      <c r="G320" s="30" t="str">
        <f aca="false">CVSSv2!$A$11</f>
        <v>Nivel de resolución:</v>
      </c>
      <c r="H320" s="31" t="s">
        <v>713</v>
      </c>
      <c r="I320" s="33"/>
      <c r="J320" s="23"/>
      <c r="K320" s="23"/>
      <c r="L320" s="24"/>
      <c r="M320" s="24"/>
      <c r="N320" s="24"/>
      <c r="O320" s="24"/>
    </row>
    <row r="321" customFormat="false" ht="15.75" hidden="false" customHeight="true" outlineLevel="0" collapsed="false">
      <c r="A321" s="23"/>
      <c r="B321" s="24"/>
      <c r="C321" s="24"/>
      <c r="D321" s="24"/>
      <c r="E321" s="24"/>
      <c r="F321" s="25"/>
      <c r="G321" s="30" t="str">
        <f aca="false">CVSSv2!$A$12</f>
        <v>Nivel de confianza:</v>
      </c>
      <c r="H321" s="31" t="s">
        <v>714</v>
      </c>
      <c r="I321" s="33"/>
      <c r="J321" s="23"/>
      <c r="K321" s="23"/>
      <c r="L321" s="24"/>
      <c r="M321" s="24"/>
      <c r="N321" s="24"/>
      <c r="O321" s="24"/>
    </row>
    <row r="322" customFormat="false" ht="15.75" hidden="false" customHeight="true" outlineLevel="0" collapsed="false">
      <c r="A322" s="23"/>
      <c r="B322" s="24"/>
      <c r="C322" s="24"/>
      <c r="D322" s="24"/>
      <c r="E322" s="24"/>
      <c r="F322" s="25"/>
      <c r="G322" s="32" t="str">
        <f aca="false">"("&amp;CVSSv2!$B$4&amp;":"&amp;IF(H313=CVSSv2!$C$4,CVSSv2!$C$26,IF(H313=CVSSv2!$D$4,CVSSv2!$D$26,IF(H313=CVSSv2!$E$4,CVSSv2!$E$26,"")))&amp;"/"&amp;CVSSv2!$B$5&amp;":"&amp;IF(H314=CVSSv2!$C$5,CVSSv2!$C$27,IF(H314=CVSSv2!$D$5,CVSSv2!$D$27,IF(H314=CVSSv2!$E$5,CVSSv2!$E$27,"")))&amp;"/"&amp;CVSSv2!$B$6&amp;":"&amp;IF(H315=CVSSv2!$C$6,CVSSv2!$C$28,IF(H315=CVSSv2!$D$6,CVSSv2!$D$28,IF(H315=CVSSv2!$E$6,CVSSv2!$E$28,"")))&amp;"/"&amp;CVSSv2!$B$7&amp;":"&amp;IF(H316=CVSSv2!$C$7,CVSSv2!$C$29,IF(H316=CVSSv2!$D$7,CVSSv2!$D$29,IF(H316=CVSSv2!$E$7,CVSSv2!$E$29,"")))&amp;"/"&amp;CVSSv2!$B$8&amp;":"&amp;IF(H317=CVSSv2!$C$8,CVSSv2!$C$30,IF(H317=CVSSv2!$D$8,CVSSv2!$D$30,IF(H317=CVSSv2!$E$8,CVSSv2!$E$30,"")))&amp;"/"&amp;CVSSv2!$B$9&amp;":"&amp;IF(H318=CVSSv2!$C$9,CVSSv2!$C$31,IF(H318=CVSSv2!$D$9,CVSSv2!$D$31,IF(H318=CVSSv2!$E$9,CVSSv2!$E$31,"")))&amp;"/"&amp;CVSSv2!$B$10&amp;":"&amp;IF(H319=CVSSv2!$C$10,CVSSv2!$C$32,IF(H319=CVSSv2!$D$10,CVSSv2!$D$32,IF(H319=CVSSv2!$E$10,CVSSv2!$E$32,IF(H319=CVSSv2!$F$10,CVSSv2!$F$32,""))))&amp;"/"&amp;CVSSv2!$B$11&amp;":"&amp;IF(H320=CVSSv2!$C$11,CVSSv2!$C$33,IF(H320=CVSSv2!$D$11,CVSSv2!$D$33,IF(H320=CVSSv2!$E$11,CVSSv2!$E$33,IF(H320=CVSSv2!$F$11,CVSSv2!$F$33,""))))&amp;"/"&amp;CVSSv2!$B$12&amp;":"&amp;IF(H321=CVSSv2!$C$12,CVSSv2!$C$34,IF(H321=CVSSv2!$D$12,CVSSv2!$D$34,IF(H321=CVSSv2!$E$12,CVSSv2!$E$34,"")))&amp;")"</f>
        <v>(AV:N/AC:L/Au:N/C:C/I:C/A:C/E:H/RL:W/RC:C)</v>
      </c>
      <c r="H322" s="32"/>
      <c r="I322" s="33"/>
      <c r="J322" s="23"/>
      <c r="K322" s="23"/>
      <c r="L322" s="24"/>
      <c r="M322" s="24"/>
      <c r="N322" s="24"/>
      <c r="O322" s="24"/>
    </row>
    <row r="323" customFormat="false" ht="15.75" hidden="false" customHeight="true" outlineLevel="0" collapsed="false">
      <c r="A323" s="23" t="n">
        <v>33</v>
      </c>
      <c r="B323" s="24" t="s">
        <v>746</v>
      </c>
      <c r="C323" s="24" t="s">
        <v>17</v>
      </c>
      <c r="D323" s="24" t="s">
        <v>17</v>
      </c>
      <c r="E323" s="24" t="s">
        <v>17</v>
      </c>
      <c r="F3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23" s="26" t="str">
        <f aca="false">CVSSv2!$A$4</f>
        <v>Vector de acceso:</v>
      </c>
      <c r="H323" s="27" t="s">
        <v>706</v>
      </c>
      <c r="I323" s="33" t="n">
        <f aca="false">ROUND(((0.6*(10.41*(1-(1-IF(H326=CVSSv2!$C$7,CVSSv2!$C$18,IF(H326=CVSSv2!$D$7,CVSSv2!$D$18,IF(H326=CVSSv2!$E$7,CVSSv2!$E$18,0))))*(1-IF(H327=CVSSv2!$C$8,CVSSv2!$C$19,IF(H327=CVSSv2!$D$8,CVSSv2!$D$19,IF(H327=CVSSv2!$E$8,CVSSv2!$E$19,0))))*(1-IF(H328=CVSSv2!$C$9,CVSSv2!$C$20,IF(H328=CVSSv2!$D$9,CVSSv2!$D$20,IF(H328=CVSSv2!$E$9,CVSSv2!$E$20,0))))))+0.4*(20*IF(H323=CVSSv2!$C$4,CVSSv2!$C$15,IF(H323=CVSSv2!$D$4,CVSSv2!$D$15,IF(H323=CVSSv2!$E$4,CVSSv2!$E$15,0)))*IF(H324=CVSSv2!$C$5,CVSSv2!$C$16,IF(H324=CVSSv2!$D$5,CVSSv2!$D$16,IF(H324=CVSSv2!$E$5,CVSSv2!$E$16,0)))*IF(H325=CVSSv2!$C$6,CVSSv2!$C$17,IF(H325=CVSSv2!$D$6,CVSSv2!$D$17,IF(H325=CVSSv2!$E$6,CVSSv2!$E$17,0))))-1.5)*(IF(10.41*(1-(1-IF(H326=CVSSv2!$C$7,CVSSv2!$C$18,IF(H326=CVSSv2!$D$7,CVSSv2!$D$18,IF(H326=CVSSv2!$E$7,CVSSv2!$E$18,0))))*(1-IF(H327=CVSSv2!$C$8,CVSSv2!$C$19,IF(H327=CVSSv2!$D$8,CVSSv2!$D$19,IF(H327=CVSSv2!$E$8,CVSSv2!$E$19,0))))*(1-IF(H328=CVSSv2!$C$9,CVSSv2!$C$20,IF(H328=CVSSv2!$D$9,CVSSv2!$D$20,IF(H328=CVSSv2!$E$9,CVSSv2!$E$20,0)))))=0,0,1.176)))*(IF(H329=CVSSv2!$C$10,CVSSv2!$C$21,IF(H329=CVSSv2!$D$10,CVSSv2!$D$21,IF(H329=CVSSv2!$E$10,CVSSv2!$E$21,IF(H329=CVSSv2!$F$10,CVSSv2!$F$21,0))))*IF(H330=CVSSv2!$C$11,CVSSv2!$C$22,IF(H330=CVSSv2!$D$11,CVSSv2!$D$22,IF(H330=CVSSv2!$E$11,CVSSv2!$E$22,IF(H330=CVSSv2!$F$11,CVSSv2!$F$22,0))))*IF(H331=CVSSv2!$C$12,CVSSv2!$C$23,IF(H331=CVSSv2!$D$12,CVSSv2!$D$23,IF(H331=CVSSv2!$E$12,CVSSv2!$E$23,0)))),1)</f>
        <v>9.5</v>
      </c>
      <c r="J323" s="23" t="n">
        <v>0</v>
      </c>
      <c r="K323" s="23" t="n">
        <v>0</v>
      </c>
      <c r="L323" s="24" t="s">
        <v>17</v>
      </c>
      <c r="M323" s="24" t="s">
        <v>17</v>
      </c>
      <c r="N323" s="24" t="s">
        <v>707</v>
      </c>
      <c r="O323" s="24" t="s">
        <v>708</v>
      </c>
    </row>
    <row r="324" customFormat="false" ht="15.75" hidden="false" customHeight="true" outlineLevel="0" collapsed="false">
      <c r="A324" s="23"/>
      <c r="B324" s="24"/>
      <c r="C324" s="24"/>
      <c r="D324" s="24"/>
      <c r="E324" s="24"/>
      <c r="F324" s="25"/>
      <c r="G324" s="30" t="str">
        <f aca="false">CVSSv2!$A$5</f>
        <v>Complejidad de acceso:</v>
      </c>
      <c r="H324" s="31" t="s">
        <v>709</v>
      </c>
      <c r="I324" s="33"/>
      <c r="J324" s="23"/>
      <c r="K324" s="23"/>
      <c r="L324" s="24"/>
      <c r="M324" s="24"/>
      <c r="N324" s="24"/>
      <c r="O324" s="24"/>
    </row>
    <row r="325" customFormat="false" ht="15.75" hidden="false" customHeight="true" outlineLevel="0" collapsed="false">
      <c r="A325" s="23"/>
      <c r="B325" s="24"/>
      <c r="C325" s="24"/>
      <c r="D325" s="24"/>
      <c r="E325" s="24"/>
      <c r="F325" s="25"/>
      <c r="G325" s="30" t="str">
        <f aca="false">CVSSv2!$A$6</f>
        <v>Autenticación:</v>
      </c>
      <c r="H325" s="31" t="s">
        <v>710</v>
      </c>
      <c r="I325" s="33"/>
      <c r="J325" s="23"/>
      <c r="K325" s="23"/>
      <c r="L325" s="24"/>
      <c r="M325" s="24"/>
      <c r="N325" s="24"/>
      <c r="O325" s="24"/>
    </row>
    <row r="326" customFormat="false" ht="15.75" hidden="false" customHeight="true" outlineLevel="0" collapsed="false">
      <c r="A326" s="23"/>
      <c r="B326" s="24"/>
      <c r="C326" s="24"/>
      <c r="D326" s="24"/>
      <c r="E326" s="24"/>
      <c r="F326" s="25"/>
      <c r="G326" s="30" t="str">
        <f aca="false">CVSSv2!$A$7</f>
        <v>Impacto a la confidencialidad:</v>
      </c>
      <c r="H326" s="31" t="s">
        <v>711</v>
      </c>
      <c r="I326" s="33"/>
      <c r="J326" s="23"/>
      <c r="K326" s="23"/>
      <c r="L326" s="24"/>
      <c r="M326" s="24"/>
      <c r="N326" s="24"/>
      <c r="O326" s="24"/>
    </row>
    <row r="327" customFormat="false" ht="15.75" hidden="false" customHeight="true" outlineLevel="0" collapsed="false">
      <c r="A327" s="23"/>
      <c r="B327" s="24"/>
      <c r="C327" s="24"/>
      <c r="D327" s="24"/>
      <c r="E327" s="24"/>
      <c r="F327" s="25"/>
      <c r="G327" s="30" t="str">
        <f aca="false">CVSSv2!$A$8</f>
        <v>Impacto a la integridad:</v>
      </c>
      <c r="H327" s="31" t="s">
        <v>711</v>
      </c>
      <c r="I327" s="33"/>
      <c r="J327" s="23"/>
      <c r="K327" s="23"/>
      <c r="L327" s="24"/>
      <c r="M327" s="24"/>
      <c r="N327" s="24"/>
      <c r="O327" s="24"/>
    </row>
    <row r="328" customFormat="false" ht="15.75" hidden="false" customHeight="true" outlineLevel="0" collapsed="false">
      <c r="A328" s="23"/>
      <c r="B328" s="24"/>
      <c r="C328" s="24"/>
      <c r="D328" s="24"/>
      <c r="E328" s="24"/>
      <c r="F328" s="25"/>
      <c r="G328" s="30" t="str">
        <f aca="false">CVSSv2!$A$9</f>
        <v>Impacto a la disponibilidad:</v>
      </c>
      <c r="H328" s="31" t="s">
        <v>711</v>
      </c>
      <c r="I328" s="33"/>
      <c r="J328" s="23"/>
      <c r="K328" s="23"/>
      <c r="L328" s="24"/>
      <c r="M328" s="24"/>
      <c r="N328" s="24"/>
      <c r="O328" s="24"/>
    </row>
    <row r="329" customFormat="false" ht="15.75" hidden="false" customHeight="true" outlineLevel="0" collapsed="false">
      <c r="A329" s="23"/>
      <c r="B329" s="24"/>
      <c r="C329" s="24"/>
      <c r="D329" s="24"/>
      <c r="E329" s="24"/>
      <c r="F329" s="25"/>
      <c r="G329" s="30" t="str">
        <f aca="false">CVSSv2!$A$10</f>
        <v>Explotabilidad:</v>
      </c>
      <c r="H329" s="31" t="s">
        <v>712</v>
      </c>
      <c r="I329" s="33"/>
      <c r="J329" s="23"/>
      <c r="K329" s="23"/>
      <c r="L329" s="24"/>
      <c r="M329" s="24"/>
      <c r="N329" s="24"/>
      <c r="O329" s="24"/>
    </row>
    <row r="330" customFormat="false" ht="15.75" hidden="false" customHeight="true" outlineLevel="0" collapsed="false">
      <c r="A330" s="23"/>
      <c r="B330" s="24"/>
      <c r="C330" s="24"/>
      <c r="D330" s="24"/>
      <c r="E330" s="24"/>
      <c r="F330" s="25"/>
      <c r="G330" s="30" t="str">
        <f aca="false">CVSSv2!$A$11</f>
        <v>Nivel de resolución:</v>
      </c>
      <c r="H330" s="31" t="s">
        <v>713</v>
      </c>
      <c r="I330" s="33"/>
      <c r="J330" s="23"/>
      <c r="K330" s="23"/>
      <c r="L330" s="24"/>
      <c r="M330" s="24"/>
      <c r="N330" s="24"/>
      <c r="O330" s="24"/>
    </row>
    <row r="331" customFormat="false" ht="15.75" hidden="false" customHeight="true" outlineLevel="0" collapsed="false">
      <c r="A331" s="23"/>
      <c r="B331" s="24"/>
      <c r="C331" s="24"/>
      <c r="D331" s="24"/>
      <c r="E331" s="24"/>
      <c r="F331" s="25"/>
      <c r="G331" s="30" t="str">
        <f aca="false">CVSSv2!$A$12</f>
        <v>Nivel de confianza:</v>
      </c>
      <c r="H331" s="31" t="s">
        <v>714</v>
      </c>
      <c r="I331" s="33"/>
      <c r="J331" s="23"/>
      <c r="K331" s="23"/>
      <c r="L331" s="24"/>
      <c r="M331" s="24"/>
      <c r="N331" s="24"/>
      <c r="O331" s="24"/>
    </row>
    <row r="332" customFormat="false" ht="15.75" hidden="false" customHeight="true" outlineLevel="0" collapsed="false">
      <c r="A332" s="23"/>
      <c r="B332" s="24"/>
      <c r="C332" s="24"/>
      <c r="D332" s="24"/>
      <c r="E332" s="24"/>
      <c r="F332" s="25"/>
      <c r="G332" s="32" t="str">
        <f aca="false">"("&amp;CVSSv2!$B$4&amp;":"&amp;IF(H323=CVSSv2!$C$4,CVSSv2!$C$26,IF(H323=CVSSv2!$D$4,CVSSv2!$D$26,IF(H323=CVSSv2!$E$4,CVSSv2!$E$26,"")))&amp;"/"&amp;CVSSv2!$B$5&amp;":"&amp;IF(H324=CVSSv2!$C$5,CVSSv2!$C$27,IF(H324=CVSSv2!$D$5,CVSSv2!$D$27,IF(H324=CVSSv2!$E$5,CVSSv2!$E$27,"")))&amp;"/"&amp;CVSSv2!$B$6&amp;":"&amp;IF(H325=CVSSv2!$C$6,CVSSv2!$C$28,IF(H325=CVSSv2!$D$6,CVSSv2!$D$28,IF(H325=CVSSv2!$E$6,CVSSv2!$E$28,"")))&amp;"/"&amp;CVSSv2!$B$7&amp;":"&amp;IF(H326=CVSSv2!$C$7,CVSSv2!$C$29,IF(H326=CVSSv2!$D$7,CVSSv2!$D$29,IF(H326=CVSSv2!$E$7,CVSSv2!$E$29,"")))&amp;"/"&amp;CVSSv2!$B$8&amp;":"&amp;IF(H327=CVSSv2!$C$8,CVSSv2!$C$30,IF(H327=CVSSv2!$D$8,CVSSv2!$D$30,IF(H327=CVSSv2!$E$8,CVSSv2!$E$30,"")))&amp;"/"&amp;CVSSv2!$B$9&amp;":"&amp;IF(H328=CVSSv2!$C$9,CVSSv2!$C$31,IF(H328=CVSSv2!$D$9,CVSSv2!$D$31,IF(H328=CVSSv2!$E$9,CVSSv2!$E$31,"")))&amp;"/"&amp;CVSSv2!$B$10&amp;":"&amp;IF(H329=CVSSv2!$C$10,CVSSv2!$C$32,IF(H329=CVSSv2!$D$10,CVSSv2!$D$32,IF(H329=CVSSv2!$E$10,CVSSv2!$E$32,IF(H329=CVSSv2!$F$10,CVSSv2!$F$32,""))))&amp;"/"&amp;CVSSv2!$B$11&amp;":"&amp;IF(H330=CVSSv2!$C$11,CVSSv2!$C$33,IF(H330=CVSSv2!$D$11,CVSSv2!$D$33,IF(H330=CVSSv2!$E$11,CVSSv2!$E$33,IF(H330=CVSSv2!$F$11,CVSSv2!$F$33,""))))&amp;"/"&amp;CVSSv2!$B$12&amp;":"&amp;IF(H331=CVSSv2!$C$12,CVSSv2!$C$34,IF(H331=CVSSv2!$D$12,CVSSv2!$D$34,IF(H331=CVSSv2!$E$12,CVSSv2!$E$34,"")))&amp;")"</f>
        <v>(AV:N/AC:L/Au:N/C:C/I:C/A:C/E:H/RL:W/RC:C)</v>
      </c>
      <c r="H332" s="32"/>
      <c r="I332" s="33"/>
      <c r="J332" s="23"/>
      <c r="K332" s="23"/>
      <c r="L332" s="24"/>
      <c r="M332" s="24"/>
      <c r="N332" s="24"/>
      <c r="O332" s="24"/>
    </row>
    <row r="333" customFormat="false" ht="15.75" hidden="false" customHeight="true" outlineLevel="0" collapsed="false">
      <c r="A333" s="23" t="n">
        <v>34</v>
      </c>
      <c r="B333" s="24" t="s">
        <v>747</v>
      </c>
      <c r="C333" s="24" t="s">
        <v>17</v>
      </c>
      <c r="D333" s="24" t="s">
        <v>17</v>
      </c>
      <c r="E333" s="24" t="s">
        <v>17</v>
      </c>
      <c r="F3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3" s="26" t="str">
        <f aca="false">CVSSv2!$A$4</f>
        <v>Vector de acceso:</v>
      </c>
      <c r="H333" s="27" t="s">
        <v>706</v>
      </c>
      <c r="I333" s="33" t="n">
        <f aca="false">ROUND(((0.6*(10.41*(1-(1-IF(H336=CVSSv2!$C$7,CVSSv2!$C$18,IF(H336=CVSSv2!$D$7,CVSSv2!$D$18,IF(H336=CVSSv2!$E$7,CVSSv2!$E$18,0))))*(1-IF(H337=CVSSv2!$C$8,CVSSv2!$C$19,IF(H337=CVSSv2!$D$8,CVSSv2!$D$19,IF(H337=CVSSv2!$E$8,CVSSv2!$E$19,0))))*(1-IF(H338=CVSSv2!$C$9,CVSSv2!$C$20,IF(H338=CVSSv2!$D$9,CVSSv2!$D$20,IF(H338=CVSSv2!$E$9,CVSSv2!$E$20,0))))))+0.4*(20*IF(H333=CVSSv2!$C$4,CVSSv2!$C$15,IF(H333=CVSSv2!$D$4,CVSSv2!$D$15,IF(H333=CVSSv2!$E$4,CVSSv2!$E$15,0)))*IF(H334=CVSSv2!$C$5,CVSSv2!$C$16,IF(H334=CVSSv2!$D$5,CVSSv2!$D$16,IF(H334=CVSSv2!$E$5,CVSSv2!$E$16,0)))*IF(H335=CVSSv2!$C$6,CVSSv2!$C$17,IF(H335=CVSSv2!$D$6,CVSSv2!$D$17,IF(H335=CVSSv2!$E$6,CVSSv2!$E$17,0))))-1.5)*(IF(10.41*(1-(1-IF(H336=CVSSv2!$C$7,CVSSv2!$C$18,IF(H336=CVSSv2!$D$7,CVSSv2!$D$18,IF(H336=CVSSv2!$E$7,CVSSv2!$E$18,0))))*(1-IF(H337=CVSSv2!$C$8,CVSSv2!$C$19,IF(H337=CVSSv2!$D$8,CVSSv2!$D$19,IF(H337=CVSSv2!$E$8,CVSSv2!$E$19,0))))*(1-IF(H338=CVSSv2!$C$9,CVSSv2!$C$20,IF(H338=CVSSv2!$D$9,CVSSv2!$D$20,IF(H338=CVSSv2!$E$9,CVSSv2!$E$20,0)))))=0,0,1.176)))*(IF(H339=CVSSv2!$C$10,CVSSv2!$C$21,IF(H339=CVSSv2!$D$10,CVSSv2!$D$21,IF(H339=CVSSv2!$E$10,CVSSv2!$E$21,IF(H339=CVSSv2!$F$10,CVSSv2!$F$21,0))))*IF(H340=CVSSv2!$C$11,CVSSv2!$C$22,IF(H340=CVSSv2!$D$11,CVSSv2!$D$22,IF(H340=CVSSv2!$E$11,CVSSv2!$E$22,IF(H340=CVSSv2!$F$11,CVSSv2!$F$22,0))))*IF(H341=CVSSv2!$C$12,CVSSv2!$C$23,IF(H341=CVSSv2!$D$12,CVSSv2!$D$23,IF(H341=CVSSv2!$E$12,CVSSv2!$E$23,0)))),1)</f>
        <v>9.5</v>
      </c>
      <c r="J333" s="23" t="n">
        <v>0</v>
      </c>
      <c r="K333" s="23" t="n">
        <v>0</v>
      </c>
      <c r="L333" s="24" t="s">
        <v>17</v>
      </c>
      <c r="M333" s="24" t="s">
        <v>17</v>
      </c>
      <c r="N333" s="24" t="s">
        <v>707</v>
      </c>
      <c r="O333" s="24" t="s">
        <v>708</v>
      </c>
    </row>
    <row r="334" customFormat="false" ht="15.75" hidden="false" customHeight="true" outlineLevel="0" collapsed="false">
      <c r="A334" s="23"/>
      <c r="B334" s="24"/>
      <c r="C334" s="24"/>
      <c r="D334" s="24"/>
      <c r="E334" s="24"/>
      <c r="F334" s="25"/>
      <c r="G334" s="30" t="str">
        <f aca="false">CVSSv2!$A$5</f>
        <v>Complejidad de acceso:</v>
      </c>
      <c r="H334" s="31" t="s">
        <v>709</v>
      </c>
      <c r="I334" s="33"/>
      <c r="J334" s="23"/>
      <c r="K334" s="23"/>
      <c r="L334" s="24"/>
      <c r="M334" s="24"/>
      <c r="N334" s="24"/>
      <c r="O334" s="24"/>
    </row>
    <row r="335" customFormat="false" ht="15.75" hidden="false" customHeight="true" outlineLevel="0" collapsed="false">
      <c r="A335" s="23"/>
      <c r="B335" s="24"/>
      <c r="C335" s="24"/>
      <c r="D335" s="24"/>
      <c r="E335" s="24"/>
      <c r="F335" s="25"/>
      <c r="G335" s="30" t="str">
        <f aca="false">CVSSv2!$A$6</f>
        <v>Autenticación:</v>
      </c>
      <c r="H335" s="31" t="s">
        <v>710</v>
      </c>
      <c r="I335" s="33"/>
      <c r="J335" s="23"/>
      <c r="K335" s="23"/>
      <c r="L335" s="24"/>
      <c r="M335" s="24"/>
      <c r="N335" s="24"/>
      <c r="O335" s="24"/>
    </row>
    <row r="336" customFormat="false" ht="15.75" hidden="false" customHeight="true" outlineLevel="0" collapsed="false">
      <c r="A336" s="23"/>
      <c r="B336" s="24"/>
      <c r="C336" s="24"/>
      <c r="D336" s="24"/>
      <c r="E336" s="24"/>
      <c r="F336" s="25"/>
      <c r="G336" s="30" t="str">
        <f aca="false">CVSSv2!$A$7</f>
        <v>Impacto a la confidencialidad:</v>
      </c>
      <c r="H336" s="31" t="s">
        <v>711</v>
      </c>
      <c r="I336" s="33"/>
      <c r="J336" s="23"/>
      <c r="K336" s="23"/>
      <c r="L336" s="24"/>
      <c r="M336" s="24"/>
      <c r="N336" s="24"/>
      <c r="O336" s="24"/>
    </row>
    <row r="337" customFormat="false" ht="15.75" hidden="false" customHeight="true" outlineLevel="0" collapsed="false">
      <c r="A337" s="23"/>
      <c r="B337" s="24"/>
      <c r="C337" s="24"/>
      <c r="D337" s="24"/>
      <c r="E337" s="24"/>
      <c r="F337" s="25"/>
      <c r="G337" s="30" t="str">
        <f aca="false">CVSSv2!$A$8</f>
        <v>Impacto a la integridad:</v>
      </c>
      <c r="H337" s="31" t="s">
        <v>711</v>
      </c>
      <c r="I337" s="33"/>
      <c r="J337" s="23"/>
      <c r="K337" s="23"/>
      <c r="L337" s="24"/>
      <c r="M337" s="24"/>
      <c r="N337" s="24"/>
      <c r="O337" s="24"/>
    </row>
    <row r="338" customFormat="false" ht="15.75" hidden="false" customHeight="true" outlineLevel="0" collapsed="false">
      <c r="A338" s="23"/>
      <c r="B338" s="24"/>
      <c r="C338" s="24"/>
      <c r="D338" s="24"/>
      <c r="E338" s="24"/>
      <c r="F338" s="25"/>
      <c r="G338" s="30" t="str">
        <f aca="false">CVSSv2!$A$9</f>
        <v>Impacto a la disponibilidad:</v>
      </c>
      <c r="H338" s="31" t="s">
        <v>711</v>
      </c>
      <c r="I338" s="33"/>
      <c r="J338" s="23"/>
      <c r="K338" s="23"/>
      <c r="L338" s="24"/>
      <c r="M338" s="24"/>
      <c r="N338" s="24"/>
      <c r="O338" s="24"/>
    </row>
    <row r="339" customFormat="false" ht="15.75" hidden="false" customHeight="true" outlineLevel="0" collapsed="false">
      <c r="A339" s="23"/>
      <c r="B339" s="24"/>
      <c r="C339" s="24"/>
      <c r="D339" s="24"/>
      <c r="E339" s="24"/>
      <c r="F339" s="25"/>
      <c r="G339" s="30" t="str">
        <f aca="false">CVSSv2!$A$10</f>
        <v>Explotabilidad:</v>
      </c>
      <c r="H339" s="31" t="s">
        <v>712</v>
      </c>
      <c r="I339" s="33"/>
      <c r="J339" s="23"/>
      <c r="K339" s="23"/>
      <c r="L339" s="24"/>
      <c r="M339" s="24"/>
      <c r="N339" s="24"/>
      <c r="O339" s="24"/>
    </row>
    <row r="340" customFormat="false" ht="15.75" hidden="false" customHeight="true" outlineLevel="0" collapsed="false">
      <c r="A340" s="23"/>
      <c r="B340" s="24"/>
      <c r="C340" s="24"/>
      <c r="D340" s="24"/>
      <c r="E340" s="24"/>
      <c r="F340" s="25"/>
      <c r="G340" s="30" t="str">
        <f aca="false">CVSSv2!$A$11</f>
        <v>Nivel de resolución:</v>
      </c>
      <c r="H340" s="31" t="s">
        <v>713</v>
      </c>
      <c r="I340" s="33"/>
      <c r="J340" s="23"/>
      <c r="K340" s="23"/>
      <c r="L340" s="24"/>
      <c r="M340" s="24"/>
      <c r="N340" s="24"/>
      <c r="O340" s="24"/>
    </row>
    <row r="341" customFormat="false" ht="15.75" hidden="false" customHeight="true" outlineLevel="0" collapsed="false">
      <c r="A341" s="23"/>
      <c r="B341" s="24"/>
      <c r="C341" s="24"/>
      <c r="D341" s="24"/>
      <c r="E341" s="24"/>
      <c r="F341" s="25"/>
      <c r="G341" s="30" t="str">
        <f aca="false">CVSSv2!$A$12</f>
        <v>Nivel de confianza:</v>
      </c>
      <c r="H341" s="31" t="s">
        <v>714</v>
      </c>
      <c r="I341" s="33"/>
      <c r="J341" s="23"/>
      <c r="K341" s="23"/>
      <c r="L341" s="24"/>
      <c r="M341" s="24"/>
      <c r="N341" s="24"/>
      <c r="O341" s="24"/>
    </row>
    <row r="342" customFormat="false" ht="15.75" hidden="false" customHeight="true" outlineLevel="0" collapsed="false">
      <c r="A342" s="23"/>
      <c r="B342" s="24"/>
      <c r="C342" s="24"/>
      <c r="D342" s="24"/>
      <c r="E342" s="24"/>
      <c r="F342" s="25"/>
      <c r="G342" s="32" t="str">
        <f aca="false">"("&amp;CVSSv2!$B$4&amp;":"&amp;IF(H333=CVSSv2!$C$4,CVSSv2!$C$26,IF(H333=CVSSv2!$D$4,CVSSv2!$D$26,IF(H333=CVSSv2!$E$4,CVSSv2!$E$26,"")))&amp;"/"&amp;CVSSv2!$B$5&amp;":"&amp;IF(H334=CVSSv2!$C$5,CVSSv2!$C$27,IF(H334=CVSSv2!$D$5,CVSSv2!$D$27,IF(H334=CVSSv2!$E$5,CVSSv2!$E$27,"")))&amp;"/"&amp;CVSSv2!$B$6&amp;":"&amp;IF(H335=CVSSv2!$C$6,CVSSv2!$C$28,IF(H335=CVSSv2!$D$6,CVSSv2!$D$28,IF(H335=CVSSv2!$E$6,CVSSv2!$E$28,"")))&amp;"/"&amp;CVSSv2!$B$7&amp;":"&amp;IF(H336=CVSSv2!$C$7,CVSSv2!$C$29,IF(H336=CVSSv2!$D$7,CVSSv2!$D$29,IF(H336=CVSSv2!$E$7,CVSSv2!$E$29,"")))&amp;"/"&amp;CVSSv2!$B$8&amp;":"&amp;IF(H337=CVSSv2!$C$8,CVSSv2!$C$30,IF(H337=CVSSv2!$D$8,CVSSv2!$D$30,IF(H337=CVSSv2!$E$8,CVSSv2!$E$30,"")))&amp;"/"&amp;CVSSv2!$B$9&amp;":"&amp;IF(H338=CVSSv2!$C$9,CVSSv2!$C$31,IF(H338=CVSSv2!$D$9,CVSSv2!$D$31,IF(H338=CVSSv2!$E$9,CVSSv2!$E$31,"")))&amp;"/"&amp;CVSSv2!$B$10&amp;":"&amp;IF(H339=CVSSv2!$C$10,CVSSv2!$C$32,IF(H339=CVSSv2!$D$10,CVSSv2!$D$32,IF(H339=CVSSv2!$E$10,CVSSv2!$E$32,IF(H339=CVSSv2!$F$10,CVSSv2!$F$32,""))))&amp;"/"&amp;CVSSv2!$B$11&amp;":"&amp;IF(H340=CVSSv2!$C$11,CVSSv2!$C$33,IF(H340=CVSSv2!$D$11,CVSSv2!$D$33,IF(H340=CVSSv2!$E$11,CVSSv2!$E$33,IF(H340=CVSSv2!$F$11,CVSSv2!$F$33,""))))&amp;"/"&amp;CVSSv2!$B$12&amp;":"&amp;IF(H341=CVSSv2!$C$12,CVSSv2!$C$34,IF(H341=CVSSv2!$D$12,CVSSv2!$D$34,IF(H341=CVSSv2!$E$12,CVSSv2!$E$34,"")))&amp;")"</f>
        <v>(AV:N/AC:L/Au:N/C:C/I:C/A:C/E:H/RL:W/RC:C)</v>
      </c>
      <c r="H342" s="32"/>
      <c r="I342" s="33"/>
      <c r="J342" s="23"/>
      <c r="K342" s="23"/>
      <c r="L342" s="24"/>
      <c r="M342" s="24"/>
      <c r="N342" s="24"/>
      <c r="O342" s="24"/>
    </row>
    <row r="343" customFormat="false" ht="15.75" hidden="false" customHeight="true" outlineLevel="0" collapsed="false">
      <c r="A343" s="23" t="n">
        <v>35</v>
      </c>
      <c r="B343" s="24" t="s">
        <v>748</v>
      </c>
      <c r="C343" s="24" t="s">
        <v>17</v>
      </c>
      <c r="D343" s="24" t="s">
        <v>17</v>
      </c>
      <c r="E343" s="24" t="s">
        <v>17</v>
      </c>
      <c r="F3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43" s="26" t="str">
        <f aca="false">CVSSv2!$A$4</f>
        <v>Vector de acceso:</v>
      </c>
      <c r="H343" s="27" t="s">
        <v>706</v>
      </c>
      <c r="I343" s="33" t="n">
        <f aca="false">ROUND(((0.6*(10.41*(1-(1-IF(H346=CVSSv2!$C$7,CVSSv2!$C$18,IF(H346=CVSSv2!$D$7,CVSSv2!$D$18,IF(H346=CVSSv2!$E$7,CVSSv2!$E$18,0))))*(1-IF(H347=CVSSv2!$C$8,CVSSv2!$C$19,IF(H347=CVSSv2!$D$8,CVSSv2!$D$19,IF(H347=CVSSv2!$E$8,CVSSv2!$E$19,0))))*(1-IF(H348=CVSSv2!$C$9,CVSSv2!$C$20,IF(H348=CVSSv2!$D$9,CVSSv2!$D$20,IF(H348=CVSSv2!$E$9,CVSSv2!$E$20,0))))))+0.4*(20*IF(H343=CVSSv2!$C$4,CVSSv2!$C$15,IF(H343=CVSSv2!$D$4,CVSSv2!$D$15,IF(H343=CVSSv2!$E$4,CVSSv2!$E$15,0)))*IF(H344=CVSSv2!$C$5,CVSSv2!$C$16,IF(H344=CVSSv2!$D$5,CVSSv2!$D$16,IF(H344=CVSSv2!$E$5,CVSSv2!$E$16,0)))*IF(H345=CVSSv2!$C$6,CVSSv2!$C$17,IF(H345=CVSSv2!$D$6,CVSSv2!$D$17,IF(H345=CVSSv2!$E$6,CVSSv2!$E$17,0))))-1.5)*(IF(10.41*(1-(1-IF(H346=CVSSv2!$C$7,CVSSv2!$C$18,IF(H346=CVSSv2!$D$7,CVSSv2!$D$18,IF(H346=CVSSv2!$E$7,CVSSv2!$E$18,0))))*(1-IF(H347=CVSSv2!$C$8,CVSSv2!$C$19,IF(H347=CVSSv2!$D$8,CVSSv2!$D$19,IF(H347=CVSSv2!$E$8,CVSSv2!$E$19,0))))*(1-IF(H348=CVSSv2!$C$9,CVSSv2!$C$20,IF(H348=CVSSv2!$D$9,CVSSv2!$D$20,IF(H348=CVSSv2!$E$9,CVSSv2!$E$20,0)))))=0,0,1.176)))*(IF(H349=CVSSv2!$C$10,CVSSv2!$C$21,IF(H349=CVSSv2!$D$10,CVSSv2!$D$21,IF(H349=CVSSv2!$E$10,CVSSv2!$E$21,IF(H349=CVSSv2!$F$10,CVSSv2!$F$21,0))))*IF(H350=CVSSv2!$C$11,CVSSv2!$C$22,IF(H350=CVSSv2!$D$11,CVSSv2!$D$22,IF(H350=CVSSv2!$E$11,CVSSv2!$E$22,IF(H350=CVSSv2!$F$11,CVSSv2!$F$22,0))))*IF(H351=CVSSv2!$C$12,CVSSv2!$C$23,IF(H351=CVSSv2!$D$12,CVSSv2!$D$23,IF(H351=CVSSv2!$E$12,CVSSv2!$E$23,0)))),1)</f>
        <v>9.5</v>
      </c>
      <c r="J343" s="23" t="n">
        <v>0</v>
      </c>
      <c r="K343" s="23" t="n">
        <v>0</v>
      </c>
      <c r="L343" s="24" t="s">
        <v>17</v>
      </c>
      <c r="M343" s="24" t="s">
        <v>17</v>
      </c>
      <c r="N343" s="24" t="s">
        <v>707</v>
      </c>
      <c r="O343" s="24" t="s">
        <v>708</v>
      </c>
    </row>
    <row r="344" customFormat="false" ht="15.75" hidden="false" customHeight="true" outlineLevel="0" collapsed="false">
      <c r="A344" s="23"/>
      <c r="B344" s="24"/>
      <c r="C344" s="24"/>
      <c r="D344" s="24"/>
      <c r="E344" s="24"/>
      <c r="F344" s="25"/>
      <c r="G344" s="30" t="str">
        <f aca="false">CVSSv2!$A$5</f>
        <v>Complejidad de acceso:</v>
      </c>
      <c r="H344" s="31" t="s">
        <v>709</v>
      </c>
      <c r="I344" s="33"/>
      <c r="J344" s="23"/>
      <c r="K344" s="23"/>
      <c r="L344" s="24"/>
      <c r="M344" s="24"/>
      <c r="N344" s="24"/>
      <c r="O344" s="24"/>
    </row>
    <row r="345" customFormat="false" ht="15.75" hidden="false" customHeight="true" outlineLevel="0" collapsed="false">
      <c r="A345" s="23"/>
      <c r="B345" s="24"/>
      <c r="C345" s="24"/>
      <c r="D345" s="24"/>
      <c r="E345" s="24"/>
      <c r="F345" s="25"/>
      <c r="G345" s="30" t="str">
        <f aca="false">CVSSv2!$A$6</f>
        <v>Autenticación:</v>
      </c>
      <c r="H345" s="31" t="s">
        <v>710</v>
      </c>
      <c r="I345" s="33"/>
      <c r="J345" s="23"/>
      <c r="K345" s="23"/>
      <c r="L345" s="24"/>
      <c r="M345" s="24"/>
      <c r="N345" s="24"/>
      <c r="O345" s="24"/>
    </row>
    <row r="346" customFormat="false" ht="15.75" hidden="false" customHeight="true" outlineLevel="0" collapsed="false">
      <c r="A346" s="23"/>
      <c r="B346" s="24"/>
      <c r="C346" s="24"/>
      <c r="D346" s="24"/>
      <c r="E346" s="24"/>
      <c r="F346" s="25"/>
      <c r="G346" s="30" t="str">
        <f aca="false">CVSSv2!$A$7</f>
        <v>Impacto a la confidencialidad:</v>
      </c>
      <c r="H346" s="31" t="s">
        <v>711</v>
      </c>
      <c r="I346" s="33"/>
      <c r="J346" s="23"/>
      <c r="K346" s="23"/>
      <c r="L346" s="24"/>
      <c r="M346" s="24"/>
      <c r="N346" s="24"/>
      <c r="O346" s="24"/>
    </row>
    <row r="347" customFormat="false" ht="15.75" hidden="false" customHeight="true" outlineLevel="0" collapsed="false">
      <c r="A347" s="23"/>
      <c r="B347" s="24"/>
      <c r="C347" s="24"/>
      <c r="D347" s="24"/>
      <c r="E347" s="24"/>
      <c r="F347" s="25"/>
      <c r="G347" s="30" t="str">
        <f aca="false">CVSSv2!$A$8</f>
        <v>Impacto a la integridad:</v>
      </c>
      <c r="H347" s="31" t="s">
        <v>711</v>
      </c>
      <c r="I347" s="33"/>
      <c r="J347" s="23"/>
      <c r="K347" s="23"/>
      <c r="L347" s="24"/>
      <c r="M347" s="24"/>
      <c r="N347" s="24"/>
      <c r="O347" s="24"/>
    </row>
    <row r="348" customFormat="false" ht="15.75" hidden="false" customHeight="true" outlineLevel="0" collapsed="false">
      <c r="A348" s="23"/>
      <c r="B348" s="24"/>
      <c r="C348" s="24"/>
      <c r="D348" s="24"/>
      <c r="E348" s="24"/>
      <c r="F348" s="25"/>
      <c r="G348" s="30" t="str">
        <f aca="false">CVSSv2!$A$9</f>
        <v>Impacto a la disponibilidad:</v>
      </c>
      <c r="H348" s="31" t="s">
        <v>711</v>
      </c>
      <c r="I348" s="33"/>
      <c r="J348" s="23"/>
      <c r="K348" s="23"/>
      <c r="L348" s="24"/>
      <c r="M348" s="24"/>
      <c r="N348" s="24"/>
      <c r="O348" s="24"/>
    </row>
    <row r="349" customFormat="false" ht="15.75" hidden="false" customHeight="true" outlineLevel="0" collapsed="false">
      <c r="A349" s="23"/>
      <c r="B349" s="24"/>
      <c r="C349" s="24"/>
      <c r="D349" s="24"/>
      <c r="E349" s="24"/>
      <c r="F349" s="25"/>
      <c r="G349" s="30" t="str">
        <f aca="false">CVSSv2!$A$10</f>
        <v>Explotabilidad:</v>
      </c>
      <c r="H349" s="31" t="s">
        <v>712</v>
      </c>
      <c r="I349" s="33"/>
      <c r="J349" s="23"/>
      <c r="K349" s="23"/>
      <c r="L349" s="24"/>
      <c r="M349" s="24"/>
      <c r="N349" s="24"/>
      <c r="O349" s="24"/>
    </row>
    <row r="350" customFormat="false" ht="15.75" hidden="false" customHeight="true" outlineLevel="0" collapsed="false">
      <c r="A350" s="23"/>
      <c r="B350" s="24"/>
      <c r="C350" s="24"/>
      <c r="D350" s="24"/>
      <c r="E350" s="24"/>
      <c r="F350" s="25"/>
      <c r="G350" s="30" t="str">
        <f aca="false">CVSSv2!$A$11</f>
        <v>Nivel de resolución:</v>
      </c>
      <c r="H350" s="31" t="s">
        <v>713</v>
      </c>
      <c r="I350" s="33"/>
      <c r="J350" s="23"/>
      <c r="K350" s="23"/>
      <c r="L350" s="24"/>
      <c r="M350" s="24"/>
      <c r="N350" s="24"/>
      <c r="O350" s="24"/>
    </row>
    <row r="351" customFormat="false" ht="15.75" hidden="false" customHeight="true" outlineLevel="0" collapsed="false">
      <c r="A351" s="23"/>
      <c r="B351" s="24"/>
      <c r="C351" s="24"/>
      <c r="D351" s="24"/>
      <c r="E351" s="24"/>
      <c r="F351" s="25"/>
      <c r="G351" s="30" t="str">
        <f aca="false">CVSSv2!$A$12</f>
        <v>Nivel de confianza:</v>
      </c>
      <c r="H351" s="31" t="s">
        <v>714</v>
      </c>
      <c r="I351" s="33"/>
      <c r="J351" s="23"/>
      <c r="K351" s="23"/>
      <c r="L351" s="24"/>
      <c r="M351" s="24"/>
      <c r="N351" s="24"/>
      <c r="O351" s="24"/>
    </row>
    <row r="352" customFormat="false" ht="15.75" hidden="false" customHeight="true" outlineLevel="0" collapsed="false">
      <c r="A352" s="23"/>
      <c r="B352" s="24"/>
      <c r="C352" s="24"/>
      <c r="D352" s="24"/>
      <c r="E352" s="24"/>
      <c r="F352" s="25"/>
      <c r="G352" s="32" t="str">
        <f aca="false">"("&amp;CVSSv2!$B$4&amp;":"&amp;IF(H343=CVSSv2!$C$4,CVSSv2!$C$26,IF(H343=CVSSv2!$D$4,CVSSv2!$D$26,IF(H343=CVSSv2!$E$4,CVSSv2!$E$26,"")))&amp;"/"&amp;CVSSv2!$B$5&amp;":"&amp;IF(H344=CVSSv2!$C$5,CVSSv2!$C$27,IF(H344=CVSSv2!$D$5,CVSSv2!$D$27,IF(H344=CVSSv2!$E$5,CVSSv2!$E$27,"")))&amp;"/"&amp;CVSSv2!$B$6&amp;":"&amp;IF(H345=CVSSv2!$C$6,CVSSv2!$C$28,IF(H345=CVSSv2!$D$6,CVSSv2!$D$28,IF(H345=CVSSv2!$E$6,CVSSv2!$E$28,"")))&amp;"/"&amp;CVSSv2!$B$7&amp;":"&amp;IF(H346=CVSSv2!$C$7,CVSSv2!$C$29,IF(H346=CVSSv2!$D$7,CVSSv2!$D$29,IF(H346=CVSSv2!$E$7,CVSSv2!$E$29,"")))&amp;"/"&amp;CVSSv2!$B$8&amp;":"&amp;IF(H347=CVSSv2!$C$8,CVSSv2!$C$30,IF(H347=CVSSv2!$D$8,CVSSv2!$D$30,IF(H347=CVSSv2!$E$8,CVSSv2!$E$30,"")))&amp;"/"&amp;CVSSv2!$B$9&amp;":"&amp;IF(H348=CVSSv2!$C$9,CVSSv2!$C$31,IF(H348=CVSSv2!$D$9,CVSSv2!$D$31,IF(H348=CVSSv2!$E$9,CVSSv2!$E$31,"")))&amp;"/"&amp;CVSSv2!$B$10&amp;":"&amp;IF(H349=CVSSv2!$C$10,CVSSv2!$C$32,IF(H349=CVSSv2!$D$10,CVSSv2!$D$32,IF(H349=CVSSv2!$E$10,CVSSv2!$E$32,IF(H349=CVSSv2!$F$10,CVSSv2!$F$32,""))))&amp;"/"&amp;CVSSv2!$B$11&amp;":"&amp;IF(H350=CVSSv2!$C$11,CVSSv2!$C$33,IF(H350=CVSSv2!$D$11,CVSSv2!$D$33,IF(H350=CVSSv2!$E$11,CVSSv2!$E$33,IF(H350=CVSSv2!$F$11,CVSSv2!$F$33,""))))&amp;"/"&amp;CVSSv2!$B$12&amp;":"&amp;IF(H351=CVSSv2!$C$12,CVSSv2!$C$34,IF(H351=CVSSv2!$D$12,CVSSv2!$D$34,IF(H351=CVSSv2!$E$12,CVSSv2!$E$34,"")))&amp;")"</f>
        <v>(AV:N/AC:L/Au:N/C:C/I:C/A:C/E:H/RL:W/RC:C)</v>
      </c>
      <c r="H352" s="32"/>
      <c r="I352" s="33"/>
      <c r="J352" s="23"/>
      <c r="K352" s="23"/>
      <c r="L352" s="24"/>
      <c r="M352" s="24"/>
      <c r="N352" s="24"/>
      <c r="O352" s="24"/>
    </row>
    <row r="353" customFormat="false" ht="15.75" hidden="false" customHeight="true" outlineLevel="0" collapsed="false">
      <c r="A353" s="23" t="n">
        <v>36</v>
      </c>
      <c r="B353" s="24" t="s">
        <v>749</v>
      </c>
      <c r="C353" s="24" t="s">
        <v>17</v>
      </c>
      <c r="D353" s="24" t="s">
        <v>17</v>
      </c>
      <c r="E353" s="24" t="s">
        <v>17</v>
      </c>
      <c r="F3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53" s="26" t="str">
        <f aca="false">CVSSv2!$A$4</f>
        <v>Vector de acceso:</v>
      </c>
      <c r="H353" s="27" t="s">
        <v>706</v>
      </c>
      <c r="I353" s="33" t="n">
        <f aca="false">ROUND(((0.6*(10.41*(1-(1-IF(H356=CVSSv2!$C$7,CVSSv2!$C$18,IF(H356=CVSSv2!$D$7,CVSSv2!$D$18,IF(H356=CVSSv2!$E$7,CVSSv2!$E$18,0))))*(1-IF(H357=CVSSv2!$C$8,CVSSv2!$C$19,IF(H357=CVSSv2!$D$8,CVSSv2!$D$19,IF(H357=CVSSv2!$E$8,CVSSv2!$E$19,0))))*(1-IF(H358=CVSSv2!$C$9,CVSSv2!$C$20,IF(H358=CVSSv2!$D$9,CVSSv2!$D$20,IF(H358=CVSSv2!$E$9,CVSSv2!$E$20,0))))))+0.4*(20*IF(H353=CVSSv2!$C$4,CVSSv2!$C$15,IF(H353=CVSSv2!$D$4,CVSSv2!$D$15,IF(H353=CVSSv2!$E$4,CVSSv2!$E$15,0)))*IF(H354=CVSSv2!$C$5,CVSSv2!$C$16,IF(H354=CVSSv2!$D$5,CVSSv2!$D$16,IF(H354=CVSSv2!$E$5,CVSSv2!$E$16,0)))*IF(H355=CVSSv2!$C$6,CVSSv2!$C$17,IF(H355=CVSSv2!$D$6,CVSSv2!$D$17,IF(H355=CVSSv2!$E$6,CVSSv2!$E$17,0))))-1.5)*(IF(10.41*(1-(1-IF(H356=CVSSv2!$C$7,CVSSv2!$C$18,IF(H356=CVSSv2!$D$7,CVSSv2!$D$18,IF(H356=CVSSv2!$E$7,CVSSv2!$E$18,0))))*(1-IF(H357=CVSSv2!$C$8,CVSSv2!$C$19,IF(H357=CVSSv2!$D$8,CVSSv2!$D$19,IF(H357=CVSSv2!$E$8,CVSSv2!$E$19,0))))*(1-IF(H358=CVSSv2!$C$9,CVSSv2!$C$20,IF(H358=CVSSv2!$D$9,CVSSv2!$D$20,IF(H358=CVSSv2!$E$9,CVSSv2!$E$20,0)))))=0,0,1.176)))*(IF(H359=CVSSv2!$C$10,CVSSv2!$C$21,IF(H359=CVSSv2!$D$10,CVSSv2!$D$21,IF(H359=CVSSv2!$E$10,CVSSv2!$E$21,IF(H359=CVSSv2!$F$10,CVSSv2!$F$21,0))))*IF(H360=CVSSv2!$C$11,CVSSv2!$C$22,IF(H360=CVSSv2!$D$11,CVSSv2!$D$22,IF(H360=CVSSv2!$E$11,CVSSv2!$E$22,IF(H360=CVSSv2!$F$11,CVSSv2!$F$22,0))))*IF(H361=CVSSv2!$C$12,CVSSv2!$C$23,IF(H361=CVSSv2!$D$12,CVSSv2!$D$23,IF(H361=CVSSv2!$E$12,CVSSv2!$E$23,0)))),1)</f>
        <v>9.5</v>
      </c>
      <c r="J353" s="23" t="n">
        <v>0</v>
      </c>
      <c r="K353" s="23" t="n">
        <v>0</v>
      </c>
      <c r="L353" s="24" t="s">
        <v>17</v>
      </c>
      <c r="M353" s="24" t="s">
        <v>17</v>
      </c>
      <c r="N353" s="24" t="s">
        <v>707</v>
      </c>
      <c r="O353" s="24" t="s">
        <v>708</v>
      </c>
    </row>
    <row r="354" customFormat="false" ht="15.75" hidden="false" customHeight="true" outlineLevel="0" collapsed="false">
      <c r="A354" s="23"/>
      <c r="B354" s="24"/>
      <c r="C354" s="24"/>
      <c r="D354" s="24"/>
      <c r="E354" s="24"/>
      <c r="F354" s="25"/>
      <c r="G354" s="30" t="str">
        <f aca="false">CVSSv2!$A$5</f>
        <v>Complejidad de acceso:</v>
      </c>
      <c r="H354" s="31" t="s">
        <v>709</v>
      </c>
      <c r="I354" s="33"/>
      <c r="J354" s="23"/>
      <c r="K354" s="23"/>
      <c r="L354" s="24"/>
      <c r="M354" s="24"/>
      <c r="N354" s="24"/>
      <c r="O354" s="24"/>
    </row>
    <row r="355" customFormat="false" ht="15.75" hidden="false" customHeight="true" outlineLevel="0" collapsed="false">
      <c r="A355" s="23"/>
      <c r="B355" s="24"/>
      <c r="C355" s="24"/>
      <c r="D355" s="24"/>
      <c r="E355" s="24"/>
      <c r="F355" s="25"/>
      <c r="G355" s="30" t="str">
        <f aca="false">CVSSv2!$A$6</f>
        <v>Autenticación:</v>
      </c>
      <c r="H355" s="31" t="s">
        <v>710</v>
      </c>
      <c r="I355" s="33"/>
      <c r="J355" s="23"/>
      <c r="K355" s="23"/>
      <c r="L355" s="24"/>
      <c r="M355" s="24"/>
      <c r="N355" s="24"/>
      <c r="O355" s="24"/>
    </row>
    <row r="356" customFormat="false" ht="15.75" hidden="false" customHeight="true" outlineLevel="0" collapsed="false">
      <c r="A356" s="23"/>
      <c r="B356" s="24"/>
      <c r="C356" s="24"/>
      <c r="D356" s="24"/>
      <c r="E356" s="24"/>
      <c r="F356" s="25"/>
      <c r="G356" s="30" t="str">
        <f aca="false">CVSSv2!$A$7</f>
        <v>Impacto a la confidencialidad:</v>
      </c>
      <c r="H356" s="31" t="s">
        <v>711</v>
      </c>
      <c r="I356" s="33"/>
      <c r="J356" s="23"/>
      <c r="K356" s="23"/>
      <c r="L356" s="24"/>
      <c r="M356" s="24"/>
      <c r="N356" s="24"/>
      <c r="O356" s="24"/>
    </row>
    <row r="357" customFormat="false" ht="15.75" hidden="false" customHeight="true" outlineLevel="0" collapsed="false">
      <c r="A357" s="23"/>
      <c r="B357" s="24"/>
      <c r="C357" s="24"/>
      <c r="D357" s="24"/>
      <c r="E357" s="24"/>
      <c r="F357" s="25"/>
      <c r="G357" s="30" t="str">
        <f aca="false">CVSSv2!$A$8</f>
        <v>Impacto a la integridad:</v>
      </c>
      <c r="H357" s="31" t="s">
        <v>711</v>
      </c>
      <c r="I357" s="33"/>
      <c r="J357" s="23"/>
      <c r="K357" s="23"/>
      <c r="L357" s="24"/>
      <c r="M357" s="24"/>
      <c r="N357" s="24"/>
      <c r="O357" s="24"/>
    </row>
    <row r="358" customFormat="false" ht="15.75" hidden="false" customHeight="true" outlineLevel="0" collapsed="false">
      <c r="A358" s="23"/>
      <c r="B358" s="24"/>
      <c r="C358" s="24"/>
      <c r="D358" s="24"/>
      <c r="E358" s="24"/>
      <c r="F358" s="25"/>
      <c r="G358" s="30" t="str">
        <f aca="false">CVSSv2!$A$9</f>
        <v>Impacto a la disponibilidad:</v>
      </c>
      <c r="H358" s="31" t="s">
        <v>711</v>
      </c>
      <c r="I358" s="33"/>
      <c r="J358" s="23"/>
      <c r="K358" s="23"/>
      <c r="L358" s="24"/>
      <c r="M358" s="24"/>
      <c r="N358" s="24"/>
      <c r="O358" s="24"/>
    </row>
    <row r="359" customFormat="false" ht="15.75" hidden="false" customHeight="true" outlineLevel="0" collapsed="false">
      <c r="A359" s="23"/>
      <c r="B359" s="24"/>
      <c r="C359" s="24"/>
      <c r="D359" s="24"/>
      <c r="E359" s="24"/>
      <c r="F359" s="25"/>
      <c r="G359" s="30" t="str">
        <f aca="false">CVSSv2!$A$10</f>
        <v>Explotabilidad:</v>
      </c>
      <c r="H359" s="31" t="s">
        <v>712</v>
      </c>
      <c r="I359" s="33"/>
      <c r="J359" s="23"/>
      <c r="K359" s="23"/>
      <c r="L359" s="24"/>
      <c r="M359" s="24"/>
      <c r="N359" s="24"/>
      <c r="O359" s="24"/>
    </row>
    <row r="360" customFormat="false" ht="15.75" hidden="false" customHeight="true" outlineLevel="0" collapsed="false">
      <c r="A360" s="23"/>
      <c r="B360" s="24"/>
      <c r="C360" s="24"/>
      <c r="D360" s="24"/>
      <c r="E360" s="24"/>
      <c r="F360" s="25"/>
      <c r="G360" s="30" t="str">
        <f aca="false">CVSSv2!$A$11</f>
        <v>Nivel de resolución:</v>
      </c>
      <c r="H360" s="31" t="s">
        <v>713</v>
      </c>
      <c r="I360" s="33"/>
      <c r="J360" s="23"/>
      <c r="K360" s="23"/>
      <c r="L360" s="24"/>
      <c r="M360" s="24"/>
      <c r="N360" s="24"/>
      <c r="O360" s="24"/>
    </row>
    <row r="361" customFormat="false" ht="15.75" hidden="false" customHeight="true" outlineLevel="0" collapsed="false">
      <c r="A361" s="23"/>
      <c r="B361" s="24"/>
      <c r="C361" s="24"/>
      <c r="D361" s="24"/>
      <c r="E361" s="24"/>
      <c r="F361" s="25"/>
      <c r="G361" s="30" t="str">
        <f aca="false">CVSSv2!$A$12</f>
        <v>Nivel de confianza:</v>
      </c>
      <c r="H361" s="31" t="s">
        <v>714</v>
      </c>
      <c r="I361" s="33"/>
      <c r="J361" s="23"/>
      <c r="K361" s="23"/>
      <c r="L361" s="24"/>
      <c r="M361" s="24"/>
      <c r="N361" s="24"/>
      <c r="O361" s="24"/>
    </row>
    <row r="362" customFormat="false" ht="15.75" hidden="false" customHeight="true" outlineLevel="0" collapsed="false">
      <c r="A362" s="23"/>
      <c r="B362" s="24"/>
      <c r="C362" s="24"/>
      <c r="D362" s="24"/>
      <c r="E362" s="24"/>
      <c r="F362" s="25"/>
      <c r="G362" s="32" t="str">
        <f aca="false">"("&amp;CVSSv2!$B$4&amp;":"&amp;IF(H353=CVSSv2!$C$4,CVSSv2!$C$26,IF(H353=CVSSv2!$D$4,CVSSv2!$D$26,IF(H353=CVSSv2!$E$4,CVSSv2!$E$26,"")))&amp;"/"&amp;CVSSv2!$B$5&amp;":"&amp;IF(H354=CVSSv2!$C$5,CVSSv2!$C$27,IF(H354=CVSSv2!$D$5,CVSSv2!$D$27,IF(H354=CVSSv2!$E$5,CVSSv2!$E$27,"")))&amp;"/"&amp;CVSSv2!$B$6&amp;":"&amp;IF(H355=CVSSv2!$C$6,CVSSv2!$C$28,IF(H355=CVSSv2!$D$6,CVSSv2!$D$28,IF(H355=CVSSv2!$E$6,CVSSv2!$E$28,"")))&amp;"/"&amp;CVSSv2!$B$7&amp;":"&amp;IF(H356=CVSSv2!$C$7,CVSSv2!$C$29,IF(H356=CVSSv2!$D$7,CVSSv2!$D$29,IF(H356=CVSSv2!$E$7,CVSSv2!$E$29,"")))&amp;"/"&amp;CVSSv2!$B$8&amp;":"&amp;IF(H357=CVSSv2!$C$8,CVSSv2!$C$30,IF(H357=CVSSv2!$D$8,CVSSv2!$D$30,IF(H357=CVSSv2!$E$8,CVSSv2!$E$30,"")))&amp;"/"&amp;CVSSv2!$B$9&amp;":"&amp;IF(H358=CVSSv2!$C$9,CVSSv2!$C$31,IF(H358=CVSSv2!$D$9,CVSSv2!$D$31,IF(H358=CVSSv2!$E$9,CVSSv2!$E$31,"")))&amp;"/"&amp;CVSSv2!$B$10&amp;":"&amp;IF(H359=CVSSv2!$C$10,CVSSv2!$C$32,IF(H359=CVSSv2!$D$10,CVSSv2!$D$32,IF(H359=CVSSv2!$E$10,CVSSv2!$E$32,IF(H359=CVSSv2!$F$10,CVSSv2!$F$32,""))))&amp;"/"&amp;CVSSv2!$B$11&amp;":"&amp;IF(H360=CVSSv2!$C$11,CVSSv2!$C$33,IF(H360=CVSSv2!$D$11,CVSSv2!$D$33,IF(H360=CVSSv2!$E$11,CVSSv2!$E$33,IF(H360=CVSSv2!$F$11,CVSSv2!$F$33,""))))&amp;"/"&amp;CVSSv2!$B$12&amp;":"&amp;IF(H361=CVSSv2!$C$12,CVSSv2!$C$34,IF(H361=CVSSv2!$D$12,CVSSv2!$D$34,IF(H361=CVSSv2!$E$12,CVSSv2!$E$34,"")))&amp;")"</f>
        <v>(AV:N/AC:L/Au:N/C:C/I:C/A:C/E:H/RL:W/RC:C)</v>
      </c>
      <c r="H362" s="32"/>
      <c r="I362" s="33"/>
      <c r="J362" s="23"/>
      <c r="K362" s="23"/>
      <c r="L362" s="24"/>
      <c r="M362" s="24"/>
      <c r="N362" s="24"/>
      <c r="O362" s="24"/>
    </row>
    <row r="363" customFormat="false" ht="15.75" hidden="false" customHeight="true" outlineLevel="0" collapsed="false">
      <c r="A363" s="23" t="n">
        <v>37</v>
      </c>
      <c r="B363" s="24" t="s">
        <v>750</v>
      </c>
      <c r="C363" s="24" t="s">
        <v>17</v>
      </c>
      <c r="D363" s="24" t="s">
        <v>17</v>
      </c>
      <c r="E363" s="24" t="s">
        <v>17</v>
      </c>
      <c r="F3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63" s="26" t="str">
        <f aca="false">CVSSv2!$A$4</f>
        <v>Vector de acceso:</v>
      </c>
      <c r="H363" s="27" t="s">
        <v>706</v>
      </c>
      <c r="I363" s="33" t="n">
        <f aca="false">ROUND(((0.6*(10.41*(1-(1-IF(H366=CVSSv2!$C$7,CVSSv2!$C$18,IF(H366=CVSSv2!$D$7,CVSSv2!$D$18,IF(H366=CVSSv2!$E$7,CVSSv2!$E$18,0))))*(1-IF(H367=CVSSv2!$C$8,CVSSv2!$C$19,IF(H367=CVSSv2!$D$8,CVSSv2!$D$19,IF(H367=CVSSv2!$E$8,CVSSv2!$E$19,0))))*(1-IF(H368=CVSSv2!$C$9,CVSSv2!$C$20,IF(H368=CVSSv2!$D$9,CVSSv2!$D$20,IF(H368=CVSSv2!$E$9,CVSSv2!$E$20,0))))))+0.4*(20*IF(H363=CVSSv2!$C$4,CVSSv2!$C$15,IF(H363=CVSSv2!$D$4,CVSSv2!$D$15,IF(H363=CVSSv2!$E$4,CVSSv2!$E$15,0)))*IF(H364=CVSSv2!$C$5,CVSSv2!$C$16,IF(H364=CVSSv2!$D$5,CVSSv2!$D$16,IF(H364=CVSSv2!$E$5,CVSSv2!$E$16,0)))*IF(H365=CVSSv2!$C$6,CVSSv2!$C$17,IF(H365=CVSSv2!$D$6,CVSSv2!$D$17,IF(H365=CVSSv2!$E$6,CVSSv2!$E$17,0))))-1.5)*(IF(10.41*(1-(1-IF(H366=CVSSv2!$C$7,CVSSv2!$C$18,IF(H366=CVSSv2!$D$7,CVSSv2!$D$18,IF(H366=CVSSv2!$E$7,CVSSv2!$E$18,0))))*(1-IF(H367=CVSSv2!$C$8,CVSSv2!$C$19,IF(H367=CVSSv2!$D$8,CVSSv2!$D$19,IF(H367=CVSSv2!$E$8,CVSSv2!$E$19,0))))*(1-IF(H368=CVSSv2!$C$9,CVSSv2!$C$20,IF(H368=CVSSv2!$D$9,CVSSv2!$D$20,IF(H368=CVSSv2!$E$9,CVSSv2!$E$20,0)))))=0,0,1.176)))*(IF(H369=CVSSv2!$C$10,CVSSv2!$C$21,IF(H369=CVSSv2!$D$10,CVSSv2!$D$21,IF(H369=CVSSv2!$E$10,CVSSv2!$E$21,IF(H369=CVSSv2!$F$10,CVSSv2!$F$21,0))))*IF(H370=CVSSv2!$C$11,CVSSv2!$C$22,IF(H370=CVSSv2!$D$11,CVSSv2!$D$22,IF(H370=CVSSv2!$E$11,CVSSv2!$E$22,IF(H370=CVSSv2!$F$11,CVSSv2!$F$22,0))))*IF(H371=CVSSv2!$C$12,CVSSv2!$C$23,IF(H371=CVSSv2!$D$12,CVSSv2!$D$23,IF(H371=CVSSv2!$E$12,CVSSv2!$E$23,0)))),1)</f>
        <v>9.5</v>
      </c>
      <c r="J363" s="23" t="n">
        <v>0</v>
      </c>
      <c r="K363" s="23" t="n">
        <v>0</v>
      </c>
      <c r="L363" s="24" t="s">
        <v>17</v>
      </c>
      <c r="M363" s="24" t="s">
        <v>17</v>
      </c>
      <c r="N363" s="24" t="s">
        <v>707</v>
      </c>
      <c r="O363" s="24" t="s">
        <v>708</v>
      </c>
    </row>
    <row r="364" customFormat="false" ht="15.75" hidden="false" customHeight="true" outlineLevel="0" collapsed="false">
      <c r="A364" s="23"/>
      <c r="B364" s="24"/>
      <c r="C364" s="24"/>
      <c r="D364" s="24"/>
      <c r="E364" s="24"/>
      <c r="F364" s="25"/>
      <c r="G364" s="30" t="str">
        <f aca="false">CVSSv2!$A$5</f>
        <v>Complejidad de acceso:</v>
      </c>
      <c r="H364" s="31" t="s">
        <v>709</v>
      </c>
      <c r="I364" s="33"/>
      <c r="J364" s="23"/>
      <c r="K364" s="23"/>
      <c r="L364" s="24"/>
      <c r="M364" s="24"/>
      <c r="N364" s="24"/>
      <c r="O364" s="24"/>
    </row>
    <row r="365" customFormat="false" ht="15.75" hidden="false" customHeight="true" outlineLevel="0" collapsed="false">
      <c r="A365" s="23"/>
      <c r="B365" s="24"/>
      <c r="C365" s="24"/>
      <c r="D365" s="24"/>
      <c r="E365" s="24"/>
      <c r="F365" s="25"/>
      <c r="G365" s="30" t="str">
        <f aca="false">CVSSv2!$A$6</f>
        <v>Autenticación:</v>
      </c>
      <c r="H365" s="31" t="s">
        <v>710</v>
      </c>
      <c r="I365" s="33"/>
      <c r="J365" s="23"/>
      <c r="K365" s="23"/>
      <c r="L365" s="24"/>
      <c r="M365" s="24"/>
      <c r="N365" s="24"/>
      <c r="O365" s="24"/>
    </row>
    <row r="366" customFormat="false" ht="15.75" hidden="false" customHeight="true" outlineLevel="0" collapsed="false">
      <c r="A366" s="23"/>
      <c r="B366" s="24"/>
      <c r="C366" s="24"/>
      <c r="D366" s="24"/>
      <c r="E366" s="24"/>
      <c r="F366" s="25"/>
      <c r="G366" s="30" t="str">
        <f aca="false">CVSSv2!$A$7</f>
        <v>Impacto a la confidencialidad:</v>
      </c>
      <c r="H366" s="31" t="s">
        <v>711</v>
      </c>
      <c r="I366" s="33"/>
      <c r="J366" s="23"/>
      <c r="K366" s="23"/>
      <c r="L366" s="24"/>
      <c r="M366" s="24"/>
      <c r="N366" s="24"/>
      <c r="O366" s="24"/>
    </row>
    <row r="367" customFormat="false" ht="15.75" hidden="false" customHeight="true" outlineLevel="0" collapsed="false">
      <c r="A367" s="23"/>
      <c r="B367" s="24"/>
      <c r="C367" s="24"/>
      <c r="D367" s="24"/>
      <c r="E367" s="24"/>
      <c r="F367" s="25"/>
      <c r="G367" s="30" t="str">
        <f aca="false">CVSSv2!$A$8</f>
        <v>Impacto a la integridad:</v>
      </c>
      <c r="H367" s="31" t="s">
        <v>711</v>
      </c>
      <c r="I367" s="33"/>
      <c r="J367" s="23"/>
      <c r="K367" s="23"/>
      <c r="L367" s="24"/>
      <c r="M367" s="24"/>
      <c r="N367" s="24"/>
      <c r="O367" s="24"/>
    </row>
    <row r="368" customFormat="false" ht="15.75" hidden="false" customHeight="true" outlineLevel="0" collapsed="false">
      <c r="A368" s="23"/>
      <c r="B368" s="24"/>
      <c r="C368" s="24"/>
      <c r="D368" s="24"/>
      <c r="E368" s="24"/>
      <c r="F368" s="25"/>
      <c r="G368" s="30" t="str">
        <f aca="false">CVSSv2!$A$9</f>
        <v>Impacto a la disponibilidad:</v>
      </c>
      <c r="H368" s="31" t="s">
        <v>711</v>
      </c>
      <c r="I368" s="33"/>
      <c r="J368" s="23"/>
      <c r="K368" s="23"/>
      <c r="L368" s="24"/>
      <c r="M368" s="24"/>
      <c r="N368" s="24"/>
      <c r="O368" s="24"/>
    </row>
    <row r="369" customFormat="false" ht="15.75" hidden="false" customHeight="true" outlineLevel="0" collapsed="false">
      <c r="A369" s="23"/>
      <c r="B369" s="24"/>
      <c r="C369" s="24"/>
      <c r="D369" s="24"/>
      <c r="E369" s="24"/>
      <c r="F369" s="25"/>
      <c r="G369" s="30" t="str">
        <f aca="false">CVSSv2!$A$10</f>
        <v>Explotabilidad:</v>
      </c>
      <c r="H369" s="31" t="s">
        <v>712</v>
      </c>
      <c r="I369" s="33"/>
      <c r="J369" s="23"/>
      <c r="K369" s="23"/>
      <c r="L369" s="24"/>
      <c r="M369" s="24"/>
      <c r="N369" s="24"/>
      <c r="O369" s="24"/>
    </row>
    <row r="370" customFormat="false" ht="15.75" hidden="false" customHeight="true" outlineLevel="0" collapsed="false">
      <c r="A370" s="23"/>
      <c r="B370" s="24"/>
      <c r="C370" s="24"/>
      <c r="D370" s="24"/>
      <c r="E370" s="24"/>
      <c r="F370" s="25"/>
      <c r="G370" s="30" t="str">
        <f aca="false">CVSSv2!$A$11</f>
        <v>Nivel de resolución:</v>
      </c>
      <c r="H370" s="31" t="s">
        <v>713</v>
      </c>
      <c r="I370" s="33"/>
      <c r="J370" s="23"/>
      <c r="K370" s="23"/>
      <c r="L370" s="24"/>
      <c r="M370" s="24"/>
      <c r="N370" s="24"/>
      <c r="O370" s="24"/>
    </row>
    <row r="371" customFormat="false" ht="15.75" hidden="false" customHeight="true" outlineLevel="0" collapsed="false">
      <c r="A371" s="23"/>
      <c r="B371" s="24"/>
      <c r="C371" s="24"/>
      <c r="D371" s="24"/>
      <c r="E371" s="24"/>
      <c r="F371" s="25"/>
      <c r="G371" s="30" t="str">
        <f aca="false">CVSSv2!$A$12</f>
        <v>Nivel de confianza:</v>
      </c>
      <c r="H371" s="31" t="s">
        <v>714</v>
      </c>
      <c r="I371" s="33"/>
      <c r="J371" s="23"/>
      <c r="K371" s="23"/>
      <c r="L371" s="24"/>
      <c r="M371" s="24"/>
      <c r="N371" s="24"/>
      <c r="O371" s="24"/>
    </row>
    <row r="372" customFormat="false" ht="15.75" hidden="false" customHeight="true" outlineLevel="0" collapsed="false">
      <c r="A372" s="23"/>
      <c r="B372" s="24"/>
      <c r="C372" s="24"/>
      <c r="D372" s="24"/>
      <c r="E372" s="24"/>
      <c r="F372" s="25"/>
      <c r="G372" s="32" t="str">
        <f aca="false">"("&amp;CVSSv2!$B$4&amp;":"&amp;IF(H363=CVSSv2!$C$4,CVSSv2!$C$26,IF(H363=CVSSv2!$D$4,CVSSv2!$D$26,IF(H363=CVSSv2!$E$4,CVSSv2!$E$26,"")))&amp;"/"&amp;CVSSv2!$B$5&amp;":"&amp;IF(H364=CVSSv2!$C$5,CVSSv2!$C$27,IF(H364=CVSSv2!$D$5,CVSSv2!$D$27,IF(H364=CVSSv2!$E$5,CVSSv2!$E$27,"")))&amp;"/"&amp;CVSSv2!$B$6&amp;":"&amp;IF(H365=CVSSv2!$C$6,CVSSv2!$C$28,IF(H365=CVSSv2!$D$6,CVSSv2!$D$28,IF(H365=CVSSv2!$E$6,CVSSv2!$E$28,"")))&amp;"/"&amp;CVSSv2!$B$7&amp;":"&amp;IF(H366=CVSSv2!$C$7,CVSSv2!$C$29,IF(H366=CVSSv2!$D$7,CVSSv2!$D$29,IF(H366=CVSSv2!$E$7,CVSSv2!$E$29,"")))&amp;"/"&amp;CVSSv2!$B$8&amp;":"&amp;IF(H367=CVSSv2!$C$8,CVSSv2!$C$30,IF(H367=CVSSv2!$D$8,CVSSv2!$D$30,IF(H367=CVSSv2!$E$8,CVSSv2!$E$30,"")))&amp;"/"&amp;CVSSv2!$B$9&amp;":"&amp;IF(H368=CVSSv2!$C$9,CVSSv2!$C$31,IF(H368=CVSSv2!$D$9,CVSSv2!$D$31,IF(H368=CVSSv2!$E$9,CVSSv2!$E$31,"")))&amp;"/"&amp;CVSSv2!$B$10&amp;":"&amp;IF(H369=CVSSv2!$C$10,CVSSv2!$C$32,IF(H369=CVSSv2!$D$10,CVSSv2!$D$32,IF(H369=CVSSv2!$E$10,CVSSv2!$E$32,IF(H369=CVSSv2!$F$10,CVSSv2!$F$32,""))))&amp;"/"&amp;CVSSv2!$B$11&amp;":"&amp;IF(H370=CVSSv2!$C$11,CVSSv2!$C$33,IF(H370=CVSSv2!$D$11,CVSSv2!$D$33,IF(H370=CVSSv2!$E$11,CVSSv2!$E$33,IF(H370=CVSSv2!$F$11,CVSSv2!$F$33,""))))&amp;"/"&amp;CVSSv2!$B$12&amp;":"&amp;IF(H371=CVSSv2!$C$12,CVSSv2!$C$34,IF(H371=CVSSv2!$D$12,CVSSv2!$D$34,IF(H371=CVSSv2!$E$12,CVSSv2!$E$34,"")))&amp;")"</f>
        <v>(AV:N/AC:L/Au:N/C:C/I:C/A:C/E:H/RL:W/RC:C)</v>
      </c>
      <c r="H372" s="32"/>
      <c r="I372" s="33"/>
      <c r="J372" s="23"/>
      <c r="K372" s="23"/>
      <c r="L372" s="24"/>
      <c r="M372" s="24"/>
      <c r="N372" s="24"/>
      <c r="O372" s="24"/>
    </row>
    <row r="373" customFormat="false" ht="15.75" hidden="false" customHeight="true" outlineLevel="0" collapsed="false">
      <c r="A373" s="23" t="n">
        <v>38</v>
      </c>
      <c r="B373" s="24" t="s">
        <v>751</v>
      </c>
      <c r="C373" s="24" t="s">
        <v>17</v>
      </c>
      <c r="D373" s="24" t="s">
        <v>17</v>
      </c>
      <c r="E373" s="24" t="s">
        <v>17</v>
      </c>
      <c r="F3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73" s="26" t="str">
        <f aca="false">CVSSv2!$A$4</f>
        <v>Vector de acceso:</v>
      </c>
      <c r="H373" s="27" t="s">
        <v>706</v>
      </c>
      <c r="I373" s="33" t="n">
        <f aca="false">ROUND(((0.6*(10.41*(1-(1-IF(H376=CVSSv2!$C$7,CVSSv2!$C$18,IF(H376=CVSSv2!$D$7,CVSSv2!$D$18,IF(H376=CVSSv2!$E$7,CVSSv2!$E$18,0))))*(1-IF(H377=CVSSv2!$C$8,CVSSv2!$C$19,IF(H377=CVSSv2!$D$8,CVSSv2!$D$19,IF(H377=CVSSv2!$E$8,CVSSv2!$E$19,0))))*(1-IF(H378=CVSSv2!$C$9,CVSSv2!$C$20,IF(H378=CVSSv2!$D$9,CVSSv2!$D$20,IF(H378=CVSSv2!$E$9,CVSSv2!$E$20,0))))))+0.4*(20*IF(H373=CVSSv2!$C$4,CVSSv2!$C$15,IF(H373=CVSSv2!$D$4,CVSSv2!$D$15,IF(H373=CVSSv2!$E$4,CVSSv2!$E$15,0)))*IF(H374=CVSSv2!$C$5,CVSSv2!$C$16,IF(H374=CVSSv2!$D$5,CVSSv2!$D$16,IF(H374=CVSSv2!$E$5,CVSSv2!$E$16,0)))*IF(H375=CVSSv2!$C$6,CVSSv2!$C$17,IF(H375=CVSSv2!$D$6,CVSSv2!$D$17,IF(H375=CVSSv2!$E$6,CVSSv2!$E$17,0))))-1.5)*(IF(10.41*(1-(1-IF(H376=CVSSv2!$C$7,CVSSv2!$C$18,IF(H376=CVSSv2!$D$7,CVSSv2!$D$18,IF(H376=CVSSv2!$E$7,CVSSv2!$E$18,0))))*(1-IF(H377=CVSSv2!$C$8,CVSSv2!$C$19,IF(H377=CVSSv2!$D$8,CVSSv2!$D$19,IF(H377=CVSSv2!$E$8,CVSSv2!$E$19,0))))*(1-IF(H378=CVSSv2!$C$9,CVSSv2!$C$20,IF(H378=CVSSv2!$D$9,CVSSv2!$D$20,IF(H378=CVSSv2!$E$9,CVSSv2!$E$20,0)))))=0,0,1.176)))*(IF(H379=CVSSv2!$C$10,CVSSv2!$C$21,IF(H379=CVSSv2!$D$10,CVSSv2!$D$21,IF(H379=CVSSv2!$E$10,CVSSv2!$E$21,IF(H379=CVSSv2!$F$10,CVSSv2!$F$21,0))))*IF(H380=CVSSv2!$C$11,CVSSv2!$C$22,IF(H380=CVSSv2!$D$11,CVSSv2!$D$22,IF(H380=CVSSv2!$E$11,CVSSv2!$E$22,IF(H380=CVSSv2!$F$11,CVSSv2!$F$22,0))))*IF(H381=CVSSv2!$C$12,CVSSv2!$C$23,IF(H381=CVSSv2!$D$12,CVSSv2!$D$23,IF(H381=CVSSv2!$E$12,CVSSv2!$E$23,0)))),1)</f>
        <v>9.5</v>
      </c>
      <c r="J373" s="23" t="n">
        <v>0</v>
      </c>
      <c r="K373" s="23" t="n">
        <v>0</v>
      </c>
      <c r="L373" s="24" t="s">
        <v>17</v>
      </c>
      <c r="M373" s="24" t="s">
        <v>17</v>
      </c>
      <c r="N373" s="24" t="s">
        <v>707</v>
      </c>
      <c r="O373" s="24" t="s">
        <v>708</v>
      </c>
    </row>
    <row r="374" customFormat="false" ht="15.75" hidden="false" customHeight="true" outlineLevel="0" collapsed="false">
      <c r="A374" s="23"/>
      <c r="B374" s="24"/>
      <c r="C374" s="24"/>
      <c r="D374" s="24"/>
      <c r="E374" s="24"/>
      <c r="F374" s="25"/>
      <c r="G374" s="30" t="str">
        <f aca="false">CVSSv2!$A$5</f>
        <v>Complejidad de acceso:</v>
      </c>
      <c r="H374" s="31" t="s">
        <v>709</v>
      </c>
      <c r="I374" s="33"/>
      <c r="J374" s="23"/>
      <c r="K374" s="23"/>
      <c r="L374" s="24"/>
      <c r="M374" s="24"/>
      <c r="N374" s="24"/>
      <c r="O374" s="24"/>
    </row>
    <row r="375" customFormat="false" ht="15.75" hidden="false" customHeight="true" outlineLevel="0" collapsed="false">
      <c r="A375" s="23"/>
      <c r="B375" s="24"/>
      <c r="C375" s="24"/>
      <c r="D375" s="24"/>
      <c r="E375" s="24"/>
      <c r="F375" s="25"/>
      <c r="G375" s="30" t="str">
        <f aca="false">CVSSv2!$A$6</f>
        <v>Autenticación:</v>
      </c>
      <c r="H375" s="31" t="s">
        <v>710</v>
      </c>
      <c r="I375" s="33"/>
      <c r="J375" s="23"/>
      <c r="K375" s="23"/>
      <c r="L375" s="24"/>
      <c r="M375" s="24"/>
      <c r="N375" s="24"/>
      <c r="O375" s="24"/>
    </row>
    <row r="376" customFormat="false" ht="15.75" hidden="false" customHeight="true" outlineLevel="0" collapsed="false">
      <c r="A376" s="23"/>
      <c r="B376" s="24"/>
      <c r="C376" s="24"/>
      <c r="D376" s="24"/>
      <c r="E376" s="24"/>
      <c r="F376" s="25"/>
      <c r="G376" s="30" t="str">
        <f aca="false">CVSSv2!$A$7</f>
        <v>Impacto a la confidencialidad:</v>
      </c>
      <c r="H376" s="31" t="s">
        <v>711</v>
      </c>
      <c r="I376" s="33"/>
      <c r="J376" s="23"/>
      <c r="K376" s="23"/>
      <c r="L376" s="24"/>
      <c r="M376" s="24"/>
      <c r="N376" s="24"/>
      <c r="O376" s="24"/>
    </row>
    <row r="377" customFormat="false" ht="15.75" hidden="false" customHeight="true" outlineLevel="0" collapsed="false">
      <c r="A377" s="23"/>
      <c r="B377" s="24"/>
      <c r="C377" s="24"/>
      <c r="D377" s="24"/>
      <c r="E377" s="24"/>
      <c r="F377" s="25"/>
      <c r="G377" s="30" t="str">
        <f aca="false">CVSSv2!$A$8</f>
        <v>Impacto a la integridad:</v>
      </c>
      <c r="H377" s="31" t="s">
        <v>711</v>
      </c>
      <c r="I377" s="33"/>
      <c r="J377" s="23"/>
      <c r="K377" s="23"/>
      <c r="L377" s="24"/>
      <c r="M377" s="24"/>
      <c r="N377" s="24"/>
      <c r="O377" s="24"/>
    </row>
    <row r="378" customFormat="false" ht="15.75" hidden="false" customHeight="true" outlineLevel="0" collapsed="false">
      <c r="A378" s="23"/>
      <c r="B378" s="24"/>
      <c r="C378" s="24"/>
      <c r="D378" s="24"/>
      <c r="E378" s="24"/>
      <c r="F378" s="25"/>
      <c r="G378" s="30" t="str">
        <f aca="false">CVSSv2!$A$9</f>
        <v>Impacto a la disponibilidad:</v>
      </c>
      <c r="H378" s="31" t="s">
        <v>711</v>
      </c>
      <c r="I378" s="33"/>
      <c r="J378" s="23"/>
      <c r="K378" s="23"/>
      <c r="L378" s="24"/>
      <c r="M378" s="24"/>
      <c r="N378" s="24"/>
      <c r="O378" s="24"/>
    </row>
    <row r="379" customFormat="false" ht="15.75" hidden="false" customHeight="true" outlineLevel="0" collapsed="false">
      <c r="A379" s="23"/>
      <c r="B379" s="24"/>
      <c r="C379" s="24"/>
      <c r="D379" s="24"/>
      <c r="E379" s="24"/>
      <c r="F379" s="25"/>
      <c r="G379" s="30" t="str">
        <f aca="false">CVSSv2!$A$10</f>
        <v>Explotabilidad:</v>
      </c>
      <c r="H379" s="31" t="s">
        <v>712</v>
      </c>
      <c r="I379" s="33"/>
      <c r="J379" s="23"/>
      <c r="K379" s="23"/>
      <c r="L379" s="24"/>
      <c r="M379" s="24"/>
      <c r="N379" s="24"/>
      <c r="O379" s="24"/>
    </row>
    <row r="380" customFormat="false" ht="15.75" hidden="false" customHeight="true" outlineLevel="0" collapsed="false">
      <c r="A380" s="23"/>
      <c r="B380" s="24"/>
      <c r="C380" s="24"/>
      <c r="D380" s="24"/>
      <c r="E380" s="24"/>
      <c r="F380" s="25"/>
      <c r="G380" s="30" t="str">
        <f aca="false">CVSSv2!$A$11</f>
        <v>Nivel de resolución:</v>
      </c>
      <c r="H380" s="31" t="s">
        <v>713</v>
      </c>
      <c r="I380" s="33"/>
      <c r="J380" s="23"/>
      <c r="K380" s="23"/>
      <c r="L380" s="24"/>
      <c r="M380" s="24"/>
      <c r="N380" s="24"/>
      <c r="O380" s="24"/>
    </row>
    <row r="381" customFormat="false" ht="15.75" hidden="false" customHeight="true" outlineLevel="0" collapsed="false">
      <c r="A381" s="23"/>
      <c r="B381" s="24"/>
      <c r="C381" s="24"/>
      <c r="D381" s="24"/>
      <c r="E381" s="24"/>
      <c r="F381" s="25"/>
      <c r="G381" s="30" t="str">
        <f aca="false">CVSSv2!$A$12</f>
        <v>Nivel de confianza:</v>
      </c>
      <c r="H381" s="31" t="s">
        <v>714</v>
      </c>
      <c r="I381" s="33"/>
      <c r="J381" s="23"/>
      <c r="K381" s="23"/>
      <c r="L381" s="24"/>
      <c r="M381" s="24"/>
      <c r="N381" s="24"/>
      <c r="O381" s="24"/>
    </row>
    <row r="382" customFormat="false" ht="15.75" hidden="false" customHeight="true" outlineLevel="0" collapsed="false">
      <c r="A382" s="23"/>
      <c r="B382" s="24"/>
      <c r="C382" s="24"/>
      <c r="D382" s="24"/>
      <c r="E382" s="24"/>
      <c r="F382" s="25"/>
      <c r="G382" s="32" t="str">
        <f aca="false">"("&amp;CVSSv2!$B$4&amp;":"&amp;IF(H373=CVSSv2!$C$4,CVSSv2!$C$26,IF(H373=CVSSv2!$D$4,CVSSv2!$D$26,IF(H373=CVSSv2!$E$4,CVSSv2!$E$26,"")))&amp;"/"&amp;CVSSv2!$B$5&amp;":"&amp;IF(H374=CVSSv2!$C$5,CVSSv2!$C$27,IF(H374=CVSSv2!$D$5,CVSSv2!$D$27,IF(H374=CVSSv2!$E$5,CVSSv2!$E$27,"")))&amp;"/"&amp;CVSSv2!$B$6&amp;":"&amp;IF(H375=CVSSv2!$C$6,CVSSv2!$C$28,IF(H375=CVSSv2!$D$6,CVSSv2!$D$28,IF(H375=CVSSv2!$E$6,CVSSv2!$E$28,"")))&amp;"/"&amp;CVSSv2!$B$7&amp;":"&amp;IF(H376=CVSSv2!$C$7,CVSSv2!$C$29,IF(H376=CVSSv2!$D$7,CVSSv2!$D$29,IF(H376=CVSSv2!$E$7,CVSSv2!$E$29,"")))&amp;"/"&amp;CVSSv2!$B$8&amp;":"&amp;IF(H377=CVSSv2!$C$8,CVSSv2!$C$30,IF(H377=CVSSv2!$D$8,CVSSv2!$D$30,IF(H377=CVSSv2!$E$8,CVSSv2!$E$30,"")))&amp;"/"&amp;CVSSv2!$B$9&amp;":"&amp;IF(H378=CVSSv2!$C$9,CVSSv2!$C$31,IF(H378=CVSSv2!$D$9,CVSSv2!$D$31,IF(H378=CVSSv2!$E$9,CVSSv2!$E$31,"")))&amp;"/"&amp;CVSSv2!$B$10&amp;":"&amp;IF(H379=CVSSv2!$C$10,CVSSv2!$C$32,IF(H379=CVSSv2!$D$10,CVSSv2!$D$32,IF(H379=CVSSv2!$E$10,CVSSv2!$E$32,IF(H379=CVSSv2!$F$10,CVSSv2!$F$32,""))))&amp;"/"&amp;CVSSv2!$B$11&amp;":"&amp;IF(H380=CVSSv2!$C$11,CVSSv2!$C$33,IF(H380=CVSSv2!$D$11,CVSSv2!$D$33,IF(H380=CVSSv2!$E$11,CVSSv2!$E$33,IF(H380=CVSSv2!$F$11,CVSSv2!$F$33,""))))&amp;"/"&amp;CVSSv2!$B$12&amp;":"&amp;IF(H381=CVSSv2!$C$12,CVSSv2!$C$34,IF(H381=CVSSv2!$D$12,CVSSv2!$D$34,IF(H381=CVSSv2!$E$12,CVSSv2!$E$34,"")))&amp;")"</f>
        <v>(AV:N/AC:L/Au:N/C:C/I:C/A:C/E:H/RL:W/RC:C)</v>
      </c>
      <c r="H382" s="32"/>
      <c r="I382" s="33"/>
      <c r="J382" s="23"/>
      <c r="K382" s="23"/>
      <c r="L382" s="24"/>
      <c r="M382" s="24"/>
      <c r="N382" s="24"/>
      <c r="O382" s="24"/>
    </row>
    <row r="383" customFormat="false" ht="15.75" hidden="false" customHeight="true" outlineLevel="0" collapsed="false">
      <c r="A383" s="23" t="n">
        <v>39</v>
      </c>
      <c r="B383" s="24" t="s">
        <v>752</v>
      </c>
      <c r="C383" s="24" t="s">
        <v>17</v>
      </c>
      <c r="D383" s="24" t="s">
        <v>17</v>
      </c>
      <c r="E383" s="24" t="s">
        <v>17</v>
      </c>
      <c r="F3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83" s="26" t="str">
        <f aca="false">CVSSv2!$A$4</f>
        <v>Vector de acceso:</v>
      </c>
      <c r="H383" s="27" t="s">
        <v>706</v>
      </c>
      <c r="I383" s="33" t="n">
        <f aca="false">ROUND(((0.6*(10.41*(1-(1-IF(H386=CVSSv2!$C$7,CVSSv2!$C$18,IF(H386=CVSSv2!$D$7,CVSSv2!$D$18,IF(H386=CVSSv2!$E$7,CVSSv2!$E$18,0))))*(1-IF(H387=CVSSv2!$C$8,CVSSv2!$C$19,IF(H387=CVSSv2!$D$8,CVSSv2!$D$19,IF(H387=CVSSv2!$E$8,CVSSv2!$E$19,0))))*(1-IF(H388=CVSSv2!$C$9,CVSSv2!$C$20,IF(H388=CVSSv2!$D$9,CVSSv2!$D$20,IF(H388=CVSSv2!$E$9,CVSSv2!$E$20,0))))))+0.4*(20*IF(H383=CVSSv2!$C$4,CVSSv2!$C$15,IF(H383=CVSSv2!$D$4,CVSSv2!$D$15,IF(H383=CVSSv2!$E$4,CVSSv2!$E$15,0)))*IF(H384=CVSSv2!$C$5,CVSSv2!$C$16,IF(H384=CVSSv2!$D$5,CVSSv2!$D$16,IF(H384=CVSSv2!$E$5,CVSSv2!$E$16,0)))*IF(H385=CVSSv2!$C$6,CVSSv2!$C$17,IF(H385=CVSSv2!$D$6,CVSSv2!$D$17,IF(H385=CVSSv2!$E$6,CVSSv2!$E$17,0))))-1.5)*(IF(10.41*(1-(1-IF(H386=CVSSv2!$C$7,CVSSv2!$C$18,IF(H386=CVSSv2!$D$7,CVSSv2!$D$18,IF(H386=CVSSv2!$E$7,CVSSv2!$E$18,0))))*(1-IF(H387=CVSSv2!$C$8,CVSSv2!$C$19,IF(H387=CVSSv2!$D$8,CVSSv2!$D$19,IF(H387=CVSSv2!$E$8,CVSSv2!$E$19,0))))*(1-IF(H388=CVSSv2!$C$9,CVSSv2!$C$20,IF(H388=CVSSv2!$D$9,CVSSv2!$D$20,IF(H388=CVSSv2!$E$9,CVSSv2!$E$20,0)))))=0,0,1.176)))*(IF(H389=CVSSv2!$C$10,CVSSv2!$C$21,IF(H389=CVSSv2!$D$10,CVSSv2!$D$21,IF(H389=CVSSv2!$E$10,CVSSv2!$E$21,IF(H389=CVSSv2!$F$10,CVSSv2!$F$21,0))))*IF(H390=CVSSv2!$C$11,CVSSv2!$C$22,IF(H390=CVSSv2!$D$11,CVSSv2!$D$22,IF(H390=CVSSv2!$E$11,CVSSv2!$E$22,IF(H390=CVSSv2!$F$11,CVSSv2!$F$22,0))))*IF(H391=CVSSv2!$C$12,CVSSv2!$C$23,IF(H391=CVSSv2!$D$12,CVSSv2!$D$23,IF(H391=CVSSv2!$E$12,CVSSv2!$E$23,0)))),1)</f>
        <v>9.5</v>
      </c>
      <c r="J383" s="23" t="n">
        <v>0</v>
      </c>
      <c r="K383" s="23" t="n">
        <v>0</v>
      </c>
      <c r="L383" s="24" t="s">
        <v>17</v>
      </c>
      <c r="M383" s="24" t="s">
        <v>17</v>
      </c>
      <c r="N383" s="24" t="s">
        <v>707</v>
      </c>
      <c r="O383" s="24" t="s">
        <v>708</v>
      </c>
    </row>
    <row r="384" customFormat="false" ht="15.75" hidden="false" customHeight="true" outlineLevel="0" collapsed="false">
      <c r="A384" s="23"/>
      <c r="B384" s="24"/>
      <c r="C384" s="24"/>
      <c r="D384" s="24"/>
      <c r="E384" s="24"/>
      <c r="F384" s="25"/>
      <c r="G384" s="30" t="str">
        <f aca="false">CVSSv2!$A$5</f>
        <v>Complejidad de acceso:</v>
      </c>
      <c r="H384" s="31" t="s">
        <v>709</v>
      </c>
      <c r="I384" s="33"/>
      <c r="J384" s="23"/>
      <c r="K384" s="23"/>
      <c r="L384" s="24"/>
      <c r="M384" s="24"/>
      <c r="N384" s="24"/>
      <c r="O384" s="24"/>
    </row>
    <row r="385" customFormat="false" ht="15.75" hidden="false" customHeight="true" outlineLevel="0" collapsed="false">
      <c r="A385" s="23"/>
      <c r="B385" s="24"/>
      <c r="C385" s="24"/>
      <c r="D385" s="24"/>
      <c r="E385" s="24"/>
      <c r="F385" s="25"/>
      <c r="G385" s="30" t="str">
        <f aca="false">CVSSv2!$A$6</f>
        <v>Autenticación:</v>
      </c>
      <c r="H385" s="31" t="s">
        <v>710</v>
      </c>
      <c r="I385" s="33"/>
      <c r="J385" s="23"/>
      <c r="K385" s="23"/>
      <c r="L385" s="24"/>
      <c r="M385" s="24"/>
      <c r="N385" s="24"/>
      <c r="O385" s="24"/>
    </row>
    <row r="386" customFormat="false" ht="15.75" hidden="false" customHeight="true" outlineLevel="0" collapsed="false">
      <c r="A386" s="23"/>
      <c r="B386" s="24"/>
      <c r="C386" s="24"/>
      <c r="D386" s="24"/>
      <c r="E386" s="24"/>
      <c r="F386" s="25"/>
      <c r="G386" s="30" t="str">
        <f aca="false">CVSSv2!$A$7</f>
        <v>Impacto a la confidencialidad:</v>
      </c>
      <c r="H386" s="31" t="s">
        <v>711</v>
      </c>
      <c r="I386" s="33"/>
      <c r="J386" s="23"/>
      <c r="K386" s="23"/>
      <c r="L386" s="24"/>
      <c r="M386" s="24"/>
      <c r="N386" s="24"/>
      <c r="O386" s="24"/>
    </row>
    <row r="387" customFormat="false" ht="15.75" hidden="false" customHeight="true" outlineLevel="0" collapsed="false">
      <c r="A387" s="23"/>
      <c r="B387" s="24"/>
      <c r="C387" s="24"/>
      <c r="D387" s="24"/>
      <c r="E387" s="24"/>
      <c r="F387" s="25"/>
      <c r="G387" s="30" t="str">
        <f aca="false">CVSSv2!$A$8</f>
        <v>Impacto a la integridad:</v>
      </c>
      <c r="H387" s="31" t="s">
        <v>711</v>
      </c>
      <c r="I387" s="33"/>
      <c r="J387" s="23"/>
      <c r="K387" s="23"/>
      <c r="L387" s="24"/>
      <c r="M387" s="24"/>
      <c r="N387" s="24"/>
      <c r="O387" s="24"/>
    </row>
    <row r="388" customFormat="false" ht="15.75" hidden="false" customHeight="true" outlineLevel="0" collapsed="false">
      <c r="A388" s="23"/>
      <c r="B388" s="24"/>
      <c r="C388" s="24"/>
      <c r="D388" s="24"/>
      <c r="E388" s="24"/>
      <c r="F388" s="25"/>
      <c r="G388" s="30" t="str">
        <f aca="false">CVSSv2!$A$9</f>
        <v>Impacto a la disponibilidad:</v>
      </c>
      <c r="H388" s="31" t="s">
        <v>711</v>
      </c>
      <c r="I388" s="33"/>
      <c r="J388" s="23"/>
      <c r="K388" s="23"/>
      <c r="L388" s="24"/>
      <c r="M388" s="24"/>
      <c r="N388" s="24"/>
      <c r="O388" s="24"/>
    </row>
    <row r="389" customFormat="false" ht="15.75" hidden="false" customHeight="true" outlineLevel="0" collapsed="false">
      <c r="A389" s="23"/>
      <c r="B389" s="24"/>
      <c r="C389" s="24"/>
      <c r="D389" s="24"/>
      <c r="E389" s="24"/>
      <c r="F389" s="25"/>
      <c r="G389" s="30" t="str">
        <f aca="false">CVSSv2!$A$10</f>
        <v>Explotabilidad:</v>
      </c>
      <c r="H389" s="31" t="s">
        <v>712</v>
      </c>
      <c r="I389" s="33"/>
      <c r="J389" s="23"/>
      <c r="K389" s="23"/>
      <c r="L389" s="24"/>
      <c r="M389" s="24"/>
      <c r="N389" s="24"/>
      <c r="O389" s="24"/>
    </row>
    <row r="390" customFormat="false" ht="15.75" hidden="false" customHeight="true" outlineLevel="0" collapsed="false">
      <c r="A390" s="23"/>
      <c r="B390" s="24"/>
      <c r="C390" s="24"/>
      <c r="D390" s="24"/>
      <c r="E390" s="24"/>
      <c r="F390" s="25"/>
      <c r="G390" s="30" t="str">
        <f aca="false">CVSSv2!$A$11</f>
        <v>Nivel de resolución:</v>
      </c>
      <c r="H390" s="31" t="s">
        <v>713</v>
      </c>
      <c r="I390" s="33"/>
      <c r="J390" s="23"/>
      <c r="K390" s="23"/>
      <c r="L390" s="24"/>
      <c r="M390" s="24"/>
      <c r="N390" s="24"/>
      <c r="O390" s="24"/>
    </row>
    <row r="391" customFormat="false" ht="15.75" hidden="false" customHeight="true" outlineLevel="0" collapsed="false">
      <c r="A391" s="23"/>
      <c r="B391" s="24"/>
      <c r="C391" s="24"/>
      <c r="D391" s="24"/>
      <c r="E391" s="24"/>
      <c r="F391" s="25"/>
      <c r="G391" s="30" t="str">
        <f aca="false">CVSSv2!$A$12</f>
        <v>Nivel de confianza:</v>
      </c>
      <c r="H391" s="31" t="s">
        <v>714</v>
      </c>
      <c r="I391" s="33"/>
      <c r="J391" s="23"/>
      <c r="K391" s="23"/>
      <c r="L391" s="24"/>
      <c r="M391" s="24"/>
      <c r="N391" s="24"/>
      <c r="O391" s="24"/>
    </row>
    <row r="392" customFormat="false" ht="15.75" hidden="false" customHeight="true" outlineLevel="0" collapsed="false">
      <c r="A392" s="23"/>
      <c r="B392" s="24"/>
      <c r="C392" s="24"/>
      <c r="D392" s="24"/>
      <c r="E392" s="24"/>
      <c r="F392" s="25"/>
      <c r="G392" s="32" t="str">
        <f aca="false">"("&amp;CVSSv2!$B$4&amp;":"&amp;IF(H383=CVSSv2!$C$4,CVSSv2!$C$26,IF(H383=CVSSv2!$D$4,CVSSv2!$D$26,IF(H383=CVSSv2!$E$4,CVSSv2!$E$26,"")))&amp;"/"&amp;CVSSv2!$B$5&amp;":"&amp;IF(H384=CVSSv2!$C$5,CVSSv2!$C$27,IF(H384=CVSSv2!$D$5,CVSSv2!$D$27,IF(H384=CVSSv2!$E$5,CVSSv2!$E$27,"")))&amp;"/"&amp;CVSSv2!$B$6&amp;":"&amp;IF(H385=CVSSv2!$C$6,CVSSv2!$C$28,IF(H385=CVSSv2!$D$6,CVSSv2!$D$28,IF(H385=CVSSv2!$E$6,CVSSv2!$E$28,"")))&amp;"/"&amp;CVSSv2!$B$7&amp;":"&amp;IF(H386=CVSSv2!$C$7,CVSSv2!$C$29,IF(H386=CVSSv2!$D$7,CVSSv2!$D$29,IF(H386=CVSSv2!$E$7,CVSSv2!$E$29,"")))&amp;"/"&amp;CVSSv2!$B$8&amp;":"&amp;IF(H387=CVSSv2!$C$8,CVSSv2!$C$30,IF(H387=CVSSv2!$D$8,CVSSv2!$D$30,IF(H387=CVSSv2!$E$8,CVSSv2!$E$30,"")))&amp;"/"&amp;CVSSv2!$B$9&amp;":"&amp;IF(H388=CVSSv2!$C$9,CVSSv2!$C$31,IF(H388=CVSSv2!$D$9,CVSSv2!$D$31,IF(H388=CVSSv2!$E$9,CVSSv2!$E$31,"")))&amp;"/"&amp;CVSSv2!$B$10&amp;":"&amp;IF(H389=CVSSv2!$C$10,CVSSv2!$C$32,IF(H389=CVSSv2!$D$10,CVSSv2!$D$32,IF(H389=CVSSv2!$E$10,CVSSv2!$E$32,IF(H389=CVSSv2!$F$10,CVSSv2!$F$32,""))))&amp;"/"&amp;CVSSv2!$B$11&amp;":"&amp;IF(H390=CVSSv2!$C$11,CVSSv2!$C$33,IF(H390=CVSSv2!$D$11,CVSSv2!$D$33,IF(H390=CVSSv2!$E$11,CVSSv2!$E$33,IF(H390=CVSSv2!$F$11,CVSSv2!$F$33,""))))&amp;"/"&amp;CVSSv2!$B$12&amp;":"&amp;IF(H391=CVSSv2!$C$12,CVSSv2!$C$34,IF(H391=CVSSv2!$D$12,CVSSv2!$D$34,IF(H391=CVSSv2!$E$12,CVSSv2!$E$34,"")))&amp;")"</f>
        <v>(AV:N/AC:L/Au:N/C:C/I:C/A:C/E:H/RL:W/RC:C)</v>
      </c>
      <c r="H392" s="32"/>
      <c r="I392" s="33"/>
      <c r="J392" s="23"/>
      <c r="K392" s="23"/>
      <c r="L392" s="24"/>
      <c r="M392" s="24"/>
      <c r="N392" s="24"/>
      <c r="O392" s="24"/>
    </row>
    <row r="393" customFormat="false" ht="15.75" hidden="false" customHeight="true" outlineLevel="0" collapsed="false">
      <c r="A393" s="23" t="n">
        <v>40</v>
      </c>
      <c r="B393" s="24" t="s">
        <v>753</v>
      </c>
      <c r="C393" s="24" t="s">
        <v>17</v>
      </c>
      <c r="D393" s="24" t="s">
        <v>17</v>
      </c>
      <c r="E393" s="24" t="s">
        <v>17</v>
      </c>
      <c r="F3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3" s="26" t="str">
        <f aca="false">CVSSv2!$A$4</f>
        <v>Vector de acceso:</v>
      </c>
      <c r="H393" s="27" t="s">
        <v>706</v>
      </c>
      <c r="I393" s="33" t="n">
        <f aca="false">ROUND(((0.6*(10.41*(1-(1-IF(H396=CVSSv2!$C$7,CVSSv2!$C$18,IF(H396=CVSSv2!$D$7,CVSSv2!$D$18,IF(H396=CVSSv2!$E$7,CVSSv2!$E$18,0))))*(1-IF(H397=CVSSv2!$C$8,CVSSv2!$C$19,IF(H397=CVSSv2!$D$8,CVSSv2!$D$19,IF(H397=CVSSv2!$E$8,CVSSv2!$E$19,0))))*(1-IF(H398=CVSSv2!$C$9,CVSSv2!$C$20,IF(H398=CVSSv2!$D$9,CVSSv2!$D$20,IF(H398=CVSSv2!$E$9,CVSSv2!$E$20,0))))))+0.4*(20*IF(H393=CVSSv2!$C$4,CVSSv2!$C$15,IF(H393=CVSSv2!$D$4,CVSSv2!$D$15,IF(H393=CVSSv2!$E$4,CVSSv2!$E$15,0)))*IF(H394=CVSSv2!$C$5,CVSSv2!$C$16,IF(H394=CVSSv2!$D$5,CVSSv2!$D$16,IF(H394=CVSSv2!$E$5,CVSSv2!$E$16,0)))*IF(H395=CVSSv2!$C$6,CVSSv2!$C$17,IF(H395=CVSSv2!$D$6,CVSSv2!$D$17,IF(H395=CVSSv2!$E$6,CVSSv2!$E$17,0))))-1.5)*(IF(10.41*(1-(1-IF(H396=CVSSv2!$C$7,CVSSv2!$C$18,IF(H396=CVSSv2!$D$7,CVSSv2!$D$18,IF(H396=CVSSv2!$E$7,CVSSv2!$E$18,0))))*(1-IF(H397=CVSSv2!$C$8,CVSSv2!$C$19,IF(H397=CVSSv2!$D$8,CVSSv2!$D$19,IF(H397=CVSSv2!$E$8,CVSSv2!$E$19,0))))*(1-IF(H398=CVSSv2!$C$9,CVSSv2!$C$20,IF(H398=CVSSv2!$D$9,CVSSv2!$D$20,IF(H398=CVSSv2!$E$9,CVSSv2!$E$20,0)))))=0,0,1.176)))*(IF(H399=CVSSv2!$C$10,CVSSv2!$C$21,IF(H399=CVSSv2!$D$10,CVSSv2!$D$21,IF(H399=CVSSv2!$E$10,CVSSv2!$E$21,IF(H399=CVSSv2!$F$10,CVSSv2!$F$21,0))))*IF(H400=CVSSv2!$C$11,CVSSv2!$C$22,IF(H400=CVSSv2!$D$11,CVSSv2!$D$22,IF(H400=CVSSv2!$E$11,CVSSv2!$E$22,IF(H400=CVSSv2!$F$11,CVSSv2!$F$22,0))))*IF(H401=CVSSv2!$C$12,CVSSv2!$C$23,IF(H401=CVSSv2!$D$12,CVSSv2!$D$23,IF(H401=CVSSv2!$E$12,CVSSv2!$E$23,0)))),1)</f>
        <v>9.5</v>
      </c>
      <c r="J393" s="23" t="n">
        <v>0</v>
      </c>
      <c r="K393" s="23" t="n">
        <v>0</v>
      </c>
      <c r="L393" s="24" t="s">
        <v>17</v>
      </c>
      <c r="M393" s="24" t="s">
        <v>17</v>
      </c>
      <c r="N393" s="24" t="s">
        <v>707</v>
      </c>
      <c r="O393" s="24" t="s">
        <v>708</v>
      </c>
    </row>
    <row r="394" customFormat="false" ht="15.75" hidden="false" customHeight="true" outlineLevel="0" collapsed="false">
      <c r="A394" s="23"/>
      <c r="B394" s="24"/>
      <c r="C394" s="24"/>
      <c r="D394" s="24"/>
      <c r="E394" s="24"/>
      <c r="F394" s="25"/>
      <c r="G394" s="30" t="str">
        <f aca="false">CVSSv2!$A$5</f>
        <v>Complejidad de acceso:</v>
      </c>
      <c r="H394" s="31" t="s">
        <v>709</v>
      </c>
      <c r="I394" s="33"/>
      <c r="J394" s="23"/>
      <c r="K394" s="23"/>
      <c r="L394" s="24"/>
      <c r="M394" s="24"/>
      <c r="N394" s="24"/>
      <c r="O394" s="24"/>
    </row>
    <row r="395" customFormat="false" ht="15.75" hidden="false" customHeight="true" outlineLevel="0" collapsed="false">
      <c r="A395" s="23"/>
      <c r="B395" s="24"/>
      <c r="C395" s="24"/>
      <c r="D395" s="24"/>
      <c r="E395" s="24"/>
      <c r="F395" s="25"/>
      <c r="G395" s="30" t="str">
        <f aca="false">CVSSv2!$A$6</f>
        <v>Autenticación:</v>
      </c>
      <c r="H395" s="31" t="s">
        <v>710</v>
      </c>
      <c r="I395" s="33"/>
      <c r="J395" s="23"/>
      <c r="K395" s="23"/>
      <c r="L395" s="24"/>
      <c r="M395" s="24"/>
      <c r="N395" s="24"/>
      <c r="O395" s="24"/>
    </row>
    <row r="396" customFormat="false" ht="15.75" hidden="false" customHeight="true" outlineLevel="0" collapsed="false">
      <c r="A396" s="23"/>
      <c r="B396" s="24"/>
      <c r="C396" s="24"/>
      <c r="D396" s="24"/>
      <c r="E396" s="24"/>
      <c r="F396" s="25"/>
      <c r="G396" s="30" t="str">
        <f aca="false">CVSSv2!$A$7</f>
        <v>Impacto a la confidencialidad:</v>
      </c>
      <c r="H396" s="31" t="s">
        <v>711</v>
      </c>
      <c r="I396" s="33"/>
      <c r="J396" s="23"/>
      <c r="K396" s="23"/>
      <c r="L396" s="24"/>
      <c r="M396" s="24"/>
      <c r="N396" s="24"/>
      <c r="O396" s="24"/>
    </row>
    <row r="397" customFormat="false" ht="15.75" hidden="false" customHeight="true" outlineLevel="0" collapsed="false">
      <c r="A397" s="23"/>
      <c r="B397" s="24"/>
      <c r="C397" s="24"/>
      <c r="D397" s="24"/>
      <c r="E397" s="24"/>
      <c r="F397" s="25"/>
      <c r="G397" s="30" t="str">
        <f aca="false">CVSSv2!$A$8</f>
        <v>Impacto a la integridad:</v>
      </c>
      <c r="H397" s="31" t="s">
        <v>711</v>
      </c>
      <c r="I397" s="33"/>
      <c r="J397" s="23"/>
      <c r="K397" s="23"/>
      <c r="L397" s="24"/>
      <c r="M397" s="24"/>
      <c r="N397" s="24"/>
      <c r="O397" s="24"/>
    </row>
    <row r="398" customFormat="false" ht="15.75" hidden="false" customHeight="true" outlineLevel="0" collapsed="false">
      <c r="A398" s="23"/>
      <c r="B398" s="24"/>
      <c r="C398" s="24"/>
      <c r="D398" s="24"/>
      <c r="E398" s="24"/>
      <c r="F398" s="25"/>
      <c r="G398" s="30" t="str">
        <f aca="false">CVSSv2!$A$9</f>
        <v>Impacto a la disponibilidad:</v>
      </c>
      <c r="H398" s="31" t="s">
        <v>711</v>
      </c>
      <c r="I398" s="33"/>
      <c r="J398" s="23"/>
      <c r="K398" s="23"/>
      <c r="L398" s="24"/>
      <c r="M398" s="24"/>
      <c r="N398" s="24"/>
      <c r="O398" s="24"/>
    </row>
    <row r="399" customFormat="false" ht="15.75" hidden="false" customHeight="true" outlineLevel="0" collapsed="false">
      <c r="A399" s="23"/>
      <c r="B399" s="24"/>
      <c r="C399" s="24"/>
      <c r="D399" s="24"/>
      <c r="E399" s="24"/>
      <c r="F399" s="25"/>
      <c r="G399" s="30" t="str">
        <f aca="false">CVSSv2!$A$10</f>
        <v>Explotabilidad:</v>
      </c>
      <c r="H399" s="31" t="s">
        <v>712</v>
      </c>
      <c r="I399" s="33"/>
      <c r="J399" s="23"/>
      <c r="K399" s="23"/>
      <c r="L399" s="24"/>
      <c r="M399" s="24"/>
      <c r="N399" s="24"/>
      <c r="O399" s="24"/>
    </row>
    <row r="400" customFormat="false" ht="15.75" hidden="false" customHeight="true" outlineLevel="0" collapsed="false">
      <c r="A400" s="23"/>
      <c r="B400" s="24"/>
      <c r="C400" s="24"/>
      <c r="D400" s="24"/>
      <c r="E400" s="24"/>
      <c r="F400" s="25"/>
      <c r="G400" s="30" t="str">
        <f aca="false">CVSSv2!$A$11</f>
        <v>Nivel de resolución:</v>
      </c>
      <c r="H400" s="31" t="s">
        <v>713</v>
      </c>
      <c r="I400" s="33"/>
      <c r="J400" s="23"/>
      <c r="K400" s="23"/>
      <c r="L400" s="24"/>
      <c r="M400" s="24"/>
      <c r="N400" s="24"/>
      <c r="O400" s="24"/>
    </row>
    <row r="401" customFormat="false" ht="15.75" hidden="false" customHeight="true" outlineLevel="0" collapsed="false">
      <c r="A401" s="23"/>
      <c r="B401" s="24"/>
      <c r="C401" s="24"/>
      <c r="D401" s="24"/>
      <c r="E401" s="24"/>
      <c r="F401" s="25"/>
      <c r="G401" s="30" t="str">
        <f aca="false">CVSSv2!$A$12</f>
        <v>Nivel de confianza:</v>
      </c>
      <c r="H401" s="31" t="s">
        <v>714</v>
      </c>
      <c r="I401" s="33"/>
      <c r="J401" s="23"/>
      <c r="K401" s="23"/>
      <c r="L401" s="24"/>
      <c r="M401" s="24"/>
      <c r="N401" s="24"/>
      <c r="O401" s="24"/>
    </row>
    <row r="402" customFormat="false" ht="15.75" hidden="false" customHeight="true" outlineLevel="0" collapsed="false">
      <c r="A402" s="23"/>
      <c r="B402" s="24"/>
      <c r="C402" s="24"/>
      <c r="D402" s="24"/>
      <c r="E402" s="24"/>
      <c r="F402" s="25"/>
      <c r="G402" s="32" t="str">
        <f aca="false">"("&amp;CVSSv2!$B$4&amp;":"&amp;IF(H393=CVSSv2!$C$4,CVSSv2!$C$26,IF(H393=CVSSv2!$D$4,CVSSv2!$D$26,IF(H393=CVSSv2!$E$4,CVSSv2!$E$26,"")))&amp;"/"&amp;CVSSv2!$B$5&amp;":"&amp;IF(H394=CVSSv2!$C$5,CVSSv2!$C$27,IF(H394=CVSSv2!$D$5,CVSSv2!$D$27,IF(H394=CVSSv2!$E$5,CVSSv2!$E$27,"")))&amp;"/"&amp;CVSSv2!$B$6&amp;":"&amp;IF(H395=CVSSv2!$C$6,CVSSv2!$C$28,IF(H395=CVSSv2!$D$6,CVSSv2!$D$28,IF(H395=CVSSv2!$E$6,CVSSv2!$E$28,"")))&amp;"/"&amp;CVSSv2!$B$7&amp;":"&amp;IF(H396=CVSSv2!$C$7,CVSSv2!$C$29,IF(H396=CVSSv2!$D$7,CVSSv2!$D$29,IF(H396=CVSSv2!$E$7,CVSSv2!$E$29,"")))&amp;"/"&amp;CVSSv2!$B$8&amp;":"&amp;IF(H397=CVSSv2!$C$8,CVSSv2!$C$30,IF(H397=CVSSv2!$D$8,CVSSv2!$D$30,IF(H397=CVSSv2!$E$8,CVSSv2!$E$30,"")))&amp;"/"&amp;CVSSv2!$B$9&amp;":"&amp;IF(H398=CVSSv2!$C$9,CVSSv2!$C$31,IF(H398=CVSSv2!$D$9,CVSSv2!$D$31,IF(H398=CVSSv2!$E$9,CVSSv2!$E$31,"")))&amp;"/"&amp;CVSSv2!$B$10&amp;":"&amp;IF(H399=CVSSv2!$C$10,CVSSv2!$C$32,IF(H399=CVSSv2!$D$10,CVSSv2!$D$32,IF(H399=CVSSv2!$E$10,CVSSv2!$E$32,IF(H399=CVSSv2!$F$10,CVSSv2!$F$32,""))))&amp;"/"&amp;CVSSv2!$B$11&amp;":"&amp;IF(H400=CVSSv2!$C$11,CVSSv2!$C$33,IF(H400=CVSSv2!$D$11,CVSSv2!$D$33,IF(H400=CVSSv2!$E$11,CVSSv2!$E$33,IF(H400=CVSSv2!$F$11,CVSSv2!$F$33,""))))&amp;"/"&amp;CVSSv2!$B$12&amp;":"&amp;IF(H401=CVSSv2!$C$12,CVSSv2!$C$34,IF(H401=CVSSv2!$D$12,CVSSv2!$D$34,IF(H401=CVSSv2!$E$12,CVSSv2!$E$34,"")))&amp;")"</f>
        <v>(AV:N/AC:L/Au:N/C:C/I:C/A:C/E:H/RL:W/RC:C)</v>
      </c>
      <c r="H402" s="32"/>
      <c r="I402" s="33"/>
      <c r="J402" s="23"/>
      <c r="K402" s="23"/>
      <c r="L402" s="24"/>
      <c r="M402" s="24"/>
      <c r="N402" s="24"/>
      <c r="O402" s="24"/>
    </row>
    <row r="403" customFormat="false" ht="15.75" hidden="false" customHeight="true" outlineLevel="0" collapsed="false">
      <c r="A403" s="23" t="n">
        <v>41</v>
      </c>
      <c r="B403" s="24" t="s">
        <v>754</v>
      </c>
      <c r="C403" s="24" t="s">
        <v>17</v>
      </c>
      <c r="D403" s="24" t="s">
        <v>17</v>
      </c>
      <c r="E403" s="24" t="s">
        <v>17</v>
      </c>
      <c r="F4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03" s="26" t="str">
        <f aca="false">CVSSv2!$A$4</f>
        <v>Vector de acceso:</v>
      </c>
      <c r="H403" s="27" t="s">
        <v>706</v>
      </c>
      <c r="I403" s="33" t="n">
        <f aca="false">ROUND(((0.6*(10.41*(1-(1-IF(H406=CVSSv2!$C$7,CVSSv2!$C$18,IF(H406=CVSSv2!$D$7,CVSSv2!$D$18,IF(H406=CVSSv2!$E$7,CVSSv2!$E$18,0))))*(1-IF(H407=CVSSv2!$C$8,CVSSv2!$C$19,IF(H407=CVSSv2!$D$8,CVSSv2!$D$19,IF(H407=CVSSv2!$E$8,CVSSv2!$E$19,0))))*(1-IF(H408=CVSSv2!$C$9,CVSSv2!$C$20,IF(H408=CVSSv2!$D$9,CVSSv2!$D$20,IF(H408=CVSSv2!$E$9,CVSSv2!$E$20,0))))))+0.4*(20*IF(H403=CVSSv2!$C$4,CVSSv2!$C$15,IF(H403=CVSSv2!$D$4,CVSSv2!$D$15,IF(H403=CVSSv2!$E$4,CVSSv2!$E$15,0)))*IF(H404=CVSSv2!$C$5,CVSSv2!$C$16,IF(H404=CVSSv2!$D$5,CVSSv2!$D$16,IF(H404=CVSSv2!$E$5,CVSSv2!$E$16,0)))*IF(H405=CVSSv2!$C$6,CVSSv2!$C$17,IF(H405=CVSSv2!$D$6,CVSSv2!$D$17,IF(H405=CVSSv2!$E$6,CVSSv2!$E$17,0))))-1.5)*(IF(10.41*(1-(1-IF(H406=CVSSv2!$C$7,CVSSv2!$C$18,IF(H406=CVSSv2!$D$7,CVSSv2!$D$18,IF(H406=CVSSv2!$E$7,CVSSv2!$E$18,0))))*(1-IF(H407=CVSSv2!$C$8,CVSSv2!$C$19,IF(H407=CVSSv2!$D$8,CVSSv2!$D$19,IF(H407=CVSSv2!$E$8,CVSSv2!$E$19,0))))*(1-IF(H408=CVSSv2!$C$9,CVSSv2!$C$20,IF(H408=CVSSv2!$D$9,CVSSv2!$D$20,IF(H408=CVSSv2!$E$9,CVSSv2!$E$20,0)))))=0,0,1.176)))*(IF(H409=CVSSv2!$C$10,CVSSv2!$C$21,IF(H409=CVSSv2!$D$10,CVSSv2!$D$21,IF(H409=CVSSv2!$E$10,CVSSv2!$E$21,IF(H409=CVSSv2!$F$10,CVSSv2!$F$21,0))))*IF(H410=CVSSv2!$C$11,CVSSv2!$C$22,IF(H410=CVSSv2!$D$11,CVSSv2!$D$22,IF(H410=CVSSv2!$E$11,CVSSv2!$E$22,IF(H410=CVSSv2!$F$11,CVSSv2!$F$22,0))))*IF(H411=CVSSv2!$C$12,CVSSv2!$C$23,IF(H411=CVSSv2!$D$12,CVSSv2!$D$23,IF(H411=CVSSv2!$E$12,CVSSv2!$E$23,0)))),1)</f>
        <v>9.5</v>
      </c>
      <c r="J403" s="23" t="n">
        <v>0</v>
      </c>
      <c r="K403" s="23" t="n">
        <v>0</v>
      </c>
      <c r="L403" s="24" t="s">
        <v>17</v>
      </c>
      <c r="M403" s="24" t="s">
        <v>17</v>
      </c>
      <c r="N403" s="24" t="s">
        <v>707</v>
      </c>
      <c r="O403" s="24" t="s">
        <v>708</v>
      </c>
    </row>
    <row r="404" customFormat="false" ht="15.75" hidden="false" customHeight="true" outlineLevel="0" collapsed="false">
      <c r="A404" s="23"/>
      <c r="B404" s="24"/>
      <c r="C404" s="24"/>
      <c r="D404" s="24"/>
      <c r="E404" s="24"/>
      <c r="F404" s="25"/>
      <c r="G404" s="30" t="str">
        <f aca="false">CVSSv2!$A$5</f>
        <v>Complejidad de acceso:</v>
      </c>
      <c r="H404" s="31" t="s">
        <v>709</v>
      </c>
      <c r="I404" s="33"/>
      <c r="J404" s="23"/>
      <c r="K404" s="23"/>
      <c r="L404" s="24"/>
      <c r="M404" s="24"/>
      <c r="N404" s="24"/>
      <c r="O404" s="24"/>
    </row>
    <row r="405" customFormat="false" ht="15.75" hidden="false" customHeight="true" outlineLevel="0" collapsed="false">
      <c r="A405" s="23"/>
      <c r="B405" s="24"/>
      <c r="C405" s="24"/>
      <c r="D405" s="24"/>
      <c r="E405" s="24"/>
      <c r="F405" s="25"/>
      <c r="G405" s="30" t="str">
        <f aca="false">CVSSv2!$A$6</f>
        <v>Autenticación:</v>
      </c>
      <c r="H405" s="31" t="s">
        <v>710</v>
      </c>
      <c r="I405" s="33"/>
      <c r="J405" s="23"/>
      <c r="K405" s="23"/>
      <c r="L405" s="24"/>
      <c r="M405" s="24"/>
      <c r="N405" s="24"/>
      <c r="O405" s="24"/>
    </row>
    <row r="406" customFormat="false" ht="15.75" hidden="false" customHeight="true" outlineLevel="0" collapsed="false">
      <c r="A406" s="23"/>
      <c r="B406" s="24"/>
      <c r="C406" s="24"/>
      <c r="D406" s="24"/>
      <c r="E406" s="24"/>
      <c r="F406" s="25"/>
      <c r="G406" s="30" t="str">
        <f aca="false">CVSSv2!$A$7</f>
        <v>Impacto a la confidencialidad:</v>
      </c>
      <c r="H406" s="31" t="s">
        <v>711</v>
      </c>
      <c r="I406" s="33"/>
      <c r="J406" s="23"/>
      <c r="K406" s="23"/>
      <c r="L406" s="24"/>
      <c r="M406" s="24"/>
      <c r="N406" s="24"/>
      <c r="O406" s="24"/>
    </row>
    <row r="407" customFormat="false" ht="15.75" hidden="false" customHeight="true" outlineLevel="0" collapsed="false">
      <c r="A407" s="23"/>
      <c r="B407" s="24"/>
      <c r="C407" s="24"/>
      <c r="D407" s="24"/>
      <c r="E407" s="24"/>
      <c r="F407" s="25"/>
      <c r="G407" s="30" t="str">
        <f aca="false">CVSSv2!$A$8</f>
        <v>Impacto a la integridad:</v>
      </c>
      <c r="H407" s="31" t="s">
        <v>711</v>
      </c>
      <c r="I407" s="33"/>
      <c r="J407" s="23"/>
      <c r="K407" s="23"/>
      <c r="L407" s="24"/>
      <c r="M407" s="24"/>
      <c r="N407" s="24"/>
      <c r="O407" s="24"/>
    </row>
    <row r="408" customFormat="false" ht="15.75" hidden="false" customHeight="true" outlineLevel="0" collapsed="false">
      <c r="A408" s="23"/>
      <c r="B408" s="24"/>
      <c r="C408" s="24"/>
      <c r="D408" s="24"/>
      <c r="E408" s="24"/>
      <c r="F408" s="25"/>
      <c r="G408" s="30" t="str">
        <f aca="false">CVSSv2!$A$9</f>
        <v>Impacto a la disponibilidad:</v>
      </c>
      <c r="H408" s="31" t="s">
        <v>711</v>
      </c>
      <c r="I408" s="33"/>
      <c r="J408" s="23"/>
      <c r="K408" s="23"/>
      <c r="L408" s="24"/>
      <c r="M408" s="24"/>
      <c r="N408" s="24"/>
      <c r="O408" s="24"/>
    </row>
    <row r="409" customFormat="false" ht="15.75" hidden="false" customHeight="true" outlineLevel="0" collapsed="false">
      <c r="A409" s="23"/>
      <c r="B409" s="24"/>
      <c r="C409" s="24"/>
      <c r="D409" s="24"/>
      <c r="E409" s="24"/>
      <c r="F409" s="25"/>
      <c r="G409" s="30" t="str">
        <f aca="false">CVSSv2!$A$10</f>
        <v>Explotabilidad:</v>
      </c>
      <c r="H409" s="31" t="s">
        <v>712</v>
      </c>
      <c r="I409" s="33"/>
      <c r="J409" s="23"/>
      <c r="K409" s="23"/>
      <c r="L409" s="24"/>
      <c r="M409" s="24"/>
      <c r="N409" s="24"/>
      <c r="O409" s="24"/>
    </row>
    <row r="410" customFormat="false" ht="15.75" hidden="false" customHeight="true" outlineLevel="0" collapsed="false">
      <c r="A410" s="23"/>
      <c r="B410" s="24"/>
      <c r="C410" s="24"/>
      <c r="D410" s="24"/>
      <c r="E410" s="24"/>
      <c r="F410" s="25"/>
      <c r="G410" s="30" t="str">
        <f aca="false">CVSSv2!$A$11</f>
        <v>Nivel de resolución:</v>
      </c>
      <c r="H410" s="31" t="s">
        <v>713</v>
      </c>
      <c r="I410" s="33"/>
      <c r="J410" s="23"/>
      <c r="K410" s="23"/>
      <c r="L410" s="24"/>
      <c r="M410" s="24"/>
      <c r="N410" s="24"/>
      <c r="O410" s="24"/>
    </row>
    <row r="411" customFormat="false" ht="15.75" hidden="false" customHeight="true" outlineLevel="0" collapsed="false">
      <c r="A411" s="23"/>
      <c r="B411" s="24"/>
      <c r="C411" s="24"/>
      <c r="D411" s="24"/>
      <c r="E411" s="24"/>
      <c r="F411" s="25"/>
      <c r="G411" s="30" t="str">
        <f aca="false">CVSSv2!$A$12</f>
        <v>Nivel de confianza:</v>
      </c>
      <c r="H411" s="31" t="s">
        <v>714</v>
      </c>
      <c r="I411" s="33"/>
      <c r="J411" s="23"/>
      <c r="K411" s="23"/>
      <c r="L411" s="24"/>
      <c r="M411" s="24"/>
      <c r="N411" s="24"/>
      <c r="O411" s="24"/>
    </row>
    <row r="412" customFormat="false" ht="15.75" hidden="false" customHeight="true" outlineLevel="0" collapsed="false">
      <c r="A412" s="23"/>
      <c r="B412" s="24"/>
      <c r="C412" s="24"/>
      <c r="D412" s="24"/>
      <c r="E412" s="24"/>
      <c r="F412" s="25"/>
      <c r="G412" s="32" t="str">
        <f aca="false">"("&amp;CVSSv2!$B$4&amp;":"&amp;IF(H403=CVSSv2!$C$4,CVSSv2!$C$26,IF(H403=CVSSv2!$D$4,CVSSv2!$D$26,IF(H403=CVSSv2!$E$4,CVSSv2!$E$26,"")))&amp;"/"&amp;CVSSv2!$B$5&amp;":"&amp;IF(H404=CVSSv2!$C$5,CVSSv2!$C$27,IF(H404=CVSSv2!$D$5,CVSSv2!$D$27,IF(H404=CVSSv2!$E$5,CVSSv2!$E$27,"")))&amp;"/"&amp;CVSSv2!$B$6&amp;":"&amp;IF(H405=CVSSv2!$C$6,CVSSv2!$C$28,IF(H405=CVSSv2!$D$6,CVSSv2!$D$28,IF(H405=CVSSv2!$E$6,CVSSv2!$E$28,"")))&amp;"/"&amp;CVSSv2!$B$7&amp;":"&amp;IF(H406=CVSSv2!$C$7,CVSSv2!$C$29,IF(H406=CVSSv2!$D$7,CVSSv2!$D$29,IF(H406=CVSSv2!$E$7,CVSSv2!$E$29,"")))&amp;"/"&amp;CVSSv2!$B$8&amp;":"&amp;IF(H407=CVSSv2!$C$8,CVSSv2!$C$30,IF(H407=CVSSv2!$D$8,CVSSv2!$D$30,IF(H407=CVSSv2!$E$8,CVSSv2!$E$30,"")))&amp;"/"&amp;CVSSv2!$B$9&amp;":"&amp;IF(H408=CVSSv2!$C$9,CVSSv2!$C$31,IF(H408=CVSSv2!$D$9,CVSSv2!$D$31,IF(H408=CVSSv2!$E$9,CVSSv2!$E$31,"")))&amp;"/"&amp;CVSSv2!$B$10&amp;":"&amp;IF(H409=CVSSv2!$C$10,CVSSv2!$C$32,IF(H409=CVSSv2!$D$10,CVSSv2!$D$32,IF(H409=CVSSv2!$E$10,CVSSv2!$E$32,IF(H409=CVSSv2!$F$10,CVSSv2!$F$32,""))))&amp;"/"&amp;CVSSv2!$B$11&amp;":"&amp;IF(H410=CVSSv2!$C$11,CVSSv2!$C$33,IF(H410=CVSSv2!$D$11,CVSSv2!$D$33,IF(H410=CVSSv2!$E$11,CVSSv2!$E$33,IF(H410=CVSSv2!$F$11,CVSSv2!$F$33,""))))&amp;"/"&amp;CVSSv2!$B$12&amp;":"&amp;IF(H411=CVSSv2!$C$12,CVSSv2!$C$34,IF(H411=CVSSv2!$D$12,CVSSv2!$D$34,IF(H411=CVSSv2!$E$12,CVSSv2!$E$34,"")))&amp;")"</f>
        <v>(AV:N/AC:L/Au:N/C:C/I:C/A:C/E:H/RL:W/RC:C)</v>
      </c>
      <c r="H412" s="32"/>
      <c r="I412" s="33"/>
      <c r="J412" s="23"/>
      <c r="K412" s="23"/>
      <c r="L412" s="24"/>
      <c r="M412" s="24"/>
      <c r="N412" s="24"/>
      <c r="O412" s="24"/>
    </row>
    <row r="413" customFormat="false" ht="15.75" hidden="false" customHeight="true" outlineLevel="0" collapsed="false">
      <c r="A413" s="23" t="n">
        <v>42</v>
      </c>
      <c r="B413" s="24" t="s">
        <v>755</v>
      </c>
      <c r="C413" s="24" t="s">
        <v>17</v>
      </c>
      <c r="D413" s="24" t="s">
        <v>17</v>
      </c>
      <c r="E413" s="24" t="s">
        <v>17</v>
      </c>
      <c r="F4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13" s="26" t="str">
        <f aca="false">CVSSv2!$A$4</f>
        <v>Vector de acceso:</v>
      </c>
      <c r="H413" s="27" t="s">
        <v>706</v>
      </c>
      <c r="I413" s="33" t="n">
        <f aca="false">ROUND(((0.6*(10.41*(1-(1-IF(H416=CVSSv2!$C$7,CVSSv2!$C$18,IF(H416=CVSSv2!$D$7,CVSSv2!$D$18,IF(H416=CVSSv2!$E$7,CVSSv2!$E$18,0))))*(1-IF(H417=CVSSv2!$C$8,CVSSv2!$C$19,IF(H417=CVSSv2!$D$8,CVSSv2!$D$19,IF(H417=CVSSv2!$E$8,CVSSv2!$E$19,0))))*(1-IF(H418=CVSSv2!$C$9,CVSSv2!$C$20,IF(H418=CVSSv2!$D$9,CVSSv2!$D$20,IF(H418=CVSSv2!$E$9,CVSSv2!$E$20,0))))))+0.4*(20*IF(H413=CVSSv2!$C$4,CVSSv2!$C$15,IF(H413=CVSSv2!$D$4,CVSSv2!$D$15,IF(H413=CVSSv2!$E$4,CVSSv2!$E$15,0)))*IF(H414=CVSSv2!$C$5,CVSSv2!$C$16,IF(H414=CVSSv2!$D$5,CVSSv2!$D$16,IF(H414=CVSSv2!$E$5,CVSSv2!$E$16,0)))*IF(H415=CVSSv2!$C$6,CVSSv2!$C$17,IF(H415=CVSSv2!$D$6,CVSSv2!$D$17,IF(H415=CVSSv2!$E$6,CVSSv2!$E$17,0))))-1.5)*(IF(10.41*(1-(1-IF(H416=CVSSv2!$C$7,CVSSv2!$C$18,IF(H416=CVSSv2!$D$7,CVSSv2!$D$18,IF(H416=CVSSv2!$E$7,CVSSv2!$E$18,0))))*(1-IF(H417=CVSSv2!$C$8,CVSSv2!$C$19,IF(H417=CVSSv2!$D$8,CVSSv2!$D$19,IF(H417=CVSSv2!$E$8,CVSSv2!$E$19,0))))*(1-IF(H418=CVSSv2!$C$9,CVSSv2!$C$20,IF(H418=CVSSv2!$D$9,CVSSv2!$D$20,IF(H418=CVSSv2!$E$9,CVSSv2!$E$20,0)))))=0,0,1.176)))*(IF(H419=CVSSv2!$C$10,CVSSv2!$C$21,IF(H419=CVSSv2!$D$10,CVSSv2!$D$21,IF(H419=CVSSv2!$E$10,CVSSv2!$E$21,IF(H419=CVSSv2!$F$10,CVSSv2!$F$21,0))))*IF(H420=CVSSv2!$C$11,CVSSv2!$C$22,IF(H420=CVSSv2!$D$11,CVSSv2!$D$22,IF(H420=CVSSv2!$E$11,CVSSv2!$E$22,IF(H420=CVSSv2!$F$11,CVSSv2!$F$22,0))))*IF(H421=CVSSv2!$C$12,CVSSv2!$C$23,IF(H421=CVSSv2!$D$12,CVSSv2!$D$23,IF(H421=CVSSv2!$E$12,CVSSv2!$E$23,0)))),1)</f>
        <v>9.5</v>
      </c>
      <c r="J413" s="23" t="n">
        <v>0</v>
      </c>
      <c r="K413" s="23" t="n">
        <v>0</v>
      </c>
      <c r="L413" s="24" t="s">
        <v>17</v>
      </c>
      <c r="M413" s="24" t="s">
        <v>17</v>
      </c>
      <c r="N413" s="24" t="s">
        <v>707</v>
      </c>
      <c r="O413" s="24" t="s">
        <v>708</v>
      </c>
    </row>
    <row r="414" customFormat="false" ht="15.75" hidden="false" customHeight="true" outlineLevel="0" collapsed="false">
      <c r="A414" s="23"/>
      <c r="B414" s="24"/>
      <c r="C414" s="24"/>
      <c r="D414" s="24"/>
      <c r="E414" s="24"/>
      <c r="F414" s="25"/>
      <c r="G414" s="30" t="str">
        <f aca="false">CVSSv2!$A$5</f>
        <v>Complejidad de acceso:</v>
      </c>
      <c r="H414" s="31" t="s">
        <v>709</v>
      </c>
      <c r="I414" s="33"/>
      <c r="J414" s="23"/>
      <c r="K414" s="23"/>
      <c r="L414" s="24"/>
      <c r="M414" s="24"/>
      <c r="N414" s="24"/>
      <c r="O414" s="24"/>
    </row>
    <row r="415" customFormat="false" ht="15.75" hidden="false" customHeight="true" outlineLevel="0" collapsed="false">
      <c r="A415" s="23"/>
      <c r="B415" s="24"/>
      <c r="C415" s="24"/>
      <c r="D415" s="24"/>
      <c r="E415" s="24"/>
      <c r="F415" s="25"/>
      <c r="G415" s="30" t="str">
        <f aca="false">CVSSv2!$A$6</f>
        <v>Autenticación:</v>
      </c>
      <c r="H415" s="31" t="s">
        <v>710</v>
      </c>
      <c r="I415" s="33"/>
      <c r="J415" s="23"/>
      <c r="K415" s="23"/>
      <c r="L415" s="24"/>
      <c r="M415" s="24"/>
      <c r="N415" s="24"/>
      <c r="O415" s="24"/>
    </row>
    <row r="416" customFormat="false" ht="15.75" hidden="false" customHeight="true" outlineLevel="0" collapsed="false">
      <c r="A416" s="23"/>
      <c r="B416" s="24"/>
      <c r="C416" s="24"/>
      <c r="D416" s="24"/>
      <c r="E416" s="24"/>
      <c r="F416" s="25"/>
      <c r="G416" s="30" t="str">
        <f aca="false">CVSSv2!$A$7</f>
        <v>Impacto a la confidencialidad:</v>
      </c>
      <c r="H416" s="31" t="s">
        <v>711</v>
      </c>
      <c r="I416" s="33"/>
      <c r="J416" s="23"/>
      <c r="K416" s="23"/>
      <c r="L416" s="24"/>
      <c r="M416" s="24"/>
      <c r="N416" s="24"/>
      <c r="O416" s="24"/>
    </row>
    <row r="417" customFormat="false" ht="15.75" hidden="false" customHeight="true" outlineLevel="0" collapsed="false">
      <c r="A417" s="23"/>
      <c r="B417" s="24"/>
      <c r="C417" s="24"/>
      <c r="D417" s="24"/>
      <c r="E417" s="24"/>
      <c r="F417" s="25"/>
      <c r="G417" s="30" t="str">
        <f aca="false">CVSSv2!$A$8</f>
        <v>Impacto a la integridad:</v>
      </c>
      <c r="H417" s="31" t="s">
        <v>711</v>
      </c>
      <c r="I417" s="33"/>
      <c r="J417" s="23"/>
      <c r="K417" s="23"/>
      <c r="L417" s="24"/>
      <c r="M417" s="24"/>
      <c r="N417" s="24"/>
      <c r="O417" s="24"/>
    </row>
    <row r="418" customFormat="false" ht="15.75" hidden="false" customHeight="true" outlineLevel="0" collapsed="false">
      <c r="A418" s="23"/>
      <c r="B418" s="24"/>
      <c r="C418" s="24"/>
      <c r="D418" s="24"/>
      <c r="E418" s="24"/>
      <c r="F418" s="25"/>
      <c r="G418" s="30" t="str">
        <f aca="false">CVSSv2!$A$9</f>
        <v>Impacto a la disponibilidad:</v>
      </c>
      <c r="H418" s="31" t="s">
        <v>711</v>
      </c>
      <c r="I418" s="33"/>
      <c r="J418" s="23"/>
      <c r="K418" s="23"/>
      <c r="L418" s="24"/>
      <c r="M418" s="24"/>
      <c r="N418" s="24"/>
      <c r="O418" s="24"/>
    </row>
    <row r="419" customFormat="false" ht="15.75" hidden="false" customHeight="true" outlineLevel="0" collapsed="false">
      <c r="A419" s="23"/>
      <c r="B419" s="24"/>
      <c r="C419" s="24"/>
      <c r="D419" s="24"/>
      <c r="E419" s="24"/>
      <c r="F419" s="25"/>
      <c r="G419" s="30" t="str">
        <f aca="false">CVSSv2!$A$10</f>
        <v>Explotabilidad:</v>
      </c>
      <c r="H419" s="31" t="s">
        <v>712</v>
      </c>
      <c r="I419" s="33"/>
      <c r="J419" s="23"/>
      <c r="K419" s="23"/>
      <c r="L419" s="24"/>
      <c r="M419" s="24"/>
      <c r="N419" s="24"/>
      <c r="O419" s="24"/>
    </row>
    <row r="420" customFormat="false" ht="15.75" hidden="false" customHeight="true" outlineLevel="0" collapsed="false">
      <c r="A420" s="23"/>
      <c r="B420" s="24"/>
      <c r="C420" s="24"/>
      <c r="D420" s="24"/>
      <c r="E420" s="24"/>
      <c r="F420" s="25"/>
      <c r="G420" s="30" t="str">
        <f aca="false">CVSSv2!$A$11</f>
        <v>Nivel de resolución:</v>
      </c>
      <c r="H420" s="31" t="s">
        <v>713</v>
      </c>
      <c r="I420" s="33"/>
      <c r="J420" s="23"/>
      <c r="K420" s="23"/>
      <c r="L420" s="24"/>
      <c r="M420" s="24"/>
      <c r="N420" s="24"/>
      <c r="O420" s="24"/>
    </row>
    <row r="421" customFormat="false" ht="15.75" hidden="false" customHeight="true" outlineLevel="0" collapsed="false">
      <c r="A421" s="23"/>
      <c r="B421" s="24"/>
      <c r="C421" s="24"/>
      <c r="D421" s="24"/>
      <c r="E421" s="24"/>
      <c r="F421" s="25"/>
      <c r="G421" s="30" t="str">
        <f aca="false">CVSSv2!$A$12</f>
        <v>Nivel de confianza:</v>
      </c>
      <c r="H421" s="31" t="s">
        <v>714</v>
      </c>
      <c r="I421" s="33"/>
      <c r="J421" s="23"/>
      <c r="K421" s="23"/>
      <c r="L421" s="24"/>
      <c r="M421" s="24"/>
      <c r="N421" s="24"/>
      <c r="O421" s="24"/>
    </row>
    <row r="422" customFormat="false" ht="15.75" hidden="false" customHeight="true" outlineLevel="0" collapsed="false">
      <c r="A422" s="23"/>
      <c r="B422" s="24"/>
      <c r="C422" s="24"/>
      <c r="D422" s="24"/>
      <c r="E422" s="24"/>
      <c r="F422" s="25"/>
      <c r="G422" s="32" t="str">
        <f aca="false">"("&amp;CVSSv2!$B$4&amp;":"&amp;IF(H413=CVSSv2!$C$4,CVSSv2!$C$26,IF(H413=CVSSv2!$D$4,CVSSv2!$D$26,IF(H413=CVSSv2!$E$4,CVSSv2!$E$26,"")))&amp;"/"&amp;CVSSv2!$B$5&amp;":"&amp;IF(H414=CVSSv2!$C$5,CVSSv2!$C$27,IF(H414=CVSSv2!$D$5,CVSSv2!$D$27,IF(H414=CVSSv2!$E$5,CVSSv2!$E$27,"")))&amp;"/"&amp;CVSSv2!$B$6&amp;":"&amp;IF(H415=CVSSv2!$C$6,CVSSv2!$C$28,IF(H415=CVSSv2!$D$6,CVSSv2!$D$28,IF(H415=CVSSv2!$E$6,CVSSv2!$E$28,"")))&amp;"/"&amp;CVSSv2!$B$7&amp;":"&amp;IF(H416=CVSSv2!$C$7,CVSSv2!$C$29,IF(H416=CVSSv2!$D$7,CVSSv2!$D$29,IF(H416=CVSSv2!$E$7,CVSSv2!$E$29,"")))&amp;"/"&amp;CVSSv2!$B$8&amp;":"&amp;IF(H417=CVSSv2!$C$8,CVSSv2!$C$30,IF(H417=CVSSv2!$D$8,CVSSv2!$D$30,IF(H417=CVSSv2!$E$8,CVSSv2!$E$30,"")))&amp;"/"&amp;CVSSv2!$B$9&amp;":"&amp;IF(H418=CVSSv2!$C$9,CVSSv2!$C$31,IF(H418=CVSSv2!$D$9,CVSSv2!$D$31,IF(H418=CVSSv2!$E$9,CVSSv2!$E$31,"")))&amp;"/"&amp;CVSSv2!$B$10&amp;":"&amp;IF(H419=CVSSv2!$C$10,CVSSv2!$C$32,IF(H419=CVSSv2!$D$10,CVSSv2!$D$32,IF(H419=CVSSv2!$E$10,CVSSv2!$E$32,IF(H419=CVSSv2!$F$10,CVSSv2!$F$32,""))))&amp;"/"&amp;CVSSv2!$B$11&amp;":"&amp;IF(H420=CVSSv2!$C$11,CVSSv2!$C$33,IF(H420=CVSSv2!$D$11,CVSSv2!$D$33,IF(H420=CVSSv2!$E$11,CVSSv2!$E$33,IF(H420=CVSSv2!$F$11,CVSSv2!$F$33,""))))&amp;"/"&amp;CVSSv2!$B$12&amp;":"&amp;IF(H421=CVSSv2!$C$12,CVSSv2!$C$34,IF(H421=CVSSv2!$D$12,CVSSv2!$D$34,IF(H421=CVSSv2!$E$12,CVSSv2!$E$34,"")))&amp;")"</f>
        <v>(AV:N/AC:L/Au:N/C:C/I:C/A:C/E:H/RL:W/RC:C)</v>
      </c>
      <c r="H422" s="32"/>
      <c r="I422" s="33"/>
      <c r="J422" s="23"/>
      <c r="K422" s="23"/>
      <c r="L422" s="24"/>
      <c r="M422" s="24"/>
      <c r="N422" s="24"/>
      <c r="O422" s="24"/>
    </row>
    <row r="423" customFormat="false" ht="15.75" hidden="false" customHeight="true" outlineLevel="0" collapsed="false">
      <c r="A423" s="23" t="n">
        <v>43</v>
      </c>
      <c r="B423" s="24" t="s">
        <v>756</v>
      </c>
      <c r="C423" s="24" t="s">
        <v>17</v>
      </c>
      <c r="D423" s="24" t="s">
        <v>17</v>
      </c>
      <c r="E423" s="24" t="s">
        <v>17</v>
      </c>
      <c r="F4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23" s="26" t="str">
        <f aca="false">CVSSv2!$A$4</f>
        <v>Vector de acceso:</v>
      </c>
      <c r="H423" s="27" t="s">
        <v>706</v>
      </c>
      <c r="I423" s="33" t="n">
        <f aca="false">ROUND(((0.6*(10.41*(1-(1-IF(H426=CVSSv2!$C$7,CVSSv2!$C$18,IF(H426=CVSSv2!$D$7,CVSSv2!$D$18,IF(H426=CVSSv2!$E$7,CVSSv2!$E$18,0))))*(1-IF(H427=CVSSv2!$C$8,CVSSv2!$C$19,IF(H427=CVSSv2!$D$8,CVSSv2!$D$19,IF(H427=CVSSv2!$E$8,CVSSv2!$E$19,0))))*(1-IF(H428=CVSSv2!$C$9,CVSSv2!$C$20,IF(H428=CVSSv2!$D$9,CVSSv2!$D$20,IF(H428=CVSSv2!$E$9,CVSSv2!$E$20,0))))))+0.4*(20*IF(H423=CVSSv2!$C$4,CVSSv2!$C$15,IF(H423=CVSSv2!$D$4,CVSSv2!$D$15,IF(H423=CVSSv2!$E$4,CVSSv2!$E$15,0)))*IF(H424=CVSSv2!$C$5,CVSSv2!$C$16,IF(H424=CVSSv2!$D$5,CVSSv2!$D$16,IF(H424=CVSSv2!$E$5,CVSSv2!$E$16,0)))*IF(H425=CVSSv2!$C$6,CVSSv2!$C$17,IF(H425=CVSSv2!$D$6,CVSSv2!$D$17,IF(H425=CVSSv2!$E$6,CVSSv2!$E$17,0))))-1.5)*(IF(10.41*(1-(1-IF(H426=CVSSv2!$C$7,CVSSv2!$C$18,IF(H426=CVSSv2!$D$7,CVSSv2!$D$18,IF(H426=CVSSv2!$E$7,CVSSv2!$E$18,0))))*(1-IF(H427=CVSSv2!$C$8,CVSSv2!$C$19,IF(H427=CVSSv2!$D$8,CVSSv2!$D$19,IF(H427=CVSSv2!$E$8,CVSSv2!$E$19,0))))*(1-IF(H428=CVSSv2!$C$9,CVSSv2!$C$20,IF(H428=CVSSv2!$D$9,CVSSv2!$D$20,IF(H428=CVSSv2!$E$9,CVSSv2!$E$20,0)))))=0,0,1.176)))*(IF(H429=CVSSv2!$C$10,CVSSv2!$C$21,IF(H429=CVSSv2!$D$10,CVSSv2!$D$21,IF(H429=CVSSv2!$E$10,CVSSv2!$E$21,IF(H429=CVSSv2!$F$10,CVSSv2!$F$21,0))))*IF(H430=CVSSv2!$C$11,CVSSv2!$C$22,IF(H430=CVSSv2!$D$11,CVSSv2!$D$22,IF(H430=CVSSv2!$E$11,CVSSv2!$E$22,IF(H430=CVSSv2!$F$11,CVSSv2!$F$22,0))))*IF(H431=CVSSv2!$C$12,CVSSv2!$C$23,IF(H431=CVSSv2!$D$12,CVSSv2!$D$23,IF(H431=CVSSv2!$E$12,CVSSv2!$E$23,0)))),1)</f>
        <v>9.5</v>
      </c>
      <c r="J423" s="23" t="n">
        <v>0</v>
      </c>
      <c r="K423" s="23" t="n">
        <v>0</v>
      </c>
      <c r="L423" s="24" t="s">
        <v>17</v>
      </c>
      <c r="M423" s="24" t="s">
        <v>17</v>
      </c>
      <c r="N423" s="24" t="s">
        <v>707</v>
      </c>
      <c r="O423" s="24" t="s">
        <v>708</v>
      </c>
    </row>
    <row r="424" customFormat="false" ht="15.75" hidden="false" customHeight="true" outlineLevel="0" collapsed="false">
      <c r="A424" s="23"/>
      <c r="B424" s="24"/>
      <c r="C424" s="24"/>
      <c r="D424" s="24"/>
      <c r="E424" s="24"/>
      <c r="F424" s="25"/>
      <c r="G424" s="30" t="str">
        <f aca="false">CVSSv2!$A$5</f>
        <v>Complejidad de acceso:</v>
      </c>
      <c r="H424" s="31" t="s">
        <v>709</v>
      </c>
      <c r="I424" s="33"/>
      <c r="J424" s="23"/>
      <c r="K424" s="23"/>
      <c r="L424" s="24"/>
      <c r="M424" s="24"/>
      <c r="N424" s="24"/>
      <c r="O424" s="24"/>
    </row>
    <row r="425" customFormat="false" ht="15.75" hidden="false" customHeight="true" outlineLevel="0" collapsed="false">
      <c r="A425" s="23"/>
      <c r="B425" s="24"/>
      <c r="C425" s="24"/>
      <c r="D425" s="24"/>
      <c r="E425" s="24"/>
      <c r="F425" s="25"/>
      <c r="G425" s="30" t="str">
        <f aca="false">CVSSv2!$A$6</f>
        <v>Autenticación:</v>
      </c>
      <c r="H425" s="31" t="s">
        <v>710</v>
      </c>
      <c r="I425" s="33"/>
      <c r="J425" s="23"/>
      <c r="K425" s="23"/>
      <c r="L425" s="24"/>
      <c r="M425" s="24"/>
      <c r="N425" s="24"/>
      <c r="O425" s="24"/>
    </row>
    <row r="426" customFormat="false" ht="15.75" hidden="false" customHeight="true" outlineLevel="0" collapsed="false">
      <c r="A426" s="23"/>
      <c r="B426" s="24"/>
      <c r="C426" s="24"/>
      <c r="D426" s="24"/>
      <c r="E426" s="24"/>
      <c r="F426" s="25"/>
      <c r="G426" s="30" t="str">
        <f aca="false">CVSSv2!$A$7</f>
        <v>Impacto a la confidencialidad:</v>
      </c>
      <c r="H426" s="31" t="s">
        <v>711</v>
      </c>
      <c r="I426" s="33"/>
      <c r="J426" s="23"/>
      <c r="K426" s="23"/>
      <c r="L426" s="24"/>
      <c r="M426" s="24"/>
      <c r="N426" s="24"/>
      <c r="O426" s="24"/>
    </row>
    <row r="427" customFormat="false" ht="15.75" hidden="false" customHeight="true" outlineLevel="0" collapsed="false">
      <c r="A427" s="23"/>
      <c r="B427" s="24"/>
      <c r="C427" s="24"/>
      <c r="D427" s="24"/>
      <c r="E427" s="24"/>
      <c r="F427" s="25"/>
      <c r="G427" s="30" t="str">
        <f aca="false">CVSSv2!$A$8</f>
        <v>Impacto a la integridad:</v>
      </c>
      <c r="H427" s="31" t="s">
        <v>711</v>
      </c>
      <c r="I427" s="33"/>
      <c r="J427" s="23"/>
      <c r="K427" s="23"/>
      <c r="L427" s="24"/>
      <c r="M427" s="24"/>
      <c r="N427" s="24"/>
      <c r="O427" s="24"/>
    </row>
    <row r="428" customFormat="false" ht="15.75" hidden="false" customHeight="true" outlineLevel="0" collapsed="false">
      <c r="A428" s="23"/>
      <c r="B428" s="24"/>
      <c r="C428" s="24"/>
      <c r="D428" s="24"/>
      <c r="E428" s="24"/>
      <c r="F428" s="25"/>
      <c r="G428" s="30" t="str">
        <f aca="false">CVSSv2!$A$9</f>
        <v>Impacto a la disponibilidad:</v>
      </c>
      <c r="H428" s="31" t="s">
        <v>711</v>
      </c>
      <c r="I428" s="33"/>
      <c r="J428" s="23"/>
      <c r="K428" s="23"/>
      <c r="L428" s="24"/>
      <c r="M428" s="24"/>
      <c r="N428" s="24"/>
      <c r="O428" s="24"/>
    </row>
    <row r="429" customFormat="false" ht="15.75" hidden="false" customHeight="true" outlineLevel="0" collapsed="false">
      <c r="A429" s="23"/>
      <c r="B429" s="24"/>
      <c r="C429" s="24"/>
      <c r="D429" s="24"/>
      <c r="E429" s="24"/>
      <c r="F429" s="25"/>
      <c r="G429" s="30" t="str">
        <f aca="false">CVSSv2!$A$10</f>
        <v>Explotabilidad:</v>
      </c>
      <c r="H429" s="31" t="s">
        <v>712</v>
      </c>
      <c r="I429" s="33"/>
      <c r="J429" s="23"/>
      <c r="K429" s="23"/>
      <c r="L429" s="24"/>
      <c r="M429" s="24"/>
      <c r="N429" s="24"/>
      <c r="O429" s="24"/>
    </row>
    <row r="430" customFormat="false" ht="15.75" hidden="false" customHeight="true" outlineLevel="0" collapsed="false">
      <c r="A430" s="23"/>
      <c r="B430" s="24"/>
      <c r="C430" s="24"/>
      <c r="D430" s="24"/>
      <c r="E430" s="24"/>
      <c r="F430" s="25"/>
      <c r="G430" s="30" t="str">
        <f aca="false">CVSSv2!$A$11</f>
        <v>Nivel de resolución:</v>
      </c>
      <c r="H430" s="31" t="s">
        <v>713</v>
      </c>
      <c r="I430" s="33"/>
      <c r="J430" s="23"/>
      <c r="K430" s="23"/>
      <c r="L430" s="24"/>
      <c r="M430" s="24"/>
      <c r="N430" s="24"/>
      <c r="O430" s="24"/>
    </row>
    <row r="431" customFormat="false" ht="15.75" hidden="false" customHeight="true" outlineLevel="0" collapsed="false">
      <c r="A431" s="23"/>
      <c r="B431" s="24"/>
      <c r="C431" s="24"/>
      <c r="D431" s="24"/>
      <c r="E431" s="24"/>
      <c r="F431" s="25"/>
      <c r="G431" s="30" t="str">
        <f aca="false">CVSSv2!$A$12</f>
        <v>Nivel de confianza:</v>
      </c>
      <c r="H431" s="31" t="s">
        <v>714</v>
      </c>
      <c r="I431" s="33"/>
      <c r="J431" s="23"/>
      <c r="K431" s="23"/>
      <c r="L431" s="24"/>
      <c r="M431" s="24"/>
      <c r="N431" s="24"/>
      <c r="O431" s="24"/>
    </row>
    <row r="432" customFormat="false" ht="15.75" hidden="false" customHeight="true" outlineLevel="0" collapsed="false">
      <c r="A432" s="23"/>
      <c r="B432" s="24"/>
      <c r="C432" s="24"/>
      <c r="D432" s="24"/>
      <c r="E432" s="24"/>
      <c r="F432" s="25"/>
      <c r="G432" s="32" t="str">
        <f aca="false">"("&amp;CVSSv2!$B$4&amp;":"&amp;IF(H423=CVSSv2!$C$4,CVSSv2!$C$26,IF(H423=CVSSv2!$D$4,CVSSv2!$D$26,IF(H423=CVSSv2!$E$4,CVSSv2!$E$26,"")))&amp;"/"&amp;CVSSv2!$B$5&amp;":"&amp;IF(H424=CVSSv2!$C$5,CVSSv2!$C$27,IF(H424=CVSSv2!$D$5,CVSSv2!$D$27,IF(H424=CVSSv2!$E$5,CVSSv2!$E$27,"")))&amp;"/"&amp;CVSSv2!$B$6&amp;":"&amp;IF(H425=CVSSv2!$C$6,CVSSv2!$C$28,IF(H425=CVSSv2!$D$6,CVSSv2!$D$28,IF(H425=CVSSv2!$E$6,CVSSv2!$E$28,"")))&amp;"/"&amp;CVSSv2!$B$7&amp;":"&amp;IF(H426=CVSSv2!$C$7,CVSSv2!$C$29,IF(H426=CVSSv2!$D$7,CVSSv2!$D$29,IF(H426=CVSSv2!$E$7,CVSSv2!$E$29,"")))&amp;"/"&amp;CVSSv2!$B$8&amp;":"&amp;IF(H427=CVSSv2!$C$8,CVSSv2!$C$30,IF(H427=CVSSv2!$D$8,CVSSv2!$D$30,IF(H427=CVSSv2!$E$8,CVSSv2!$E$30,"")))&amp;"/"&amp;CVSSv2!$B$9&amp;":"&amp;IF(H428=CVSSv2!$C$9,CVSSv2!$C$31,IF(H428=CVSSv2!$D$9,CVSSv2!$D$31,IF(H428=CVSSv2!$E$9,CVSSv2!$E$31,"")))&amp;"/"&amp;CVSSv2!$B$10&amp;":"&amp;IF(H429=CVSSv2!$C$10,CVSSv2!$C$32,IF(H429=CVSSv2!$D$10,CVSSv2!$D$32,IF(H429=CVSSv2!$E$10,CVSSv2!$E$32,IF(H429=CVSSv2!$F$10,CVSSv2!$F$32,""))))&amp;"/"&amp;CVSSv2!$B$11&amp;":"&amp;IF(H430=CVSSv2!$C$11,CVSSv2!$C$33,IF(H430=CVSSv2!$D$11,CVSSv2!$D$33,IF(H430=CVSSv2!$E$11,CVSSv2!$E$33,IF(H430=CVSSv2!$F$11,CVSSv2!$F$33,""))))&amp;"/"&amp;CVSSv2!$B$12&amp;":"&amp;IF(H431=CVSSv2!$C$12,CVSSv2!$C$34,IF(H431=CVSSv2!$D$12,CVSSv2!$D$34,IF(H431=CVSSv2!$E$12,CVSSv2!$E$34,"")))&amp;")"</f>
        <v>(AV:N/AC:L/Au:N/C:C/I:C/A:C/E:H/RL:W/RC:C)</v>
      </c>
      <c r="H432" s="32"/>
      <c r="I432" s="33"/>
      <c r="J432" s="23"/>
      <c r="K432" s="23"/>
      <c r="L432" s="24"/>
      <c r="M432" s="24"/>
      <c r="N432" s="24"/>
      <c r="O432" s="24"/>
    </row>
    <row r="433" customFormat="false" ht="15.75" hidden="false" customHeight="true" outlineLevel="0" collapsed="false">
      <c r="A433" s="23" t="n">
        <v>44</v>
      </c>
      <c r="B433" s="24" t="s">
        <v>757</v>
      </c>
      <c r="C433" s="24" t="s">
        <v>17</v>
      </c>
      <c r="D433" s="24" t="s">
        <v>17</v>
      </c>
      <c r="E433" s="24" t="s">
        <v>17</v>
      </c>
      <c r="F4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3" s="26" t="str">
        <f aca="false">CVSSv2!$A$4</f>
        <v>Vector de acceso:</v>
      </c>
      <c r="H433" s="27" t="s">
        <v>706</v>
      </c>
      <c r="I433" s="33" t="n">
        <f aca="false">ROUND(((0.6*(10.41*(1-(1-IF(H436=CVSSv2!$C$7,CVSSv2!$C$18,IF(H436=CVSSv2!$D$7,CVSSv2!$D$18,IF(H436=CVSSv2!$E$7,CVSSv2!$E$18,0))))*(1-IF(H437=CVSSv2!$C$8,CVSSv2!$C$19,IF(H437=CVSSv2!$D$8,CVSSv2!$D$19,IF(H437=CVSSv2!$E$8,CVSSv2!$E$19,0))))*(1-IF(H438=CVSSv2!$C$9,CVSSv2!$C$20,IF(H438=CVSSv2!$D$9,CVSSv2!$D$20,IF(H438=CVSSv2!$E$9,CVSSv2!$E$20,0))))))+0.4*(20*IF(H433=CVSSv2!$C$4,CVSSv2!$C$15,IF(H433=CVSSv2!$D$4,CVSSv2!$D$15,IF(H433=CVSSv2!$E$4,CVSSv2!$E$15,0)))*IF(H434=CVSSv2!$C$5,CVSSv2!$C$16,IF(H434=CVSSv2!$D$5,CVSSv2!$D$16,IF(H434=CVSSv2!$E$5,CVSSv2!$E$16,0)))*IF(H435=CVSSv2!$C$6,CVSSv2!$C$17,IF(H435=CVSSv2!$D$6,CVSSv2!$D$17,IF(H435=CVSSv2!$E$6,CVSSv2!$E$17,0))))-1.5)*(IF(10.41*(1-(1-IF(H436=CVSSv2!$C$7,CVSSv2!$C$18,IF(H436=CVSSv2!$D$7,CVSSv2!$D$18,IF(H436=CVSSv2!$E$7,CVSSv2!$E$18,0))))*(1-IF(H437=CVSSv2!$C$8,CVSSv2!$C$19,IF(H437=CVSSv2!$D$8,CVSSv2!$D$19,IF(H437=CVSSv2!$E$8,CVSSv2!$E$19,0))))*(1-IF(H438=CVSSv2!$C$9,CVSSv2!$C$20,IF(H438=CVSSv2!$D$9,CVSSv2!$D$20,IF(H438=CVSSv2!$E$9,CVSSv2!$E$20,0)))))=0,0,1.176)))*(IF(H439=CVSSv2!$C$10,CVSSv2!$C$21,IF(H439=CVSSv2!$D$10,CVSSv2!$D$21,IF(H439=CVSSv2!$E$10,CVSSv2!$E$21,IF(H439=CVSSv2!$F$10,CVSSv2!$F$21,0))))*IF(H440=CVSSv2!$C$11,CVSSv2!$C$22,IF(H440=CVSSv2!$D$11,CVSSv2!$D$22,IF(H440=CVSSv2!$E$11,CVSSv2!$E$22,IF(H440=CVSSv2!$F$11,CVSSv2!$F$22,0))))*IF(H441=CVSSv2!$C$12,CVSSv2!$C$23,IF(H441=CVSSv2!$D$12,CVSSv2!$D$23,IF(H441=CVSSv2!$E$12,CVSSv2!$E$23,0)))),1)</f>
        <v>9.5</v>
      </c>
      <c r="J433" s="23" t="n">
        <v>0</v>
      </c>
      <c r="K433" s="23" t="n">
        <v>0</v>
      </c>
      <c r="L433" s="24" t="s">
        <v>17</v>
      </c>
      <c r="M433" s="24" t="s">
        <v>17</v>
      </c>
      <c r="N433" s="24" t="s">
        <v>707</v>
      </c>
      <c r="O433" s="24" t="s">
        <v>708</v>
      </c>
    </row>
    <row r="434" customFormat="false" ht="15.75" hidden="false" customHeight="true" outlineLevel="0" collapsed="false">
      <c r="A434" s="23"/>
      <c r="B434" s="24"/>
      <c r="C434" s="24"/>
      <c r="D434" s="24"/>
      <c r="E434" s="24"/>
      <c r="F434" s="25"/>
      <c r="G434" s="30" t="str">
        <f aca="false">CVSSv2!$A$5</f>
        <v>Complejidad de acceso:</v>
      </c>
      <c r="H434" s="31" t="s">
        <v>709</v>
      </c>
      <c r="I434" s="33"/>
      <c r="J434" s="23"/>
      <c r="K434" s="23"/>
      <c r="L434" s="24"/>
      <c r="M434" s="24"/>
      <c r="N434" s="24"/>
      <c r="O434" s="24"/>
    </row>
    <row r="435" customFormat="false" ht="15.75" hidden="false" customHeight="true" outlineLevel="0" collapsed="false">
      <c r="A435" s="23"/>
      <c r="B435" s="24"/>
      <c r="C435" s="24"/>
      <c r="D435" s="24"/>
      <c r="E435" s="24"/>
      <c r="F435" s="25"/>
      <c r="G435" s="30" t="str">
        <f aca="false">CVSSv2!$A$6</f>
        <v>Autenticación:</v>
      </c>
      <c r="H435" s="31" t="s">
        <v>710</v>
      </c>
      <c r="I435" s="33"/>
      <c r="J435" s="23"/>
      <c r="K435" s="23"/>
      <c r="L435" s="24"/>
      <c r="M435" s="24"/>
      <c r="N435" s="24"/>
      <c r="O435" s="24"/>
    </row>
    <row r="436" customFormat="false" ht="15.75" hidden="false" customHeight="true" outlineLevel="0" collapsed="false">
      <c r="A436" s="23"/>
      <c r="B436" s="24"/>
      <c r="C436" s="24"/>
      <c r="D436" s="24"/>
      <c r="E436" s="24"/>
      <c r="F436" s="25"/>
      <c r="G436" s="30" t="str">
        <f aca="false">CVSSv2!$A$7</f>
        <v>Impacto a la confidencialidad:</v>
      </c>
      <c r="H436" s="31" t="s">
        <v>711</v>
      </c>
      <c r="I436" s="33"/>
      <c r="J436" s="23"/>
      <c r="K436" s="23"/>
      <c r="L436" s="24"/>
      <c r="M436" s="24"/>
      <c r="N436" s="24"/>
      <c r="O436" s="24"/>
    </row>
    <row r="437" customFormat="false" ht="15.75" hidden="false" customHeight="true" outlineLevel="0" collapsed="false">
      <c r="A437" s="23"/>
      <c r="B437" s="24"/>
      <c r="C437" s="24"/>
      <c r="D437" s="24"/>
      <c r="E437" s="24"/>
      <c r="F437" s="25"/>
      <c r="G437" s="30" t="str">
        <f aca="false">CVSSv2!$A$8</f>
        <v>Impacto a la integridad:</v>
      </c>
      <c r="H437" s="31" t="s">
        <v>711</v>
      </c>
      <c r="I437" s="33"/>
      <c r="J437" s="23"/>
      <c r="K437" s="23"/>
      <c r="L437" s="24"/>
      <c r="M437" s="24"/>
      <c r="N437" s="24"/>
      <c r="O437" s="24"/>
    </row>
    <row r="438" customFormat="false" ht="15.75" hidden="false" customHeight="true" outlineLevel="0" collapsed="false">
      <c r="A438" s="23"/>
      <c r="B438" s="24"/>
      <c r="C438" s="24"/>
      <c r="D438" s="24"/>
      <c r="E438" s="24"/>
      <c r="F438" s="25"/>
      <c r="G438" s="30" t="str">
        <f aca="false">CVSSv2!$A$9</f>
        <v>Impacto a la disponibilidad:</v>
      </c>
      <c r="H438" s="31" t="s">
        <v>711</v>
      </c>
      <c r="I438" s="33"/>
      <c r="J438" s="23"/>
      <c r="K438" s="23"/>
      <c r="L438" s="24"/>
      <c r="M438" s="24"/>
      <c r="N438" s="24"/>
      <c r="O438" s="24"/>
    </row>
    <row r="439" customFormat="false" ht="15.75" hidden="false" customHeight="true" outlineLevel="0" collapsed="false">
      <c r="A439" s="23"/>
      <c r="B439" s="24"/>
      <c r="C439" s="24"/>
      <c r="D439" s="24"/>
      <c r="E439" s="24"/>
      <c r="F439" s="25"/>
      <c r="G439" s="30" t="str">
        <f aca="false">CVSSv2!$A$10</f>
        <v>Explotabilidad:</v>
      </c>
      <c r="H439" s="31" t="s">
        <v>712</v>
      </c>
      <c r="I439" s="33"/>
      <c r="J439" s="23"/>
      <c r="K439" s="23"/>
      <c r="L439" s="24"/>
      <c r="M439" s="24"/>
      <c r="N439" s="24"/>
      <c r="O439" s="24"/>
    </row>
    <row r="440" customFormat="false" ht="15.75" hidden="false" customHeight="true" outlineLevel="0" collapsed="false">
      <c r="A440" s="23"/>
      <c r="B440" s="24"/>
      <c r="C440" s="24"/>
      <c r="D440" s="24"/>
      <c r="E440" s="24"/>
      <c r="F440" s="25"/>
      <c r="G440" s="30" t="str">
        <f aca="false">CVSSv2!$A$11</f>
        <v>Nivel de resolución:</v>
      </c>
      <c r="H440" s="31" t="s">
        <v>713</v>
      </c>
      <c r="I440" s="33"/>
      <c r="J440" s="23"/>
      <c r="K440" s="23"/>
      <c r="L440" s="24"/>
      <c r="M440" s="24"/>
      <c r="N440" s="24"/>
      <c r="O440" s="24"/>
    </row>
    <row r="441" customFormat="false" ht="15.75" hidden="false" customHeight="true" outlineLevel="0" collapsed="false">
      <c r="A441" s="23"/>
      <c r="B441" s="24"/>
      <c r="C441" s="24"/>
      <c r="D441" s="24"/>
      <c r="E441" s="24"/>
      <c r="F441" s="25"/>
      <c r="G441" s="30" t="str">
        <f aca="false">CVSSv2!$A$12</f>
        <v>Nivel de confianza:</v>
      </c>
      <c r="H441" s="31" t="s">
        <v>714</v>
      </c>
      <c r="I441" s="33"/>
      <c r="J441" s="23"/>
      <c r="K441" s="23"/>
      <c r="L441" s="24"/>
      <c r="M441" s="24"/>
      <c r="N441" s="24"/>
      <c r="O441" s="24"/>
    </row>
    <row r="442" customFormat="false" ht="15.75" hidden="false" customHeight="true" outlineLevel="0" collapsed="false">
      <c r="A442" s="23"/>
      <c r="B442" s="24"/>
      <c r="C442" s="24"/>
      <c r="D442" s="24"/>
      <c r="E442" s="24"/>
      <c r="F442" s="25"/>
      <c r="G442" s="32" t="str">
        <f aca="false">"("&amp;CVSSv2!$B$4&amp;":"&amp;IF(H433=CVSSv2!$C$4,CVSSv2!$C$26,IF(H433=CVSSv2!$D$4,CVSSv2!$D$26,IF(H433=CVSSv2!$E$4,CVSSv2!$E$26,"")))&amp;"/"&amp;CVSSv2!$B$5&amp;":"&amp;IF(H434=CVSSv2!$C$5,CVSSv2!$C$27,IF(H434=CVSSv2!$D$5,CVSSv2!$D$27,IF(H434=CVSSv2!$E$5,CVSSv2!$E$27,"")))&amp;"/"&amp;CVSSv2!$B$6&amp;":"&amp;IF(H435=CVSSv2!$C$6,CVSSv2!$C$28,IF(H435=CVSSv2!$D$6,CVSSv2!$D$28,IF(H435=CVSSv2!$E$6,CVSSv2!$E$28,"")))&amp;"/"&amp;CVSSv2!$B$7&amp;":"&amp;IF(H436=CVSSv2!$C$7,CVSSv2!$C$29,IF(H436=CVSSv2!$D$7,CVSSv2!$D$29,IF(H436=CVSSv2!$E$7,CVSSv2!$E$29,"")))&amp;"/"&amp;CVSSv2!$B$8&amp;":"&amp;IF(H437=CVSSv2!$C$8,CVSSv2!$C$30,IF(H437=CVSSv2!$D$8,CVSSv2!$D$30,IF(H437=CVSSv2!$E$8,CVSSv2!$E$30,"")))&amp;"/"&amp;CVSSv2!$B$9&amp;":"&amp;IF(H438=CVSSv2!$C$9,CVSSv2!$C$31,IF(H438=CVSSv2!$D$9,CVSSv2!$D$31,IF(H438=CVSSv2!$E$9,CVSSv2!$E$31,"")))&amp;"/"&amp;CVSSv2!$B$10&amp;":"&amp;IF(H439=CVSSv2!$C$10,CVSSv2!$C$32,IF(H439=CVSSv2!$D$10,CVSSv2!$D$32,IF(H439=CVSSv2!$E$10,CVSSv2!$E$32,IF(H439=CVSSv2!$F$10,CVSSv2!$F$32,""))))&amp;"/"&amp;CVSSv2!$B$11&amp;":"&amp;IF(H440=CVSSv2!$C$11,CVSSv2!$C$33,IF(H440=CVSSv2!$D$11,CVSSv2!$D$33,IF(H440=CVSSv2!$E$11,CVSSv2!$E$33,IF(H440=CVSSv2!$F$11,CVSSv2!$F$33,""))))&amp;"/"&amp;CVSSv2!$B$12&amp;":"&amp;IF(H441=CVSSv2!$C$12,CVSSv2!$C$34,IF(H441=CVSSv2!$D$12,CVSSv2!$D$34,IF(H441=CVSSv2!$E$12,CVSSv2!$E$34,"")))&amp;")"</f>
        <v>(AV:N/AC:L/Au:N/C:C/I:C/A:C/E:H/RL:W/RC:C)</v>
      </c>
      <c r="H442" s="32"/>
      <c r="I442" s="33"/>
      <c r="J442" s="23"/>
      <c r="K442" s="23"/>
      <c r="L442" s="24"/>
      <c r="M442" s="24"/>
      <c r="N442" s="24"/>
      <c r="O442" s="24"/>
    </row>
    <row r="443" customFormat="false" ht="15.75" hidden="false" customHeight="true" outlineLevel="0" collapsed="false">
      <c r="A443" s="23" t="n">
        <v>45</v>
      </c>
      <c r="B443" s="24" t="s">
        <v>758</v>
      </c>
      <c r="C443" s="24" t="s">
        <v>17</v>
      </c>
      <c r="D443" s="24" t="s">
        <v>17</v>
      </c>
      <c r="E443" s="24" t="s">
        <v>17</v>
      </c>
      <c r="F4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43" s="26" t="str">
        <f aca="false">CVSSv2!$A$4</f>
        <v>Vector de acceso:</v>
      </c>
      <c r="H443" s="27" t="s">
        <v>706</v>
      </c>
      <c r="I443" s="33" t="n">
        <f aca="false">ROUND(((0.6*(10.41*(1-(1-IF(H446=CVSSv2!$C$7,CVSSv2!$C$18,IF(H446=CVSSv2!$D$7,CVSSv2!$D$18,IF(H446=CVSSv2!$E$7,CVSSv2!$E$18,0))))*(1-IF(H447=CVSSv2!$C$8,CVSSv2!$C$19,IF(H447=CVSSv2!$D$8,CVSSv2!$D$19,IF(H447=CVSSv2!$E$8,CVSSv2!$E$19,0))))*(1-IF(H448=CVSSv2!$C$9,CVSSv2!$C$20,IF(H448=CVSSv2!$D$9,CVSSv2!$D$20,IF(H448=CVSSv2!$E$9,CVSSv2!$E$20,0))))))+0.4*(20*IF(H443=CVSSv2!$C$4,CVSSv2!$C$15,IF(H443=CVSSv2!$D$4,CVSSv2!$D$15,IF(H443=CVSSv2!$E$4,CVSSv2!$E$15,0)))*IF(H444=CVSSv2!$C$5,CVSSv2!$C$16,IF(H444=CVSSv2!$D$5,CVSSv2!$D$16,IF(H444=CVSSv2!$E$5,CVSSv2!$E$16,0)))*IF(H445=CVSSv2!$C$6,CVSSv2!$C$17,IF(H445=CVSSv2!$D$6,CVSSv2!$D$17,IF(H445=CVSSv2!$E$6,CVSSv2!$E$17,0))))-1.5)*(IF(10.41*(1-(1-IF(H446=CVSSv2!$C$7,CVSSv2!$C$18,IF(H446=CVSSv2!$D$7,CVSSv2!$D$18,IF(H446=CVSSv2!$E$7,CVSSv2!$E$18,0))))*(1-IF(H447=CVSSv2!$C$8,CVSSv2!$C$19,IF(H447=CVSSv2!$D$8,CVSSv2!$D$19,IF(H447=CVSSv2!$E$8,CVSSv2!$E$19,0))))*(1-IF(H448=CVSSv2!$C$9,CVSSv2!$C$20,IF(H448=CVSSv2!$D$9,CVSSv2!$D$20,IF(H448=CVSSv2!$E$9,CVSSv2!$E$20,0)))))=0,0,1.176)))*(IF(H449=CVSSv2!$C$10,CVSSv2!$C$21,IF(H449=CVSSv2!$D$10,CVSSv2!$D$21,IF(H449=CVSSv2!$E$10,CVSSv2!$E$21,IF(H449=CVSSv2!$F$10,CVSSv2!$F$21,0))))*IF(H450=CVSSv2!$C$11,CVSSv2!$C$22,IF(H450=CVSSv2!$D$11,CVSSv2!$D$22,IF(H450=CVSSv2!$E$11,CVSSv2!$E$22,IF(H450=CVSSv2!$F$11,CVSSv2!$F$22,0))))*IF(H451=CVSSv2!$C$12,CVSSv2!$C$23,IF(H451=CVSSv2!$D$12,CVSSv2!$D$23,IF(H451=CVSSv2!$E$12,CVSSv2!$E$23,0)))),1)</f>
        <v>9.5</v>
      </c>
      <c r="J443" s="23" t="n">
        <v>0</v>
      </c>
      <c r="K443" s="23" t="n">
        <v>0</v>
      </c>
      <c r="L443" s="24" t="s">
        <v>17</v>
      </c>
      <c r="M443" s="24" t="s">
        <v>17</v>
      </c>
      <c r="N443" s="24" t="s">
        <v>707</v>
      </c>
      <c r="O443" s="24" t="s">
        <v>708</v>
      </c>
    </row>
    <row r="444" customFormat="false" ht="15.75" hidden="false" customHeight="true" outlineLevel="0" collapsed="false">
      <c r="A444" s="23"/>
      <c r="B444" s="24"/>
      <c r="C444" s="24"/>
      <c r="D444" s="24"/>
      <c r="E444" s="24"/>
      <c r="F444" s="25"/>
      <c r="G444" s="30" t="str">
        <f aca="false">CVSSv2!$A$5</f>
        <v>Complejidad de acceso:</v>
      </c>
      <c r="H444" s="31" t="s">
        <v>709</v>
      </c>
      <c r="I444" s="33"/>
      <c r="J444" s="23"/>
      <c r="K444" s="23"/>
      <c r="L444" s="24"/>
      <c r="M444" s="24"/>
      <c r="N444" s="24"/>
      <c r="O444" s="24"/>
    </row>
    <row r="445" customFormat="false" ht="15.75" hidden="false" customHeight="true" outlineLevel="0" collapsed="false">
      <c r="A445" s="23"/>
      <c r="B445" s="24"/>
      <c r="C445" s="24"/>
      <c r="D445" s="24"/>
      <c r="E445" s="24"/>
      <c r="F445" s="25"/>
      <c r="G445" s="30" t="str">
        <f aca="false">CVSSv2!$A$6</f>
        <v>Autenticación:</v>
      </c>
      <c r="H445" s="31" t="s">
        <v>710</v>
      </c>
      <c r="I445" s="33"/>
      <c r="J445" s="23"/>
      <c r="K445" s="23"/>
      <c r="L445" s="24"/>
      <c r="M445" s="24"/>
      <c r="N445" s="24"/>
      <c r="O445" s="24"/>
    </row>
    <row r="446" customFormat="false" ht="15.75" hidden="false" customHeight="true" outlineLevel="0" collapsed="false">
      <c r="A446" s="23"/>
      <c r="B446" s="24"/>
      <c r="C446" s="24"/>
      <c r="D446" s="24"/>
      <c r="E446" s="24"/>
      <c r="F446" s="25"/>
      <c r="G446" s="30" t="str">
        <f aca="false">CVSSv2!$A$7</f>
        <v>Impacto a la confidencialidad:</v>
      </c>
      <c r="H446" s="31" t="s">
        <v>711</v>
      </c>
      <c r="I446" s="33"/>
      <c r="J446" s="23"/>
      <c r="K446" s="23"/>
      <c r="L446" s="24"/>
      <c r="M446" s="24"/>
      <c r="N446" s="24"/>
      <c r="O446" s="24"/>
    </row>
    <row r="447" customFormat="false" ht="15.75" hidden="false" customHeight="true" outlineLevel="0" collapsed="false">
      <c r="A447" s="23"/>
      <c r="B447" s="24"/>
      <c r="C447" s="24"/>
      <c r="D447" s="24"/>
      <c r="E447" s="24"/>
      <c r="F447" s="25"/>
      <c r="G447" s="30" t="str">
        <f aca="false">CVSSv2!$A$8</f>
        <v>Impacto a la integridad:</v>
      </c>
      <c r="H447" s="31" t="s">
        <v>711</v>
      </c>
      <c r="I447" s="33"/>
      <c r="J447" s="23"/>
      <c r="K447" s="23"/>
      <c r="L447" s="24"/>
      <c r="M447" s="24"/>
      <c r="N447" s="24"/>
      <c r="O447" s="24"/>
    </row>
    <row r="448" customFormat="false" ht="15.75" hidden="false" customHeight="true" outlineLevel="0" collapsed="false">
      <c r="A448" s="23"/>
      <c r="B448" s="24"/>
      <c r="C448" s="24"/>
      <c r="D448" s="24"/>
      <c r="E448" s="24"/>
      <c r="F448" s="25"/>
      <c r="G448" s="30" t="str">
        <f aca="false">CVSSv2!$A$9</f>
        <v>Impacto a la disponibilidad:</v>
      </c>
      <c r="H448" s="31" t="s">
        <v>711</v>
      </c>
      <c r="I448" s="33"/>
      <c r="J448" s="23"/>
      <c r="K448" s="23"/>
      <c r="L448" s="24"/>
      <c r="M448" s="24"/>
      <c r="N448" s="24"/>
      <c r="O448" s="24"/>
    </row>
    <row r="449" customFormat="false" ht="15.75" hidden="false" customHeight="true" outlineLevel="0" collapsed="false">
      <c r="A449" s="23"/>
      <c r="B449" s="24"/>
      <c r="C449" s="24"/>
      <c r="D449" s="24"/>
      <c r="E449" s="24"/>
      <c r="F449" s="25"/>
      <c r="G449" s="30" t="str">
        <f aca="false">CVSSv2!$A$10</f>
        <v>Explotabilidad:</v>
      </c>
      <c r="H449" s="31" t="s">
        <v>712</v>
      </c>
      <c r="I449" s="33"/>
      <c r="J449" s="23"/>
      <c r="K449" s="23"/>
      <c r="L449" s="24"/>
      <c r="M449" s="24"/>
      <c r="N449" s="24"/>
      <c r="O449" s="24"/>
    </row>
    <row r="450" customFormat="false" ht="15.75" hidden="false" customHeight="true" outlineLevel="0" collapsed="false">
      <c r="A450" s="23"/>
      <c r="B450" s="24"/>
      <c r="C450" s="24"/>
      <c r="D450" s="24"/>
      <c r="E450" s="24"/>
      <c r="F450" s="25"/>
      <c r="G450" s="30" t="str">
        <f aca="false">CVSSv2!$A$11</f>
        <v>Nivel de resolución:</v>
      </c>
      <c r="H450" s="31" t="s">
        <v>713</v>
      </c>
      <c r="I450" s="33"/>
      <c r="J450" s="23"/>
      <c r="K450" s="23"/>
      <c r="L450" s="24"/>
      <c r="M450" s="24"/>
      <c r="N450" s="24"/>
      <c r="O450" s="24"/>
    </row>
    <row r="451" customFormat="false" ht="15.75" hidden="false" customHeight="true" outlineLevel="0" collapsed="false">
      <c r="A451" s="23"/>
      <c r="B451" s="24"/>
      <c r="C451" s="24"/>
      <c r="D451" s="24"/>
      <c r="E451" s="24"/>
      <c r="F451" s="25"/>
      <c r="G451" s="30" t="str">
        <f aca="false">CVSSv2!$A$12</f>
        <v>Nivel de confianza:</v>
      </c>
      <c r="H451" s="31" t="s">
        <v>714</v>
      </c>
      <c r="I451" s="33"/>
      <c r="J451" s="23"/>
      <c r="K451" s="23"/>
      <c r="L451" s="24"/>
      <c r="M451" s="24"/>
      <c r="N451" s="24"/>
      <c r="O451" s="24"/>
    </row>
    <row r="452" customFormat="false" ht="15.75" hidden="false" customHeight="true" outlineLevel="0" collapsed="false">
      <c r="A452" s="23"/>
      <c r="B452" s="24"/>
      <c r="C452" s="24"/>
      <c r="D452" s="24"/>
      <c r="E452" s="24"/>
      <c r="F452" s="25"/>
      <c r="G452" s="32" t="str">
        <f aca="false">"("&amp;CVSSv2!$B$4&amp;":"&amp;IF(H443=CVSSv2!$C$4,CVSSv2!$C$26,IF(H443=CVSSv2!$D$4,CVSSv2!$D$26,IF(H443=CVSSv2!$E$4,CVSSv2!$E$26,"")))&amp;"/"&amp;CVSSv2!$B$5&amp;":"&amp;IF(H444=CVSSv2!$C$5,CVSSv2!$C$27,IF(H444=CVSSv2!$D$5,CVSSv2!$D$27,IF(H444=CVSSv2!$E$5,CVSSv2!$E$27,"")))&amp;"/"&amp;CVSSv2!$B$6&amp;":"&amp;IF(H445=CVSSv2!$C$6,CVSSv2!$C$28,IF(H445=CVSSv2!$D$6,CVSSv2!$D$28,IF(H445=CVSSv2!$E$6,CVSSv2!$E$28,"")))&amp;"/"&amp;CVSSv2!$B$7&amp;":"&amp;IF(H446=CVSSv2!$C$7,CVSSv2!$C$29,IF(H446=CVSSv2!$D$7,CVSSv2!$D$29,IF(H446=CVSSv2!$E$7,CVSSv2!$E$29,"")))&amp;"/"&amp;CVSSv2!$B$8&amp;":"&amp;IF(H447=CVSSv2!$C$8,CVSSv2!$C$30,IF(H447=CVSSv2!$D$8,CVSSv2!$D$30,IF(H447=CVSSv2!$E$8,CVSSv2!$E$30,"")))&amp;"/"&amp;CVSSv2!$B$9&amp;":"&amp;IF(H448=CVSSv2!$C$9,CVSSv2!$C$31,IF(H448=CVSSv2!$D$9,CVSSv2!$D$31,IF(H448=CVSSv2!$E$9,CVSSv2!$E$31,"")))&amp;"/"&amp;CVSSv2!$B$10&amp;":"&amp;IF(H449=CVSSv2!$C$10,CVSSv2!$C$32,IF(H449=CVSSv2!$D$10,CVSSv2!$D$32,IF(H449=CVSSv2!$E$10,CVSSv2!$E$32,IF(H449=CVSSv2!$F$10,CVSSv2!$F$32,""))))&amp;"/"&amp;CVSSv2!$B$11&amp;":"&amp;IF(H450=CVSSv2!$C$11,CVSSv2!$C$33,IF(H450=CVSSv2!$D$11,CVSSv2!$D$33,IF(H450=CVSSv2!$E$11,CVSSv2!$E$33,IF(H450=CVSSv2!$F$11,CVSSv2!$F$33,""))))&amp;"/"&amp;CVSSv2!$B$12&amp;":"&amp;IF(H451=CVSSv2!$C$12,CVSSv2!$C$34,IF(H451=CVSSv2!$D$12,CVSSv2!$D$34,IF(H451=CVSSv2!$E$12,CVSSv2!$E$34,"")))&amp;")"</f>
        <v>(AV:N/AC:L/Au:N/C:C/I:C/A:C/E:H/RL:W/RC:C)</v>
      </c>
      <c r="H452" s="32"/>
      <c r="I452" s="33"/>
      <c r="J452" s="23"/>
      <c r="K452" s="23"/>
      <c r="L452" s="24"/>
      <c r="M452" s="24"/>
      <c r="N452" s="24"/>
      <c r="O452" s="24"/>
    </row>
    <row r="453" customFormat="false" ht="15.75" hidden="false" customHeight="true" outlineLevel="0" collapsed="false">
      <c r="A453" s="23" t="n">
        <v>46</v>
      </c>
      <c r="B453" s="24" t="s">
        <v>759</v>
      </c>
      <c r="C453" s="24" t="s">
        <v>17</v>
      </c>
      <c r="D453" s="24" t="s">
        <v>17</v>
      </c>
      <c r="E453" s="24" t="s">
        <v>17</v>
      </c>
      <c r="F4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53" s="26" t="str">
        <f aca="false">CVSSv2!$A$4</f>
        <v>Vector de acceso:</v>
      </c>
      <c r="H453" s="27" t="s">
        <v>706</v>
      </c>
      <c r="I453" s="33" t="n">
        <f aca="false">ROUND(((0.6*(10.41*(1-(1-IF(H456=CVSSv2!$C$7,CVSSv2!$C$18,IF(H456=CVSSv2!$D$7,CVSSv2!$D$18,IF(H456=CVSSv2!$E$7,CVSSv2!$E$18,0))))*(1-IF(H457=CVSSv2!$C$8,CVSSv2!$C$19,IF(H457=CVSSv2!$D$8,CVSSv2!$D$19,IF(H457=CVSSv2!$E$8,CVSSv2!$E$19,0))))*(1-IF(H458=CVSSv2!$C$9,CVSSv2!$C$20,IF(H458=CVSSv2!$D$9,CVSSv2!$D$20,IF(H458=CVSSv2!$E$9,CVSSv2!$E$20,0))))))+0.4*(20*IF(H453=CVSSv2!$C$4,CVSSv2!$C$15,IF(H453=CVSSv2!$D$4,CVSSv2!$D$15,IF(H453=CVSSv2!$E$4,CVSSv2!$E$15,0)))*IF(H454=CVSSv2!$C$5,CVSSv2!$C$16,IF(H454=CVSSv2!$D$5,CVSSv2!$D$16,IF(H454=CVSSv2!$E$5,CVSSv2!$E$16,0)))*IF(H455=CVSSv2!$C$6,CVSSv2!$C$17,IF(H455=CVSSv2!$D$6,CVSSv2!$D$17,IF(H455=CVSSv2!$E$6,CVSSv2!$E$17,0))))-1.5)*(IF(10.41*(1-(1-IF(H456=CVSSv2!$C$7,CVSSv2!$C$18,IF(H456=CVSSv2!$D$7,CVSSv2!$D$18,IF(H456=CVSSv2!$E$7,CVSSv2!$E$18,0))))*(1-IF(H457=CVSSv2!$C$8,CVSSv2!$C$19,IF(H457=CVSSv2!$D$8,CVSSv2!$D$19,IF(H457=CVSSv2!$E$8,CVSSv2!$E$19,0))))*(1-IF(H458=CVSSv2!$C$9,CVSSv2!$C$20,IF(H458=CVSSv2!$D$9,CVSSv2!$D$20,IF(H458=CVSSv2!$E$9,CVSSv2!$E$20,0)))))=0,0,1.176)))*(IF(H459=CVSSv2!$C$10,CVSSv2!$C$21,IF(H459=CVSSv2!$D$10,CVSSv2!$D$21,IF(H459=CVSSv2!$E$10,CVSSv2!$E$21,IF(H459=CVSSv2!$F$10,CVSSv2!$F$21,0))))*IF(H460=CVSSv2!$C$11,CVSSv2!$C$22,IF(H460=CVSSv2!$D$11,CVSSv2!$D$22,IF(H460=CVSSv2!$E$11,CVSSv2!$E$22,IF(H460=CVSSv2!$F$11,CVSSv2!$F$22,0))))*IF(H461=CVSSv2!$C$12,CVSSv2!$C$23,IF(H461=CVSSv2!$D$12,CVSSv2!$D$23,IF(H461=CVSSv2!$E$12,CVSSv2!$E$23,0)))),1)</f>
        <v>9.5</v>
      </c>
      <c r="J453" s="23" t="n">
        <v>0</v>
      </c>
      <c r="K453" s="23" t="n">
        <v>0</v>
      </c>
      <c r="L453" s="24" t="s">
        <v>17</v>
      </c>
      <c r="M453" s="24" t="s">
        <v>17</v>
      </c>
      <c r="N453" s="24" t="s">
        <v>707</v>
      </c>
      <c r="O453" s="24" t="s">
        <v>708</v>
      </c>
    </row>
    <row r="454" customFormat="false" ht="15.75" hidden="false" customHeight="true" outlineLevel="0" collapsed="false">
      <c r="A454" s="23"/>
      <c r="B454" s="24"/>
      <c r="C454" s="24"/>
      <c r="D454" s="24"/>
      <c r="E454" s="24"/>
      <c r="F454" s="25"/>
      <c r="G454" s="30" t="str">
        <f aca="false">CVSSv2!$A$5</f>
        <v>Complejidad de acceso:</v>
      </c>
      <c r="H454" s="31" t="s">
        <v>709</v>
      </c>
      <c r="I454" s="33"/>
      <c r="J454" s="23"/>
      <c r="K454" s="23"/>
      <c r="L454" s="24"/>
      <c r="M454" s="24"/>
      <c r="N454" s="24"/>
      <c r="O454" s="24"/>
    </row>
    <row r="455" customFormat="false" ht="15.75" hidden="false" customHeight="true" outlineLevel="0" collapsed="false">
      <c r="A455" s="23"/>
      <c r="B455" s="24"/>
      <c r="C455" s="24"/>
      <c r="D455" s="24"/>
      <c r="E455" s="24"/>
      <c r="F455" s="25"/>
      <c r="G455" s="30" t="str">
        <f aca="false">CVSSv2!$A$6</f>
        <v>Autenticación:</v>
      </c>
      <c r="H455" s="31" t="s">
        <v>710</v>
      </c>
      <c r="I455" s="33"/>
      <c r="J455" s="23"/>
      <c r="K455" s="23"/>
      <c r="L455" s="24"/>
      <c r="M455" s="24"/>
      <c r="N455" s="24"/>
      <c r="O455" s="24"/>
    </row>
    <row r="456" customFormat="false" ht="15.75" hidden="false" customHeight="true" outlineLevel="0" collapsed="false">
      <c r="A456" s="23"/>
      <c r="B456" s="24"/>
      <c r="C456" s="24"/>
      <c r="D456" s="24"/>
      <c r="E456" s="24"/>
      <c r="F456" s="25"/>
      <c r="G456" s="30" t="str">
        <f aca="false">CVSSv2!$A$7</f>
        <v>Impacto a la confidencialidad:</v>
      </c>
      <c r="H456" s="31" t="s">
        <v>711</v>
      </c>
      <c r="I456" s="33"/>
      <c r="J456" s="23"/>
      <c r="K456" s="23"/>
      <c r="L456" s="24"/>
      <c r="M456" s="24"/>
      <c r="N456" s="24"/>
      <c r="O456" s="24"/>
    </row>
    <row r="457" customFormat="false" ht="15.75" hidden="false" customHeight="true" outlineLevel="0" collapsed="false">
      <c r="A457" s="23"/>
      <c r="B457" s="24"/>
      <c r="C457" s="24"/>
      <c r="D457" s="24"/>
      <c r="E457" s="24"/>
      <c r="F457" s="25"/>
      <c r="G457" s="30" t="str">
        <f aca="false">CVSSv2!$A$8</f>
        <v>Impacto a la integridad:</v>
      </c>
      <c r="H457" s="31" t="s">
        <v>711</v>
      </c>
      <c r="I457" s="33"/>
      <c r="J457" s="23"/>
      <c r="K457" s="23"/>
      <c r="L457" s="24"/>
      <c r="M457" s="24"/>
      <c r="N457" s="24"/>
      <c r="O457" s="24"/>
    </row>
    <row r="458" customFormat="false" ht="15.75" hidden="false" customHeight="true" outlineLevel="0" collapsed="false">
      <c r="A458" s="23"/>
      <c r="B458" s="24"/>
      <c r="C458" s="24"/>
      <c r="D458" s="24"/>
      <c r="E458" s="24"/>
      <c r="F458" s="25"/>
      <c r="G458" s="30" t="str">
        <f aca="false">CVSSv2!$A$9</f>
        <v>Impacto a la disponibilidad:</v>
      </c>
      <c r="H458" s="31" t="s">
        <v>711</v>
      </c>
      <c r="I458" s="33"/>
      <c r="J458" s="23"/>
      <c r="K458" s="23"/>
      <c r="L458" s="24"/>
      <c r="M458" s="24"/>
      <c r="N458" s="24"/>
      <c r="O458" s="24"/>
    </row>
    <row r="459" customFormat="false" ht="15.75" hidden="false" customHeight="true" outlineLevel="0" collapsed="false">
      <c r="A459" s="23"/>
      <c r="B459" s="24"/>
      <c r="C459" s="24"/>
      <c r="D459" s="24"/>
      <c r="E459" s="24"/>
      <c r="F459" s="25"/>
      <c r="G459" s="30" t="str">
        <f aca="false">CVSSv2!$A$10</f>
        <v>Explotabilidad:</v>
      </c>
      <c r="H459" s="31" t="s">
        <v>712</v>
      </c>
      <c r="I459" s="33"/>
      <c r="J459" s="23"/>
      <c r="K459" s="23"/>
      <c r="L459" s="24"/>
      <c r="M459" s="24"/>
      <c r="N459" s="24"/>
      <c r="O459" s="24"/>
    </row>
    <row r="460" customFormat="false" ht="15.75" hidden="false" customHeight="true" outlineLevel="0" collapsed="false">
      <c r="A460" s="23"/>
      <c r="B460" s="24"/>
      <c r="C460" s="24"/>
      <c r="D460" s="24"/>
      <c r="E460" s="24"/>
      <c r="F460" s="25"/>
      <c r="G460" s="30" t="str">
        <f aca="false">CVSSv2!$A$11</f>
        <v>Nivel de resolución:</v>
      </c>
      <c r="H460" s="31" t="s">
        <v>713</v>
      </c>
      <c r="I460" s="33"/>
      <c r="J460" s="23"/>
      <c r="K460" s="23"/>
      <c r="L460" s="24"/>
      <c r="M460" s="24"/>
      <c r="N460" s="24"/>
      <c r="O460" s="24"/>
    </row>
    <row r="461" customFormat="false" ht="15.75" hidden="false" customHeight="true" outlineLevel="0" collapsed="false">
      <c r="A461" s="23"/>
      <c r="B461" s="24"/>
      <c r="C461" s="24"/>
      <c r="D461" s="24"/>
      <c r="E461" s="24"/>
      <c r="F461" s="25"/>
      <c r="G461" s="30" t="str">
        <f aca="false">CVSSv2!$A$12</f>
        <v>Nivel de confianza:</v>
      </c>
      <c r="H461" s="31" t="s">
        <v>714</v>
      </c>
      <c r="I461" s="33"/>
      <c r="J461" s="23"/>
      <c r="K461" s="23"/>
      <c r="L461" s="24"/>
      <c r="M461" s="24"/>
      <c r="N461" s="24"/>
      <c r="O461" s="24"/>
    </row>
    <row r="462" customFormat="false" ht="15.75" hidden="false" customHeight="true" outlineLevel="0" collapsed="false">
      <c r="A462" s="23"/>
      <c r="B462" s="24"/>
      <c r="C462" s="24"/>
      <c r="D462" s="24"/>
      <c r="E462" s="24"/>
      <c r="F462" s="25"/>
      <c r="G462" s="32" t="str">
        <f aca="false">"("&amp;CVSSv2!$B$4&amp;":"&amp;IF(H453=CVSSv2!$C$4,CVSSv2!$C$26,IF(H453=CVSSv2!$D$4,CVSSv2!$D$26,IF(H453=CVSSv2!$E$4,CVSSv2!$E$26,"")))&amp;"/"&amp;CVSSv2!$B$5&amp;":"&amp;IF(H454=CVSSv2!$C$5,CVSSv2!$C$27,IF(H454=CVSSv2!$D$5,CVSSv2!$D$27,IF(H454=CVSSv2!$E$5,CVSSv2!$E$27,"")))&amp;"/"&amp;CVSSv2!$B$6&amp;":"&amp;IF(H455=CVSSv2!$C$6,CVSSv2!$C$28,IF(H455=CVSSv2!$D$6,CVSSv2!$D$28,IF(H455=CVSSv2!$E$6,CVSSv2!$E$28,"")))&amp;"/"&amp;CVSSv2!$B$7&amp;":"&amp;IF(H456=CVSSv2!$C$7,CVSSv2!$C$29,IF(H456=CVSSv2!$D$7,CVSSv2!$D$29,IF(H456=CVSSv2!$E$7,CVSSv2!$E$29,"")))&amp;"/"&amp;CVSSv2!$B$8&amp;":"&amp;IF(H457=CVSSv2!$C$8,CVSSv2!$C$30,IF(H457=CVSSv2!$D$8,CVSSv2!$D$30,IF(H457=CVSSv2!$E$8,CVSSv2!$E$30,"")))&amp;"/"&amp;CVSSv2!$B$9&amp;":"&amp;IF(H458=CVSSv2!$C$9,CVSSv2!$C$31,IF(H458=CVSSv2!$D$9,CVSSv2!$D$31,IF(H458=CVSSv2!$E$9,CVSSv2!$E$31,"")))&amp;"/"&amp;CVSSv2!$B$10&amp;":"&amp;IF(H459=CVSSv2!$C$10,CVSSv2!$C$32,IF(H459=CVSSv2!$D$10,CVSSv2!$D$32,IF(H459=CVSSv2!$E$10,CVSSv2!$E$32,IF(H459=CVSSv2!$F$10,CVSSv2!$F$32,""))))&amp;"/"&amp;CVSSv2!$B$11&amp;":"&amp;IF(H460=CVSSv2!$C$11,CVSSv2!$C$33,IF(H460=CVSSv2!$D$11,CVSSv2!$D$33,IF(H460=CVSSv2!$E$11,CVSSv2!$E$33,IF(H460=CVSSv2!$F$11,CVSSv2!$F$33,""))))&amp;"/"&amp;CVSSv2!$B$12&amp;":"&amp;IF(H461=CVSSv2!$C$12,CVSSv2!$C$34,IF(H461=CVSSv2!$D$12,CVSSv2!$D$34,IF(H461=CVSSv2!$E$12,CVSSv2!$E$34,"")))&amp;")"</f>
        <v>(AV:N/AC:L/Au:N/C:C/I:C/A:C/E:H/RL:W/RC:C)</v>
      </c>
      <c r="H462" s="32"/>
      <c r="I462" s="33"/>
      <c r="J462" s="23"/>
      <c r="K462" s="23"/>
      <c r="L462" s="24"/>
      <c r="M462" s="24"/>
      <c r="N462" s="24"/>
      <c r="O462" s="24"/>
    </row>
    <row r="463" customFormat="false" ht="15.75" hidden="false" customHeight="true" outlineLevel="0" collapsed="false">
      <c r="A463" s="23" t="n">
        <v>47</v>
      </c>
      <c r="B463" s="24" t="s">
        <v>760</v>
      </c>
      <c r="C463" s="24" t="s">
        <v>17</v>
      </c>
      <c r="D463" s="24" t="s">
        <v>17</v>
      </c>
      <c r="E463" s="24" t="s">
        <v>17</v>
      </c>
      <c r="F4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63" s="26" t="str">
        <f aca="false">CVSSv2!$A$4</f>
        <v>Vector de acceso:</v>
      </c>
      <c r="H463" s="27" t="s">
        <v>706</v>
      </c>
      <c r="I463" s="33" t="n">
        <f aca="false">ROUND(((0.6*(10.41*(1-(1-IF(H466=CVSSv2!$C$7,CVSSv2!$C$18,IF(H466=CVSSv2!$D$7,CVSSv2!$D$18,IF(H466=CVSSv2!$E$7,CVSSv2!$E$18,0))))*(1-IF(H467=CVSSv2!$C$8,CVSSv2!$C$19,IF(H467=CVSSv2!$D$8,CVSSv2!$D$19,IF(H467=CVSSv2!$E$8,CVSSv2!$E$19,0))))*(1-IF(H468=CVSSv2!$C$9,CVSSv2!$C$20,IF(H468=CVSSv2!$D$9,CVSSv2!$D$20,IF(H468=CVSSv2!$E$9,CVSSv2!$E$20,0))))))+0.4*(20*IF(H463=CVSSv2!$C$4,CVSSv2!$C$15,IF(H463=CVSSv2!$D$4,CVSSv2!$D$15,IF(H463=CVSSv2!$E$4,CVSSv2!$E$15,0)))*IF(H464=CVSSv2!$C$5,CVSSv2!$C$16,IF(H464=CVSSv2!$D$5,CVSSv2!$D$16,IF(H464=CVSSv2!$E$5,CVSSv2!$E$16,0)))*IF(H465=CVSSv2!$C$6,CVSSv2!$C$17,IF(H465=CVSSv2!$D$6,CVSSv2!$D$17,IF(H465=CVSSv2!$E$6,CVSSv2!$E$17,0))))-1.5)*(IF(10.41*(1-(1-IF(H466=CVSSv2!$C$7,CVSSv2!$C$18,IF(H466=CVSSv2!$D$7,CVSSv2!$D$18,IF(H466=CVSSv2!$E$7,CVSSv2!$E$18,0))))*(1-IF(H467=CVSSv2!$C$8,CVSSv2!$C$19,IF(H467=CVSSv2!$D$8,CVSSv2!$D$19,IF(H467=CVSSv2!$E$8,CVSSv2!$E$19,0))))*(1-IF(H468=CVSSv2!$C$9,CVSSv2!$C$20,IF(H468=CVSSv2!$D$9,CVSSv2!$D$20,IF(H468=CVSSv2!$E$9,CVSSv2!$E$20,0)))))=0,0,1.176)))*(IF(H469=CVSSv2!$C$10,CVSSv2!$C$21,IF(H469=CVSSv2!$D$10,CVSSv2!$D$21,IF(H469=CVSSv2!$E$10,CVSSv2!$E$21,IF(H469=CVSSv2!$F$10,CVSSv2!$F$21,0))))*IF(H470=CVSSv2!$C$11,CVSSv2!$C$22,IF(H470=CVSSv2!$D$11,CVSSv2!$D$22,IF(H470=CVSSv2!$E$11,CVSSv2!$E$22,IF(H470=CVSSv2!$F$11,CVSSv2!$F$22,0))))*IF(H471=CVSSv2!$C$12,CVSSv2!$C$23,IF(H471=CVSSv2!$D$12,CVSSv2!$D$23,IF(H471=CVSSv2!$E$12,CVSSv2!$E$23,0)))),1)</f>
        <v>9.5</v>
      </c>
      <c r="J463" s="23" t="n">
        <v>0</v>
      </c>
      <c r="K463" s="23" t="n">
        <v>0</v>
      </c>
      <c r="L463" s="24" t="s">
        <v>17</v>
      </c>
      <c r="M463" s="24" t="s">
        <v>17</v>
      </c>
      <c r="N463" s="24" t="s">
        <v>707</v>
      </c>
      <c r="O463" s="24" t="s">
        <v>708</v>
      </c>
    </row>
    <row r="464" customFormat="false" ht="15.75" hidden="false" customHeight="true" outlineLevel="0" collapsed="false">
      <c r="A464" s="23"/>
      <c r="B464" s="24"/>
      <c r="C464" s="24"/>
      <c r="D464" s="24"/>
      <c r="E464" s="24"/>
      <c r="F464" s="25"/>
      <c r="G464" s="30" t="str">
        <f aca="false">CVSSv2!$A$5</f>
        <v>Complejidad de acceso:</v>
      </c>
      <c r="H464" s="31" t="s">
        <v>709</v>
      </c>
      <c r="I464" s="33"/>
      <c r="J464" s="23"/>
      <c r="K464" s="23"/>
      <c r="L464" s="24"/>
      <c r="M464" s="24"/>
      <c r="N464" s="24"/>
      <c r="O464" s="24"/>
    </row>
    <row r="465" customFormat="false" ht="15.75" hidden="false" customHeight="true" outlineLevel="0" collapsed="false">
      <c r="A465" s="23"/>
      <c r="B465" s="24"/>
      <c r="C465" s="24"/>
      <c r="D465" s="24"/>
      <c r="E465" s="24"/>
      <c r="F465" s="25"/>
      <c r="G465" s="30" t="str">
        <f aca="false">CVSSv2!$A$6</f>
        <v>Autenticación:</v>
      </c>
      <c r="H465" s="31" t="s">
        <v>710</v>
      </c>
      <c r="I465" s="33"/>
      <c r="J465" s="23"/>
      <c r="K465" s="23"/>
      <c r="L465" s="24"/>
      <c r="M465" s="24"/>
      <c r="N465" s="24"/>
      <c r="O465" s="24"/>
    </row>
    <row r="466" customFormat="false" ht="15.75" hidden="false" customHeight="true" outlineLevel="0" collapsed="false">
      <c r="A466" s="23"/>
      <c r="B466" s="24"/>
      <c r="C466" s="24"/>
      <c r="D466" s="24"/>
      <c r="E466" s="24"/>
      <c r="F466" s="25"/>
      <c r="G466" s="30" t="str">
        <f aca="false">CVSSv2!$A$7</f>
        <v>Impacto a la confidencialidad:</v>
      </c>
      <c r="H466" s="31" t="s">
        <v>711</v>
      </c>
      <c r="I466" s="33"/>
      <c r="J466" s="23"/>
      <c r="K466" s="23"/>
      <c r="L466" s="24"/>
      <c r="M466" s="24"/>
      <c r="N466" s="24"/>
      <c r="O466" s="24"/>
    </row>
    <row r="467" customFormat="false" ht="15.75" hidden="false" customHeight="true" outlineLevel="0" collapsed="false">
      <c r="A467" s="23"/>
      <c r="B467" s="24"/>
      <c r="C467" s="24"/>
      <c r="D467" s="24"/>
      <c r="E467" s="24"/>
      <c r="F467" s="25"/>
      <c r="G467" s="30" t="str">
        <f aca="false">CVSSv2!$A$8</f>
        <v>Impacto a la integridad:</v>
      </c>
      <c r="H467" s="31" t="s">
        <v>711</v>
      </c>
      <c r="I467" s="33"/>
      <c r="J467" s="23"/>
      <c r="K467" s="23"/>
      <c r="L467" s="24"/>
      <c r="M467" s="24"/>
      <c r="N467" s="24"/>
      <c r="O467" s="24"/>
    </row>
    <row r="468" customFormat="false" ht="15.75" hidden="false" customHeight="true" outlineLevel="0" collapsed="false">
      <c r="A468" s="23"/>
      <c r="B468" s="24"/>
      <c r="C468" s="24"/>
      <c r="D468" s="24"/>
      <c r="E468" s="24"/>
      <c r="F468" s="25"/>
      <c r="G468" s="30" t="str">
        <f aca="false">CVSSv2!$A$9</f>
        <v>Impacto a la disponibilidad:</v>
      </c>
      <c r="H468" s="31" t="s">
        <v>711</v>
      </c>
      <c r="I468" s="33"/>
      <c r="J468" s="23"/>
      <c r="K468" s="23"/>
      <c r="L468" s="24"/>
      <c r="M468" s="24"/>
      <c r="N468" s="24"/>
      <c r="O468" s="24"/>
    </row>
    <row r="469" customFormat="false" ht="15.75" hidden="false" customHeight="true" outlineLevel="0" collapsed="false">
      <c r="A469" s="23"/>
      <c r="B469" s="24"/>
      <c r="C469" s="24"/>
      <c r="D469" s="24"/>
      <c r="E469" s="24"/>
      <c r="F469" s="25"/>
      <c r="G469" s="30" t="str">
        <f aca="false">CVSSv2!$A$10</f>
        <v>Explotabilidad:</v>
      </c>
      <c r="H469" s="31" t="s">
        <v>712</v>
      </c>
      <c r="I469" s="33"/>
      <c r="J469" s="23"/>
      <c r="K469" s="23"/>
      <c r="L469" s="24"/>
      <c r="M469" s="24"/>
      <c r="N469" s="24"/>
      <c r="O469" s="24"/>
    </row>
    <row r="470" customFormat="false" ht="15.75" hidden="false" customHeight="true" outlineLevel="0" collapsed="false">
      <c r="A470" s="23"/>
      <c r="B470" s="24"/>
      <c r="C470" s="24"/>
      <c r="D470" s="24"/>
      <c r="E470" s="24"/>
      <c r="F470" s="25"/>
      <c r="G470" s="30" t="str">
        <f aca="false">CVSSv2!$A$11</f>
        <v>Nivel de resolución:</v>
      </c>
      <c r="H470" s="31" t="s">
        <v>713</v>
      </c>
      <c r="I470" s="33"/>
      <c r="J470" s="23"/>
      <c r="K470" s="23"/>
      <c r="L470" s="24"/>
      <c r="M470" s="24"/>
      <c r="N470" s="24"/>
      <c r="O470" s="24"/>
    </row>
    <row r="471" customFormat="false" ht="15.75" hidden="false" customHeight="true" outlineLevel="0" collapsed="false">
      <c r="A471" s="23"/>
      <c r="B471" s="24"/>
      <c r="C471" s="24"/>
      <c r="D471" s="24"/>
      <c r="E471" s="24"/>
      <c r="F471" s="25"/>
      <c r="G471" s="30" t="str">
        <f aca="false">CVSSv2!$A$12</f>
        <v>Nivel de confianza:</v>
      </c>
      <c r="H471" s="31" t="s">
        <v>714</v>
      </c>
      <c r="I471" s="33"/>
      <c r="J471" s="23"/>
      <c r="K471" s="23"/>
      <c r="L471" s="24"/>
      <c r="M471" s="24"/>
      <c r="N471" s="24"/>
      <c r="O471" s="24"/>
    </row>
    <row r="472" customFormat="false" ht="15.75" hidden="false" customHeight="true" outlineLevel="0" collapsed="false">
      <c r="A472" s="23"/>
      <c r="B472" s="24"/>
      <c r="C472" s="24"/>
      <c r="D472" s="24"/>
      <c r="E472" s="24"/>
      <c r="F472" s="25"/>
      <c r="G472" s="32" t="str">
        <f aca="false">"("&amp;CVSSv2!$B$4&amp;":"&amp;IF(H463=CVSSv2!$C$4,CVSSv2!$C$26,IF(H463=CVSSv2!$D$4,CVSSv2!$D$26,IF(H463=CVSSv2!$E$4,CVSSv2!$E$26,"")))&amp;"/"&amp;CVSSv2!$B$5&amp;":"&amp;IF(H464=CVSSv2!$C$5,CVSSv2!$C$27,IF(H464=CVSSv2!$D$5,CVSSv2!$D$27,IF(H464=CVSSv2!$E$5,CVSSv2!$E$27,"")))&amp;"/"&amp;CVSSv2!$B$6&amp;":"&amp;IF(H465=CVSSv2!$C$6,CVSSv2!$C$28,IF(H465=CVSSv2!$D$6,CVSSv2!$D$28,IF(H465=CVSSv2!$E$6,CVSSv2!$E$28,"")))&amp;"/"&amp;CVSSv2!$B$7&amp;":"&amp;IF(H466=CVSSv2!$C$7,CVSSv2!$C$29,IF(H466=CVSSv2!$D$7,CVSSv2!$D$29,IF(H466=CVSSv2!$E$7,CVSSv2!$E$29,"")))&amp;"/"&amp;CVSSv2!$B$8&amp;":"&amp;IF(H467=CVSSv2!$C$8,CVSSv2!$C$30,IF(H467=CVSSv2!$D$8,CVSSv2!$D$30,IF(H467=CVSSv2!$E$8,CVSSv2!$E$30,"")))&amp;"/"&amp;CVSSv2!$B$9&amp;":"&amp;IF(H468=CVSSv2!$C$9,CVSSv2!$C$31,IF(H468=CVSSv2!$D$9,CVSSv2!$D$31,IF(H468=CVSSv2!$E$9,CVSSv2!$E$31,"")))&amp;"/"&amp;CVSSv2!$B$10&amp;":"&amp;IF(H469=CVSSv2!$C$10,CVSSv2!$C$32,IF(H469=CVSSv2!$D$10,CVSSv2!$D$32,IF(H469=CVSSv2!$E$10,CVSSv2!$E$32,IF(H469=CVSSv2!$F$10,CVSSv2!$F$32,""))))&amp;"/"&amp;CVSSv2!$B$11&amp;":"&amp;IF(H470=CVSSv2!$C$11,CVSSv2!$C$33,IF(H470=CVSSv2!$D$11,CVSSv2!$D$33,IF(H470=CVSSv2!$E$11,CVSSv2!$E$33,IF(H470=CVSSv2!$F$11,CVSSv2!$F$33,""))))&amp;"/"&amp;CVSSv2!$B$12&amp;":"&amp;IF(H471=CVSSv2!$C$12,CVSSv2!$C$34,IF(H471=CVSSv2!$D$12,CVSSv2!$D$34,IF(H471=CVSSv2!$E$12,CVSSv2!$E$34,"")))&amp;")"</f>
        <v>(AV:N/AC:L/Au:N/C:C/I:C/A:C/E:H/RL:W/RC:C)</v>
      </c>
      <c r="H472" s="32"/>
      <c r="I472" s="33"/>
      <c r="J472" s="23"/>
      <c r="K472" s="23"/>
      <c r="L472" s="24"/>
      <c r="M472" s="24"/>
      <c r="N472" s="24"/>
      <c r="O472" s="24"/>
    </row>
    <row r="473" customFormat="false" ht="15.75" hidden="false" customHeight="true" outlineLevel="0" collapsed="false">
      <c r="A473" s="23" t="n">
        <v>48</v>
      </c>
      <c r="B473" s="24" t="s">
        <v>761</v>
      </c>
      <c r="C473" s="24" t="s">
        <v>17</v>
      </c>
      <c r="D473" s="24" t="s">
        <v>17</v>
      </c>
      <c r="E473" s="24" t="s">
        <v>17</v>
      </c>
      <c r="F4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73" s="26" t="str">
        <f aca="false">CVSSv2!$A$4</f>
        <v>Vector de acceso:</v>
      </c>
      <c r="H473" s="27" t="s">
        <v>706</v>
      </c>
      <c r="I473" s="33" t="n">
        <f aca="false">ROUND(((0.6*(10.41*(1-(1-IF(H476=CVSSv2!$C$7,CVSSv2!$C$18,IF(H476=CVSSv2!$D$7,CVSSv2!$D$18,IF(H476=CVSSv2!$E$7,CVSSv2!$E$18,0))))*(1-IF(H477=CVSSv2!$C$8,CVSSv2!$C$19,IF(H477=CVSSv2!$D$8,CVSSv2!$D$19,IF(H477=CVSSv2!$E$8,CVSSv2!$E$19,0))))*(1-IF(H478=CVSSv2!$C$9,CVSSv2!$C$20,IF(H478=CVSSv2!$D$9,CVSSv2!$D$20,IF(H478=CVSSv2!$E$9,CVSSv2!$E$20,0))))))+0.4*(20*IF(H473=CVSSv2!$C$4,CVSSv2!$C$15,IF(H473=CVSSv2!$D$4,CVSSv2!$D$15,IF(H473=CVSSv2!$E$4,CVSSv2!$E$15,0)))*IF(H474=CVSSv2!$C$5,CVSSv2!$C$16,IF(H474=CVSSv2!$D$5,CVSSv2!$D$16,IF(H474=CVSSv2!$E$5,CVSSv2!$E$16,0)))*IF(H475=CVSSv2!$C$6,CVSSv2!$C$17,IF(H475=CVSSv2!$D$6,CVSSv2!$D$17,IF(H475=CVSSv2!$E$6,CVSSv2!$E$17,0))))-1.5)*(IF(10.41*(1-(1-IF(H476=CVSSv2!$C$7,CVSSv2!$C$18,IF(H476=CVSSv2!$D$7,CVSSv2!$D$18,IF(H476=CVSSv2!$E$7,CVSSv2!$E$18,0))))*(1-IF(H477=CVSSv2!$C$8,CVSSv2!$C$19,IF(H477=CVSSv2!$D$8,CVSSv2!$D$19,IF(H477=CVSSv2!$E$8,CVSSv2!$E$19,0))))*(1-IF(H478=CVSSv2!$C$9,CVSSv2!$C$20,IF(H478=CVSSv2!$D$9,CVSSv2!$D$20,IF(H478=CVSSv2!$E$9,CVSSv2!$E$20,0)))))=0,0,1.176)))*(IF(H479=CVSSv2!$C$10,CVSSv2!$C$21,IF(H479=CVSSv2!$D$10,CVSSv2!$D$21,IF(H479=CVSSv2!$E$10,CVSSv2!$E$21,IF(H479=CVSSv2!$F$10,CVSSv2!$F$21,0))))*IF(H480=CVSSv2!$C$11,CVSSv2!$C$22,IF(H480=CVSSv2!$D$11,CVSSv2!$D$22,IF(H480=CVSSv2!$E$11,CVSSv2!$E$22,IF(H480=CVSSv2!$F$11,CVSSv2!$F$22,0))))*IF(H481=CVSSv2!$C$12,CVSSv2!$C$23,IF(H481=CVSSv2!$D$12,CVSSv2!$D$23,IF(H481=CVSSv2!$E$12,CVSSv2!$E$23,0)))),1)</f>
        <v>9.5</v>
      </c>
      <c r="J473" s="23" t="n">
        <v>0</v>
      </c>
      <c r="K473" s="23" t="n">
        <v>0</v>
      </c>
      <c r="L473" s="24" t="s">
        <v>17</v>
      </c>
      <c r="M473" s="24" t="s">
        <v>17</v>
      </c>
      <c r="N473" s="24" t="s">
        <v>707</v>
      </c>
      <c r="O473" s="24" t="s">
        <v>708</v>
      </c>
    </row>
    <row r="474" customFormat="false" ht="15.75" hidden="false" customHeight="true" outlineLevel="0" collapsed="false">
      <c r="A474" s="23"/>
      <c r="B474" s="24"/>
      <c r="C474" s="24"/>
      <c r="D474" s="24"/>
      <c r="E474" s="24"/>
      <c r="F474" s="25"/>
      <c r="G474" s="30" t="str">
        <f aca="false">CVSSv2!$A$5</f>
        <v>Complejidad de acceso:</v>
      </c>
      <c r="H474" s="31" t="s">
        <v>709</v>
      </c>
      <c r="I474" s="33"/>
      <c r="J474" s="23"/>
      <c r="K474" s="23"/>
      <c r="L474" s="24"/>
      <c r="M474" s="24"/>
      <c r="N474" s="24"/>
      <c r="O474" s="24"/>
    </row>
    <row r="475" customFormat="false" ht="15.75" hidden="false" customHeight="true" outlineLevel="0" collapsed="false">
      <c r="A475" s="23"/>
      <c r="B475" s="24"/>
      <c r="C475" s="24"/>
      <c r="D475" s="24"/>
      <c r="E475" s="24"/>
      <c r="F475" s="25"/>
      <c r="G475" s="30" t="str">
        <f aca="false">CVSSv2!$A$6</f>
        <v>Autenticación:</v>
      </c>
      <c r="H475" s="31" t="s">
        <v>710</v>
      </c>
      <c r="I475" s="33"/>
      <c r="J475" s="23"/>
      <c r="K475" s="23"/>
      <c r="L475" s="24"/>
      <c r="M475" s="24"/>
      <c r="N475" s="24"/>
      <c r="O475" s="24"/>
    </row>
    <row r="476" customFormat="false" ht="15.75" hidden="false" customHeight="true" outlineLevel="0" collapsed="false">
      <c r="A476" s="23"/>
      <c r="B476" s="24"/>
      <c r="C476" s="24"/>
      <c r="D476" s="24"/>
      <c r="E476" s="24"/>
      <c r="F476" s="25"/>
      <c r="G476" s="30" t="str">
        <f aca="false">CVSSv2!$A$7</f>
        <v>Impacto a la confidencialidad:</v>
      </c>
      <c r="H476" s="31" t="s">
        <v>711</v>
      </c>
      <c r="I476" s="33"/>
      <c r="J476" s="23"/>
      <c r="K476" s="23"/>
      <c r="L476" s="24"/>
      <c r="M476" s="24"/>
      <c r="N476" s="24"/>
      <c r="O476" s="24"/>
    </row>
    <row r="477" customFormat="false" ht="15.75" hidden="false" customHeight="true" outlineLevel="0" collapsed="false">
      <c r="A477" s="23"/>
      <c r="B477" s="24"/>
      <c r="C477" s="24"/>
      <c r="D477" s="24"/>
      <c r="E477" s="24"/>
      <c r="F477" s="25"/>
      <c r="G477" s="30" t="str">
        <f aca="false">CVSSv2!$A$8</f>
        <v>Impacto a la integridad:</v>
      </c>
      <c r="H477" s="31" t="s">
        <v>711</v>
      </c>
      <c r="I477" s="33"/>
      <c r="J477" s="23"/>
      <c r="K477" s="23"/>
      <c r="L477" s="24"/>
      <c r="M477" s="24"/>
      <c r="N477" s="24"/>
      <c r="O477" s="24"/>
    </row>
    <row r="478" customFormat="false" ht="15.75" hidden="false" customHeight="true" outlineLevel="0" collapsed="false">
      <c r="A478" s="23"/>
      <c r="B478" s="24"/>
      <c r="C478" s="24"/>
      <c r="D478" s="24"/>
      <c r="E478" s="24"/>
      <c r="F478" s="25"/>
      <c r="G478" s="30" t="str">
        <f aca="false">CVSSv2!$A$9</f>
        <v>Impacto a la disponibilidad:</v>
      </c>
      <c r="H478" s="31" t="s">
        <v>711</v>
      </c>
      <c r="I478" s="33"/>
      <c r="J478" s="23"/>
      <c r="K478" s="23"/>
      <c r="L478" s="24"/>
      <c r="M478" s="24"/>
      <c r="N478" s="24"/>
      <c r="O478" s="24"/>
    </row>
    <row r="479" customFormat="false" ht="15.75" hidden="false" customHeight="true" outlineLevel="0" collapsed="false">
      <c r="A479" s="23"/>
      <c r="B479" s="24"/>
      <c r="C479" s="24"/>
      <c r="D479" s="24"/>
      <c r="E479" s="24"/>
      <c r="F479" s="25"/>
      <c r="G479" s="30" t="str">
        <f aca="false">CVSSv2!$A$10</f>
        <v>Explotabilidad:</v>
      </c>
      <c r="H479" s="31" t="s">
        <v>712</v>
      </c>
      <c r="I479" s="33"/>
      <c r="J479" s="23"/>
      <c r="K479" s="23"/>
      <c r="L479" s="24"/>
      <c r="M479" s="24"/>
      <c r="N479" s="24"/>
      <c r="O479" s="24"/>
    </row>
    <row r="480" customFormat="false" ht="15.75" hidden="false" customHeight="true" outlineLevel="0" collapsed="false">
      <c r="A480" s="23"/>
      <c r="B480" s="24"/>
      <c r="C480" s="24"/>
      <c r="D480" s="24"/>
      <c r="E480" s="24"/>
      <c r="F480" s="25"/>
      <c r="G480" s="30" t="str">
        <f aca="false">CVSSv2!$A$11</f>
        <v>Nivel de resolución:</v>
      </c>
      <c r="H480" s="31" t="s">
        <v>713</v>
      </c>
      <c r="I480" s="33"/>
      <c r="J480" s="23"/>
      <c r="K480" s="23"/>
      <c r="L480" s="24"/>
      <c r="M480" s="24"/>
      <c r="N480" s="24"/>
      <c r="O480" s="24"/>
    </row>
    <row r="481" customFormat="false" ht="15.75" hidden="false" customHeight="true" outlineLevel="0" collapsed="false">
      <c r="A481" s="23"/>
      <c r="B481" s="24"/>
      <c r="C481" s="24"/>
      <c r="D481" s="24"/>
      <c r="E481" s="24"/>
      <c r="F481" s="25"/>
      <c r="G481" s="30" t="str">
        <f aca="false">CVSSv2!$A$12</f>
        <v>Nivel de confianza:</v>
      </c>
      <c r="H481" s="31" t="s">
        <v>714</v>
      </c>
      <c r="I481" s="33"/>
      <c r="J481" s="23"/>
      <c r="K481" s="23"/>
      <c r="L481" s="24"/>
      <c r="M481" s="24"/>
      <c r="N481" s="24"/>
      <c r="O481" s="24"/>
    </row>
    <row r="482" customFormat="false" ht="15.75" hidden="false" customHeight="true" outlineLevel="0" collapsed="false">
      <c r="A482" s="23"/>
      <c r="B482" s="24"/>
      <c r="C482" s="24"/>
      <c r="D482" s="24"/>
      <c r="E482" s="24"/>
      <c r="F482" s="25"/>
      <c r="G482" s="32" t="str">
        <f aca="false">"("&amp;CVSSv2!$B$4&amp;":"&amp;IF(H473=CVSSv2!$C$4,CVSSv2!$C$26,IF(H473=CVSSv2!$D$4,CVSSv2!$D$26,IF(H473=CVSSv2!$E$4,CVSSv2!$E$26,"")))&amp;"/"&amp;CVSSv2!$B$5&amp;":"&amp;IF(H474=CVSSv2!$C$5,CVSSv2!$C$27,IF(H474=CVSSv2!$D$5,CVSSv2!$D$27,IF(H474=CVSSv2!$E$5,CVSSv2!$E$27,"")))&amp;"/"&amp;CVSSv2!$B$6&amp;":"&amp;IF(H475=CVSSv2!$C$6,CVSSv2!$C$28,IF(H475=CVSSv2!$D$6,CVSSv2!$D$28,IF(H475=CVSSv2!$E$6,CVSSv2!$E$28,"")))&amp;"/"&amp;CVSSv2!$B$7&amp;":"&amp;IF(H476=CVSSv2!$C$7,CVSSv2!$C$29,IF(H476=CVSSv2!$D$7,CVSSv2!$D$29,IF(H476=CVSSv2!$E$7,CVSSv2!$E$29,"")))&amp;"/"&amp;CVSSv2!$B$8&amp;":"&amp;IF(H477=CVSSv2!$C$8,CVSSv2!$C$30,IF(H477=CVSSv2!$D$8,CVSSv2!$D$30,IF(H477=CVSSv2!$E$8,CVSSv2!$E$30,"")))&amp;"/"&amp;CVSSv2!$B$9&amp;":"&amp;IF(H478=CVSSv2!$C$9,CVSSv2!$C$31,IF(H478=CVSSv2!$D$9,CVSSv2!$D$31,IF(H478=CVSSv2!$E$9,CVSSv2!$E$31,"")))&amp;"/"&amp;CVSSv2!$B$10&amp;":"&amp;IF(H479=CVSSv2!$C$10,CVSSv2!$C$32,IF(H479=CVSSv2!$D$10,CVSSv2!$D$32,IF(H479=CVSSv2!$E$10,CVSSv2!$E$32,IF(H479=CVSSv2!$F$10,CVSSv2!$F$32,""))))&amp;"/"&amp;CVSSv2!$B$11&amp;":"&amp;IF(H480=CVSSv2!$C$11,CVSSv2!$C$33,IF(H480=CVSSv2!$D$11,CVSSv2!$D$33,IF(H480=CVSSv2!$E$11,CVSSv2!$E$33,IF(H480=CVSSv2!$F$11,CVSSv2!$F$33,""))))&amp;"/"&amp;CVSSv2!$B$12&amp;":"&amp;IF(H481=CVSSv2!$C$12,CVSSv2!$C$34,IF(H481=CVSSv2!$D$12,CVSSv2!$D$34,IF(H481=CVSSv2!$E$12,CVSSv2!$E$34,"")))&amp;")"</f>
        <v>(AV:N/AC:L/Au:N/C:C/I:C/A:C/E:H/RL:W/RC:C)</v>
      </c>
      <c r="H482" s="32"/>
      <c r="I482" s="33"/>
      <c r="J482" s="23"/>
      <c r="K482" s="23"/>
      <c r="L482" s="24"/>
      <c r="M482" s="24"/>
      <c r="N482" s="24"/>
      <c r="O482" s="24"/>
    </row>
    <row r="483" customFormat="false" ht="15.75" hidden="false" customHeight="true" outlineLevel="0" collapsed="false">
      <c r="A483" s="23" t="n">
        <v>49</v>
      </c>
      <c r="B483" s="24" t="s">
        <v>762</v>
      </c>
      <c r="C483" s="24" t="s">
        <v>17</v>
      </c>
      <c r="D483" s="24" t="s">
        <v>17</v>
      </c>
      <c r="E483" s="24" t="s">
        <v>17</v>
      </c>
      <c r="F4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83" s="26" t="str">
        <f aca="false">CVSSv2!$A$4</f>
        <v>Vector de acceso:</v>
      </c>
      <c r="H483" s="27" t="s">
        <v>706</v>
      </c>
      <c r="I483" s="33" t="n">
        <f aca="false">ROUND(((0.6*(10.41*(1-(1-IF(H486=CVSSv2!$C$7,CVSSv2!$C$18,IF(H486=CVSSv2!$D$7,CVSSv2!$D$18,IF(H486=CVSSv2!$E$7,CVSSv2!$E$18,0))))*(1-IF(H487=CVSSv2!$C$8,CVSSv2!$C$19,IF(H487=CVSSv2!$D$8,CVSSv2!$D$19,IF(H487=CVSSv2!$E$8,CVSSv2!$E$19,0))))*(1-IF(H488=CVSSv2!$C$9,CVSSv2!$C$20,IF(H488=CVSSv2!$D$9,CVSSv2!$D$20,IF(H488=CVSSv2!$E$9,CVSSv2!$E$20,0))))))+0.4*(20*IF(H483=CVSSv2!$C$4,CVSSv2!$C$15,IF(H483=CVSSv2!$D$4,CVSSv2!$D$15,IF(H483=CVSSv2!$E$4,CVSSv2!$E$15,0)))*IF(H484=CVSSv2!$C$5,CVSSv2!$C$16,IF(H484=CVSSv2!$D$5,CVSSv2!$D$16,IF(H484=CVSSv2!$E$5,CVSSv2!$E$16,0)))*IF(H485=CVSSv2!$C$6,CVSSv2!$C$17,IF(H485=CVSSv2!$D$6,CVSSv2!$D$17,IF(H485=CVSSv2!$E$6,CVSSv2!$E$17,0))))-1.5)*(IF(10.41*(1-(1-IF(H486=CVSSv2!$C$7,CVSSv2!$C$18,IF(H486=CVSSv2!$D$7,CVSSv2!$D$18,IF(H486=CVSSv2!$E$7,CVSSv2!$E$18,0))))*(1-IF(H487=CVSSv2!$C$8,CVSSv2!$C$19,IF(H487=CVSSv2!$D$8,CVSSv2!$D$19,IF(H487=CVSSv2!$E$8,CVSSv2!$E$19,0))))*(1-IF(H488=CVSSv2!$C$9,CVSSv2!$C$20,IF(H488=CVSSv2!$D$9,CVSSv2!$D$20,IF(H488=CVSSv2!$E$9,CVSSv2!$E$20,0)))))=0,0,1.176)))*(IF(H489=CVSSv2!$C$10,CVSSv2!$C$21,IF(H489=CVSSv2!$D$10,CVSSv2!$D$21,IF(H489=CVSSv2!$E$10,CVSSv2!$E$21,IF(H489=CVSSv2!$F$10,CVSSv2!$F$21,0))))*IF(H490=CVSSv2!$C$11,CVSSv2!$C$22,IF(H490=CVSSv2!$D$11,CVSSv2!$D$22,IF(H490=CVSSv2!$E$11,CVSSv2!$E$22,IF(H490=CVSSv2!$F$11,CVSSv2!$F$22,0))))*IF(H491=CVSSv2!$C$12,CVSSv2!$C$23,IF(H491=CVSSv2!$D$12,CVSSv2!$D$23,IF(H491=CVSSv2!$E$12,CVSSv2!$E$23,0)))),1)</f>
        <v>9.5</v>
      </c>
      <c r="J483" s="23" t="n">
        <v>0</v>
      </c>
      <c r="K483" s="23" t="n">
        <v>0</v>
      </c>
      <c r="L483" s="24" t="s">
        <v>17</v>
      </c>
      <c r="M483" s="24" t="s">
        <v>17</v>
      </c>
      <c r="N483" s="24" t="s">
        <v>707</v>
      </c>
      <c r="O483" s="24" t="s">
        <v>708</v>
      </c>
    </row>
    <row r="484" customFormat="false" ht="15.75" hidden="false" customHeight="true" outlineLevel="0" collapsed="false">
      <c r="A484" s="23"/>
      <c r="B484" s="24"/>
      <c r="C484" s="24"/>
      <c r="D484" s="24"/>
      <c r="E484" s="24"/>
      <c r="F484" s="25"/>
      <c r="G484" s="30" t="str">
        <f aca="false">CVSSv2!$A$5</f>
        <v>Complejidad de acceso:</v>
      </c>
      <c r="H484" s="31" t="s">
        <v>709</v>
      </c>
      <c r="I484" s="33"/>
      <c r="J484" s="23"/>
      <c r="K484" s="23"/>
      <c r="L484" s="24"/>
      <c r="M484" s="24"/>
      <c r="N484" s="24"/>
      <c r="O484" s="24"/>
    </row>
    <row r="485" customFormat="false" ht="15.75" hidden="false" customHeight="true" outlineLevel="0" collapsed="false">
      <c r="A485" s="23"/>
      <c r="B485" s="24"/>
      <c r="C485" s="24"/>
      <c r="D485" s="24"/>
      <c r="E485" s="24"/>
      <c r="F485" s="25"/>
      <c r="G485" s="30" t="str">
        <f aca="false">CVSSv2!$A$6</f>
        <v>Autenticación:</v>
      </c>
      <c r="H485" s="31" t="s">
        <v>710</v>
      </c>
      <c r="I485" s="33"/>
      <c r="J485" s="23"/>
      <c r="K485" s="23"/>
      <c r="L485" s="24"/>
      <c r="M485" s="24"/>
      <c r="N485" s="24"/>
      <c r="O485" s="24"/>
    </row>
    <row r="486" customFormat="false" ht="15.75" hidden="false" customHeight="true" outlineLevel="0" collapsed="false">
      <c r="A486" s="23"/>
      <c r="B486" s="24"/>
      <c r="C486" s="24"/>
      <c r="D486" s="24"/>
      <c r="E486" s="24"/>
      <c r="F486" s="25"/>
      <c r="G486" s="30" t="str">
        <f aca="false">CVSSv2!$A$7</f>
        <v>Impacto a la confidencialidad:</v>
      </c>
      <c r="H486" s="31" t="s">
        <v>711</v>
      </c>
      <c r="I486" s="33"/>
      <c r="J486" s="23"/>
      <c r="K486" s="23"/>
      <c r="L486" s="24"/>
      <c r="M486" s="24"/>
      <c r="N486" s="24"/>
      <c r="O486" s="24"/>
    </row>
    <row r="487" customFormat="false" ht="15.75" hidden="false" customHeight="true" outlineLevel="0" collapsed="false">
      <c r="A487" s="23"/>
      <c r="B487" s="24"/>
      <c r="C487" s="24"/>
      <c r="D487" s="24"/>
      <c r="E487" s="24"/>
      <c r="F487" s="25"/>
      <c r="G487" s="30" t="str">
        <f aca="false">CVSSv2!$A$8</f>
        <v>Impacto a la integridad:</v>
      </c>
      <c r="H487" s="31" t="s">
        <v>711</v>
      </c>
      <c r="I487" s="33"/>
      <c r="J487" s="23"/>
      <c r="K487" s="23"/>
      <c r="L487" s="24"/>
      <c r="M487" s="24"/>
      <c r="N487" s="24"/>
      <c r="O487" s="24"/>
    </row>
    <row r="488" customFormat="false" ht="15.75" hidden="false" customHeight="true" outlineLevel="0" collapsed="false">
      <c r="A488" s="23"/>
      <c r="B488" s="24"/>
      <c r="C488" s="24"/>
      <c r="D488" s="24"/>
      <c r="E488" s="24"/>
      <c r="F488" s="25"/>
      <c r="G488" s="30" t="str">
        <f aca="false">CVSSv2!$A$9</f>
        <v>Impacto a la disponibilidad:</v>
      </c>
      <c r="H488" s="31" t="s">
        <v>711</v>
      </c>
      <c r="I488" s="33"/>
      <c r="J488" s="23"/>
      <c r="K488" s="23"/>
      <c r="L488" s="24"/>
      <c r="M488" s="24"/>
      <c r="N488" s="24"/>
      <c r="O488" s="24"/>
    </row>
    <row r="489" customFormat="false" ht="15.75" hidden="false" customHeight="true" outlineLevel="0" collapsed="false">
      <c r="A489" s="23"/>
      <c r="B489" s="24"/>
      <c r="C489" s="24"/>
      <c r="D489" s="24"/>
      <c r="E489" s="24"/>
      <c r="F489" s="25"/>
      <c r="G489" s="30" t="str">
        <f aca="false">CVSSv2!$A$10</f>
        <v>Explotabilidad:</v>
      </c>
      <c r="H489" s="31" t="s">
        <v>712</v>
      </c>
      <c r="I489" s="33"/>
      <c r="J489" s="23"/>
      <c r="K489" s="23"/>
      <c r="L489" s="24"/>
      <c r="M489" s="24"/>
      <c r="N489" s="24"/>
      <c r="O489" s="24"/>
    </row>
    <row r="490" customFormat="false" ht="15.75" hidden="false" customHeight="true" outlineLevel="0" collapsed="false">
      <c r="A490" s="23"/>
      <c r="B490" s="24"/>
      <c r="C490" s="24"/>
      <c r="D490" s="24"/>
      <c r="E490" s="24"/>
      <c r="F490" s="25"/>
      <c r="G490" s="30" t="str">
        <f aca="false">CVSSv2!$A$11</f>
        <v>Nivel de resolución:</v>
      </c>
      <c r="H490" s="31" t="s">
        <v>713</v>
      </c>
      <c r="I490" s="33"/>
      <c r="J490" s="23"/>
      <c r="K490" s="23"/>
      <c r="L490" s="24"/>
      <c r="M490" s="24"/>
      <c r="N490" s="24"/>
      <c r="O490" s="24"/>
    </row>
    <row r="491" customFormat="false" ht="15.75" hidden="false" customHeight="true" outlineLevel="0" collapsed="false">
      <c r="A491" s="23"/>
      <c r="B491" s="24"/>
      <c r="C491" s="24"/>
      <c r="D491" s="24"/>
      <c r="E491" s="24"/>
      <c r="F491" s="25"/>
      <c r="G491" s="30" t="str">
        <f aca="false">CVSSv2!$A$12</f>
        <v>Nivel de confianza:</v>
      </c>
      <c r="H491" s="31" t="s">
        <v>714</v>
      </c>
      <c r="I491" s="33"/>
      <c r="J491" s="23"/>
      <c r="K491" s="23"/>
      <c r="L491" s="24"/>
      <c r="M491" s="24"/>
      <c r="N491" s="24"/>
      <c r="O491" s="24"/>
    </row>
    <row r="492" customFormat="false" ht="15.75" hidden="false" customHeight="true" outlineLevel="0" collapsed="false">
      <c r="A492" s="23"/>
      <c r="B492" s="24"/>
      <c r="C492" s="24"/>
      <c r="D492" s="24"/>
      <c r="E492" s="24"/>
      <c r="F492" s="25"/>
      <c r="G492" s="32" t="str">
        <f aca="false">"("&amp;CVSSv2!$B$4&amp;":"&amp;IF(H483=CVSSv2!$C$4,CVSSv2!$C$26,IF(H483=CVSSv2!$D$4,CVSSv2!$D$26,IF(H483=CVSSv2!$E$4,CVSSv2!$E$26,"")))&amp;"/"&amp;CVSSv2!$B$5&amp;":"&amp;IF(H484=CVSSv2!$C$5,CVSSv2!$C$27,IF(H484=CVSSv2!$D$5,CVSSv2!$D$27,IF(H484=CVSSv2!$E$5,CVSSv2!$E$27,"")))&amp;"/"&amp;CVSSv2!$B$6&amp;":"&amp;IF(H485=CVSSv2!$C$6,CVSSv2!$C$28,IF(H485=CVSSv2!$D$6,CVSSv2!$D$28,IF(H485=CVSSv2!$E$6,CVSSv2!$E$28,"")))&amp;"/"&amp;CVSSv2!$B$7&amp;":"&amp;IF(H486=CVSSv2!$C$7,CVSSv2!$C$29,IF(H486=CVSSv2!$D$7,CVSSv2!$D$29,IF(H486=CVSSv2!$E$7,CVSSv2!$E$29,"")))&amp;"/"&amp;CVSSv2!$B$8&amp;":"&amp;IF(H487=CVSSv2!$C$8,CVSSv2!$C$30,IF(H487=CVSSv2!$D$8,CVSSv2!$D$30,IF(H487=CVSSv2!$E$8,CVSSv2!$E$30,"")))&amp;"/"&amp;CVSSv2!$B$9&amp;":"&amp;IF(H488=CVSSv2!$C$9,CVSSv2!$C$31,IF(H488=CVSSv2!$D$9,CVSSv2!$D$31,IF(H488=CVSSv2!$E$9,CVSSv2!$E$31,"")))&amp;"/"&amp;CVSSv2!$B$10&amp;":"&amp;IF(H489=CVSSv2!$C$10,CVSSv2!$C$32,IF(H489=CVSSv2!$D$10,CVSSv2!$D$32,IF(H489=CVSSv2!$E$10,CVSSv2!$E$32,IF(H489=CVSSv2!$F$10,CVSSv2!$F$32,""))))&amp;"/"&amp;CVSSv2!$B$11&amp;":"&amp;IF(H490=CVSSv2!$C$11,CVSSv2!$C$33,IF(H490=CVSSv2!$D$11,CVSSv2!$D$33,IF(H490=CVSSv2!$E$11,CVSSv2!$E$33,IF(H490=CVSSv2!$F$11,CVSSv2!$F$33,""))))&amp;"/"&amp;CVSSv2!$B$12&amp;":"&amp;IF(H491=CVSSv2!$C$12,CVSSv2!$C$34,IF(H491=CVSSv2!$D$12,CVSSv2!$D$34,IF(H491=CVSSv2!$E$12,CVSSv2!$E$34,"")))&amp;")"</f>
        <v>(AV:N/AC:L/Au:N/C:C/I:C/A:C/E:H/RL:W/RC:C)</v>
      </c>
      <c r="H492" s="32"/>
      <c r="I492" s="33"/>
      <c r="J492" s="23"/>
      <c r="K492" s="23"/>
      <c r="L492" s="24"/>
      <c r="M492" s="24"/>
      <c r="N492" s="24"/>
      <c r="O492" s="24"/>
    </row>
    <row r="493" customFormat="false" ht="15.75" hidden="false" customHeight="true" outlineLevel="0" collapsed="false">
      <c r="A493" s="23" t="n">
        <v>50</v>
      </c>
      <c r="B493" s="24" t="s">
        <v>763</v>
      </c>
      <c r="C493" s="24" t="s">
        <v>17</v>
      </c>
      <c r="D493" s="24" t="s">
        <v>17</v>
      </c>
      <c r="E493" s="24" t="s">
        <v>17</v>
      </c>
      <c r="F4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93" s="26" t="str">
        <f aca="false">CVSSv2!$A$4</f>
        <v>Vector de acceso:</v>
      </c>
      <c r="H493" s="27" t="s">
        <v>706</v>
      </c>
      <c r="I493" s="33" t="n">
        <f aca="false">ROUND(((0.6*(10.41*(1-(1-IF(H496=CVSSv2!$C$7,CVSSv2!$C$18,IF(H496=CVSSv2!$D$7,CVSSv2!$D$18,IF(H496=CVSSv2!$E$7,CVSSv2!$E$18,0))))*(1-IF(H497=CVSSv2!$C$8,CVSSv2!$C$19,IF(H497=CVSSv2!$D$8,CVSSv2!$D$19,IF(H497=CVSSv2!$E$8,CVSSv2!$E$19,0))))*(1-IF(H498=CVSSv2!$C$9,CVSSv2!$C$20,IF(H498=CVSSv2!$D$9,CVSSv2!$D$20,IF(H498=CVSSv2!$E$9,CVSSv2!$E$20,0))))))+0.4*(20*IF(H493=CVSSv2!$C$4,CVSSv2!$C$15,IF(H493=CVSSv2!$D$4,CVSSv2!$D$15,IF(H493=CVSSv2!$E$4,CVSSv2!$E$15,0)))*IF(H494=CVSSv2!$C$5,CVSSv2!$C$16,IF(H494=CVSSv2!$D$5,CVSSv2!$D$16,IF(H494=CVSSv2!$E$5,CVSSv2!$E$16,0)))*IF(H495=CVSSv2!$C$6,CVSSv2!$C$17,IF(H495=CVSSv2!$D$6,CVSSv2!$D$17,IF(H495=CVSSv2!$E$6,CVSSv2!$E$17,0))))-1.5)*(IF(10.41*(1-(1-IF(H496=CVSSv2!$C$7,CVSSv2!$C$18,IF(H496=CVSSv2!$D$7,CVSSv2!$D$18,IF(H496=CVSSv2!$E$7,CVSSv2!$E$18,0))))*(1-IF(H497=CVSSv2!$C$8,CVSSv2!$C$19,IF(H497=CVSSv2!$D$8,CVSSv2!$D$19,IF(H497=CVSSv2!$E$8,CVSSv2!$E$19,0))))*(1-IF(H498=CVSSv2!$C$9,CVSSv2!$C$20,IF(H498=CVSSv2!$D$9,CVSSv2!$D$20,IF(H498=CVSSv2!$E$9,CVSSv2!$E$20,0)))))=0,0,1.176)))*(IF(H499=CVSSv2!$C$10,CVSSv2!$C$21,IF(H499=CVSSv2!$D$10,CVSSv2!$D$21,IF(H499=CVSSv2!$E$10,CVSSv2!$E$21,IF(H499=CVSSv2!$F$10,CVSSv2!$F$21,0))))*IF(H500=CVSSv2!$C$11,CVSSv2!$C$22,IF(H500=CVSSv2!$D$11,CVSSv2!$D$22,IF(H500=CVSSv2!$E$11,CVSSv2!$E$22,IF(H500=CVSSv2!$F$11,CVSSv2!$F$22,0))))*IF(H501=CVSSv2!$C$12,CVSSv2!$C$23,IF(H501=CVSSv2!$D$12,CVSSv2!$D$23,IF(H501=CVSSv2!$E$12,CVSSv2!$E$23,0)))),1)</f>
        <v>9.5</v>
      </c>
      <c r="J493" s="23" t="n">
        <v>0</v>
      </c>
      <c r="K493" s="23" t="n">
        <v>0</v>
      </c>
      <c r="L493" s="24" t="s">
        <v>17</v>
      </c>
      <c r="M493" s="24" t="s">
        <v>17</v>
      </c>
      <c r="N493" s="24" t="s">
        <v>707</v>
      </c>
      <c r="O493" s="24" t="s">
        <v>708</v>
      </c>
    </row>
    <row r="494" customFormat="false" ht="15.75" hidden="false" customHeight="true" outlineLevel="0" collapsed="false">
      <c r="A494" s="23"/>
      <c r="B494" s="24"/>
      <c r="C494" s="24"/>
      <c r="D494" s="24"/>
      <c r="E494" s="24"/>
      <c r="F494" s="25"/>
      <c r="G494" s="30" t="str">
        <f aca="false">CVSSv2!$A$5</f>
        <v>Complejidad de acceso:</v>
      </c>
      <c r="H494" s="31" t="s">
        <v>709</v>
      </c>
      <c r="I494" s="33"/>
      <c r="J494" s="23"/>
      <c r="K494" s="23"/>
      <c r="L494" s="24"/>
      <c r="M494" s="24"/>
      <c r="N494" s="24"/>
      <c r="O494" s="24"/>
    </row>
    <row r="495" customFormat="false" ht="15.75" hidden="false" customHeight="true" outlineLevel="0" collapsed="false">
      <c r="A495" s="23"/>
      <c r="B495" s="24"/>
      <c r="C495" s="24"/>
      <c r="D495" s="24"/>
      <c r="E495" s="24"/>
      <c r="F495" s="25"/>
      <c r="G495" s="30" t="str">
        <f aca="false">CVSSv2!$A$6</f>
        <v>Autenticación:</v>
      </c>
      <c r="H495" s="31" t="s">
        <v>710</v>
      </c>
      <c r="I495" s="33"/>
      <c r="J495" s="23"/>
      <c r="K495" s="23"/>
      <c r="L495" s="24"/>
      <c r="M495" s="24"/>
      <c r="N495" s="24"/>
      <c r="O495" s="24"/>
    </row>
    <row r="496" customFormat="false" ht="15.75" hidden="false" customHeight="true" outlineLevel="0" collapsed="false">
      <c r="A496" s="23"/>
      <c r="B496" s="24"/>
      <c r="C496" s="24"/>
      <c r="D496" s="24"/>
      <c r="E496" s="24"/>
      <c r="F496" s="25"/>
      <c r="G496" s="30" t="str">
        <f aca="false">CVSSv2!$A$7</f>
        <v>Impacto a la confidencialidad:</v>
      </c>
      <c r="H496" s="31" t="s">
        <v>711</v>
      </c>
      <c r="I496" s="33"/>
      <c r="J496" s="23"/>
      <c r="K496" s="23"/>
      <c r="L496" s="24"/>
      <c r="M496" s="24"/>
      <c r="N496" s="24"/>
      <c r="O496" s="24"/>
    </row>
    <row r="497" customFormat="false" ht="15.75" hidden="false" customHeight="true" outlineLevel="0" collapsed="false">
      <c r="A497" s="23"/>
      <c r="B497" s="24"/>
      <c r="C497" s="24"/>
      <c r="D497" s="24"/>
      <c r="E497" s="24"/>
      <c r="F497" s="25"/>
      <c r="G497" s="30" t="str">
        <f aca="false">CVSSv2!$A$8</f>
        <v>Impacto a la integridad:</v>
      </c>
      <c r="H497" s="31" t="s">
        <v>711</v>
      </c>
      <c r="I497" s="33"/>
      <c r="J497" s="23"/>
      <c r="K497" s="23"/>
      <c r="L497" s="24"/>
      <c r="M497" s="24"/>
      <c r="N497" s="24"/>
      <c r="O497" s="24"/>
    </row>
    <row r="498" customFormat="false" ht="15.75" hidden="false" customHeight="true" outlineLevel="0" collapsed="false">
      <c r="A498" s="23"/>
      <c r="B498" s="24"/>
      <c r="C498" s="24"/>
      <c r="D498" s="24"/>
      <c r="E498" s="24"/>
      <c r="F498" s="25"/>
      <c r="G498" s="30" t="str">
        <f aca="false">CVSSv2!$A$9</f>
        <v>Impacto a la disponibilidad:</v>
      </c>
      <c r="H498" s="31" t="s">
        <v>711</v>
      </c>
      <c r="I498" s="33"/>
      <c r="J498" s="23"/>
      <c r="K498" s="23"/>
      <c r="L498" s="24"/>
      <c r="M498" s="24"/>
      <c r="N498" s="24"/>
      <c r="O498" s="24"/>
    </row>
    <row r="499" customFormat="false" ht="15.75" hidden="false" customHeight="true" outlineLevel="0" collapsed="false">
      <c r="A499" s="23"/>
      <c r="B499" s="24"/>
      <c r="C499" s="24"/>
      <c r="D499" s="24"/>
      <c r="E499" s="24"/>
      <c r="F499" s="25"/>
      <c r="G499" s="30" t="str">
        <f aca="false">CVSSv2!$A$10</f>
        <v>Explotabilidad:</v>
      </c>
      <c r="H499" s="31" t="s">
        <v>712</v>
      </c>
      <c r="I499" s="33"/>
      <c r="J499" s="23"/>
      <c r="K499" s="23"/>
      <c r="L499" s="24"/>
      <c r="M499" s="24"/>
      <c r="N499" s="24"/>
      <c r="O499" s="24"/>
    </row>
    <row r="500" customFormat="false" ht="15.75" hidden="false" customHeight="true" outlineLevel="0" collapsed="false">
      <c r="A500" s="23"/>
      <c r="B500" s="24"/>
      <c r="C500" s="24"/>
      <c r="D500" s="24"/>
      <c r="E500" s="24"/>
      <c r="F500" s="25"/>
      <c r="G500" s="30" t="str">
        <f aca="false">CVSSv2!$A$11</f>
        <v>Nivel de resolución:</v>
      </c>
      <c r="H500" s="31" t="s">
        <v>713</v>
      </c>
      <c r="I500" s="33"/>
      <c r="J500" s="23"/>
      <c r="K500" s="23"/>
      <c r="L500" s="24"/>
      <c r="M500" s="24"/>
      <c r="N500" s="24"/>
      <c r="O500" s="24"/>
    </row>
    <row r="501" customFormat="false" ht="15.75" hidden="false" customHeight="true" outlineLevel="0" collapsed="false">
      <c r="A501" s="23"/>
      <c r="B501" s="24"/>
      <c r="C501" s="24"/>
      <c r="D501" s="24"/>
      <c r="E501" s="24"/>
      <c r="F501" s="25"/>
      <c r="G501" s="30" t="str">
        <f aca="false">CVSSv2!$A$12</f>
        <v>Nivel de confianza:</v>
      </c>
      <c r="H501" s="31" t="s">
        <v>714</v>
      </c>
      <c r="I501" s="33"/>
      <c r="J501" s="23"/>
      <c r="K501" s="23"/>
      <c r="L501" s="24"/>
      <c r="M501" s="24"/>
      <c r="N501" s="24"/>
      <c r="O501" s="24"/>
    </row>
    <row r="502" customFormat="false" ht="15.75" hidden="false" customHeight="true" outlineLevel="0" collapsed="false">
      <c r="A502" s="23"/>
      <c r="B502" s="24"/>
      <c r="C502" s="24"/>
      <c r="D502" s="24"/>
      <c r="E502" s="24"/>
      <c r="F502" s="25"/>
      <c r="G502" s="32" t="str">
        <f aca="false">"("&amp;CVSSv2!$B$4&amp;":"&amp;IF(H493=CVSSv2!$C$4,CVSSv2!$C$26,IF(H493=CVSSv2!$D$4,CVSSv2!$D$26,IF(H493=CVSSv2!$E$4,CVSSv2!$E$26,"")))&amp;"/"&amp;CVSSv2!$B$5&amp;":"&amp;IF(H494=CVSSv2!$C$5,CVSSv2!$C$27,IF(H494=CVSSv2!$D$5,CVSSv2!$D$27,IF(H494=CVSSv2!$E$5,CVSSv2!$E$27,"")))&amp;"/"&amp;CVSSv2!$B$6&amp;":"&amp;IF(H495=CVSSv2!$C$6,CVSSv2!$C$28,IF(H495=CVSSv2!$D$6,CVSSv2!$D$28,IF(H495=CVSSv2!$E$6,CVSSv2!$E$28,"")))&amp;"/"&amp;CVSSv2!$B$7&amp;":"&amp;IF(H496=CVSSv2!$C$7,CVSSv2!$C$29,IF(H496=CVSSv2!$D$7,CVSSv2!$D$29,IF(H496=CVSSv2!$E$7,CVSSv2!$E$29,"")))&amp;"/"&amp;CVSSv2!$B$8&amp;":"&amp;IF(H497=CVSSv2!$C$8,CVSSv2!$C$30,IF(H497=CVSSv2!$D$8,CVSSv2!$D$30,IF(H497=CVSSv2!$E$8,CVSSv2!$E$30,"")))&amp;"/"&amp;CVSSv2!$B$9&amp;":"&amp;IF(H498=CVSSv2!$C$9,CVSSv2!$C$31,IF(H498=CVSSv2!$D$9,CVSSv2!$D$31,IF(H498=CVSSv2!$E$9,CVSSv2!$E$31,"")))&amp;"/"&amp;CVSSv2!$B$10&amp;":"&amp;IF(H499=CVSSv2!$C$10,CVSSv2!$C$32,IF(H499=CVSSv2!$D$10,CVSSv2!$D$32,IF(H499=CVSSv2!$E$10,CVSSv2!$E$32,IF(H499=CVSSv2!$F$10,CVSSv2!$F$32,""))))&amp;"/"&amp;CVSSv2!$B$11&amp;":"&amp;IF(H500=CVSSv2!$C$11,CVSSv2!$C$33,IF(H500=CVSSv2!$D$11,CVSSv2!$D$33,IF(H500=CVSSv2!$E$11,CVSSv2!$E$33,IF(H500=CVSSv2!$F$11,CVSSv2!$F$33,""))))&amp;"/"&amp;CVSSv2!$B$12&amp;":"&amp;IF(H501=CVSSv2!$C$12,CVSSv2!$C$34,IF(H501=CVSSv2!$D$12,CVSSv2!$D$34,IF(H501=CVSSv2!$E$12,CVSSv2!$E$34,"")))&amp;")"</f>
        <v>(AV:N/AC:L/Au:N/C:C/I:C/A:C/E:H/RL:W/RC:C)</v>
      </c>
      <c r="H502" s="32"/>
      <c r="I502" s="33"/>
      <c r="J502" s="23"/>
      <c r="K502" s="23"/>
      <c r="L502" s="24"/>
      <c r="M502" s="24"/>
      <c r="N502" s="24"/>
      <c r="O502" s="24"/>
    </row>
  </sheetData>
  <mergeCells count="703">
    <mergeCell ref="A1:B1"/>
    <mergeCell ref="C1:O1"/>
    <mergeCell ref="G2:H2"/>
    <mergeCell ref="A3:A12"/>
    <mergeCell ref="B3:B12"/>
    <mergeCell ref="C3:C12"/>
    <mergeCell ref="D3:D12"/>
    <mergeCell ref="E3:E12"/>
    <mergeCell ref="F3:F12"/>
    <mergeCell ref="I3:I12"/>
    <mergeCell ref="J3:J12"/>
    <mergeCell ref="K3:K12"/>
    <mergeCell ref="L3:L12"/>
    <mergeCell ref="M3:M12"/>
    <mergeCell ref="N3:N12"/>
    <mergeCell ref="O3:O12"/>
    <mergeCell ref="G12:H12"/>
    <mergeCell ref="A13:A22"/>
    <mergeCell ref="B13:B22"/>
    <mergeCell ref="C13:C22"/>
    <mergeCell ref="D13:D22"/>
    <mergeCell ref="E13:E22"/>
    <mergeCell ref="F13:F22"/>
    <mergeCell ref="I13:I22"/>
    <mergeCell ref="J13:J22"/>
    <mergeCell ref="K13:K22"/>
    <mergeCell ref="L13:L22"/>
    <mergeCell ref="M13:M22"/>
    <mergeCell ref="N13:N22"/>
    <mergeCell ref="O13:O22"/>
    <mergeCell ref="G22:H22"/>
    <mergeCell ref="A23:A32"/>
    <mergeCell ref="B23:B32"/>
    <mergeCell ref="C23:C32"/>
    <mergeCell ref="D23:D32"/>
    <mergeCell ref="E23:E32"/>
    <mergeCell ref="F23:F32"/>
    <mergeCell ref="I23:I32"/>
    <mergeCell ref="J23:J32"/>
    <mergeCell ref="K23:K32"/>
    <mergeCell ref="L23:L32"/>
    <mergeCell ref="M23:M32"/>
    <mergeCell ref="N23:N32"/>
    <mergeCell ref="O23:O32"/>
    <mergeCell ref="G32:H32"/>
    <mergeCell ref="A33:A42"/>
    <mergeCell ref="B33:B42"/>
    <mergeCell ref="C33:C42"/>
    <mergeCell ref="D33:D42"/>
    <mergeCell ref="E33:E42"/>
    <mergeCell ref="F33:F42"/>
    <mergeCell ref="I33:I42"/>
    <mergeCell ref="J33:J42"/>
    <mergeCell ref="K33:K42"/>
    <mergeCell ref="L33:L42"/>
    <mergeCell ref="M33:M42"/>
    <mergeCell ref="N33:N42"/>
    <mergeCell ref="O33:O42"/>
    <mergeCell ref="G42:H42"/>
    <mergeCell ref="A43:A52"/>
    <mergeCell ref="B43:B52"/>
    <mergeCell ref="C43:C52"/>
    <mergeCell ref="D43:D52"/>
    <mergeCell ref="E43:E52"/>
    <mergeCell ref="F43:F52"/>
    <mergeCell ref="I43:I52"/>
    <mergeCell ref="J43:J52"/>
    <mergeCell ref="K43:K52"/>
    <mergeCell ref="L43:L52"/>
    <mergeCell ref="M43:M52"/>
    <mergeCell ref="N43:N52"/>
    <mergeCell ref="O43:O52"/>
    <mergeCell ref="G52:H52"/>
    <mergeCell ref="A53:A62"/>
    <mergeCell ref="B53:B62"/>
    <mergeCell ref="C53:C62"/>
    <mergeCell ref="D53:D62"/>
    <mergeCell ref="E53:E62"/>
    <mergeCell ref="F53:F62"/>
    <mergeCell ref="I53:I62"/>
    <mergeCell ref="J53:J62"/>
    <mergeCell ref="K53:K62"/>
    <mergeCell ref="L53:L62"/>
    <mergeCell ref="M53:M62"/>
    <mergeCell ref="N53:N62"/>
    <mergeCell ref="O53:O62"/>
    <mergeCell ref="G62:H62"/>
    <mergeCell ref="A63:A72"/>
    <mergeCell ref="B63:B72"/>
    <mergeCell ref="C63:C72"/>
    <mergeCell ref="D63:D72"/>
    <mergeCell ref="E63:E72"/>
    <mergeCell ref="F63:F72"/>
    <mergeCell ref="I63:I72"/>
    <mergeCell ref="J63:J72"/>
    <mergeCell ref="K63:K72"/>
    <mergeCell ref="L63:L72"/>
    <mergeCell ref="M63:M72"/>
    <mergeCell ref="N63:N72"/>
    <mergeCell ref="O63:O72"/>
    <mergeCell ref="G72:H72"/>
    <mergeCell ref="A73:A82"/>
    <mergeCell ref="B73:B82"/>
    <mergeCell ref="C73:C82"/>
    <mergeCell ref="D73:D82"/>
    <mergeCell ref="E73:E82"/>
    <mergeCell ref="F73:F82"/>
    <mergeCell ref="I73:I82"/>
    <mergeCell ref="J73:J82"/>
    <mergeCell ref="K73:K82"/>
    <mergeCell ref="L73:L82"/>
    <mergeCell ref="M73:M82"/>
    <mergeCell ref="N73:N82"/>
    <mergeCell ref="O73:O82"/>
    <mergeCell ref="G82:H82"/>
    <mergeCell ref="A83:A92"/>
    <mergeCell ref="B83:B92"/>
    <mergeCell ref="C83:C92"/>
    <mergeCell ref="D83:D92"/>
    <mergeCell ref="E83:E92"/>
    <mergeCell ref="F83:F92"/>
    <mergeCell ref="I83:I92"/>
    <mergeCell ref="J83:J92"/>
    <mergeCell ref="K83:K92"/>
    <mergeCell ref="L83:L92"/>
    <mergeCell ref="M83:M92"/>
    <mergeCell ref="N83:N92"/>
    <mergeCell ref="O83:O92"/>
    <mergeCell ref="G92:H92"/>
    <mergeCell ref="A93:A102"/>
    <mergeCell ref="B93:B102"/>
    <mergeCell ref="C93:C102"/>
    <mergeCell ref="D93:D102"/>
    <mergeCell ref="E93:E102"/>
    <mergeCell ref="F93:F102"/>
    <mergeCell ref="I93:I102"/>
    <mergeCell ref="J93:J102"/>
    <mergeCell ref="K93:K102"/>
    <mergeCell ref="L93:L102"/>
    <mergeCell ref="M93:M102"/>
    <mergeCell ref="N93:N102"/>
    <mergeCell ref="O93:O102"/>
    <mergeCell ref="G102:H102"/>
    <mergeCell ref="A103:A112"/>
    <mergeCell ref="B103:B112"/>
    <mergeCell ref="C103:C112"/>
    <mergeCell ref="D103:D112"/>
    <mergeCell ref="E103:E112"/>
    <mergeCell ref="F103:F112"/>
    <mergeCell ref="I103:I112"/>
    <mergeCell ref="J103:J112"/>
    <mergeCell ref="K103:K112"/>
    <mergeCell ref="L103:L112"/>
    <mergeCell ref="M103:M112"/>
    <mergeCell ref="N103:N112"/>
    <mergeCell ref="O103:O112"/>
    <mergeCell ref="G112:H112"/>
    <mergeCell ref="A113:A122"/>
    <mergeCell ref="B113:B122"/>
    <mergeCell ref="C113:C122"/>
    <mergeCell ref="D113:D122"/>
    <mergeCell ref="E113:E122"/>
    <mergeCell ref="F113:F122"/>
    <mergeCell ref="I113:I122"/>
    <mergeCell ref="J113:J122"/>
    <mergeCell ref="K113:K122"/>
    <mergeCell ref="L113:L122"/>
    <mergeCell ref="M113:M122"/>
    <mergeCell ref="N113:N122"/>
    <mergeCell ref="O113:O122"/>
    <mergeCell ref="G122:H122"/>
    <mergeCell ref="A123:A132"/>
    <mergeCell ref="B123:B132"/>
    <mergeCell ref="C123:C132"/>
    <mergeCell ref="D123:D132"/>
    <mergeCell ref="E123:E132"/>
    <mergeCell ref="F123:F132"/>
    <mergeCell ref="I123:I132"/>
    <mergeCell ref="J123:J132"/>
    <mergeCell ref="K123:K132"/>
    <mergeCell ref="L123:L132"/>
    <mergeCell ref="M123:M132"/>
    <mergeCell ref="N123:N132"/>
    <mergeCell ref="O123:O132"/>
    <mergeCell ref="G132:H132"/>
    <mergeCell ref="A133:A142"/>
    <mergeCell ref="B133:B142"/>
    <mergeCell ref="C133:C142"/>
    <mergeCell ref="D133:D142"/>
    <mergeCell ref="E133:E142"/>
    <mergeCell ref="F133:F142"/>
    <mergeCell ref="I133:I142"/>
    <mergeCell ref="J133:J142"/>
    <mergeCell ref="K133:K142"/>
    <mergeCell ref="L133:L142"/>
    <mergeCell ref="M133:M142"/>
    <mergeCell ref="N133:N142"/>
    <mergeCell ref="O133:O142"/>
    <mergeCell ref="G142:H142"/>
    <mergeCell ref="A143:A152"/>
    <mergeCell ref="B143:B152"/>
    <mergeCell ref="C143:C152"/>
    <mergeCell ref="D143:D152"/>
    <mergeCell ref="E143:E152"/>
    <mergeCell ref="F143:F152"/>
    <mergeCell ref="I143:I152"/>
    <mergeCell ref="J143:J152"/>
    <mergeCell ref="K143:K152"/>
    <mergeCell ref="L143:L152"/>
    <mergeCell ref="M143:M152"/>
    <mergeCell ref="N143:N152"/>
    <mergeCell ref="O143:O152"/>
    <mergeCell ref="G152:H152"/>
    <mergeCell ref="A153:A162"/>
    <mergeCell ref="B153:B162"/>
    <mergeCell ref="C153:C162"/>
    <mergeCell ref="D153:D162"/>
    <mergeCell ref="E153:E162"/>
    <mergeCell ref="F153:F162"/>
    <mergeCell ref="I153:I162"/>
    <mergeCell ref="J153:J162"/>
    <mergeCell ref="K153:K162"/>
    <mergeCell ref="L153:L162"/>
    <mergeCell ref="M153:M162"/>
    <mergeCell ref="N153:N162"/>
    <mergeCell ref="O153:O162"/>
    <mergeCell ref="G162:H162"/>
    <mergeCell ref="A163:A172"/>
    <mergeCell ref="B163:B172"/>
    <mergeCell ref="C163:C172"/>
    <mergeCell ref="D163:D172"/>
    <mergeCell ref="E163:E172"/>
    <mergeCell ref="F163:F172"/>
    <mergeCell ref="I163:I172"/>
    <mergeCell ref="J163:J172"/>
    <mergeCell ref="K163:K172"/>
    <mergeCell ref="L163:L172"/>
    <mergeCell ref="M163:M172"/>
    <mergeCell ref="N163:N172"/>
    <mergeCell ref="O163:O172"/>
    <mergeCell ref="G172:H172"/>
    <mergeCell ref="A173:A182"/>
    <mergeCell ref="B173:B182"/>
    <mergeCell ref="C173:C182"/>
    <mergeCell ref="D173:D182"/>
    <mergeCell ref="E173:E182"/>
    <mergeCell ref="F173:F182"/>
    <mergeCell ref="I173:I182"/>
    <mergeCell ref="J173:J182"/>
    <mergeCell ref="K173:K182"/>
    <mergeCell ref="L173:L182"/>
    <mergeCell ref="M173:M182"/>
    <mergeCell ref="N173:N182"/>
    <mergeCell ref="O173:O182"/>
    <mergeCell ref="G182:H182"/>
    <mergeCell ref="A183:A192"/>
    <mergeCell ref="B183:B192"/>
    <mergeCell ref="C183:C192"/>
    <mergeCell ref="D183:D192"/>
    <mergeCell ref="E183:E192"/>
    <mergeCell ref="F183:F192"/>
    <mergeCell ref="I183:I192"/>
    <mergeCell ref="J183:J192"/>
    <mergeCell ref="K183:K192"/>
    <mergeCell ref="L183:L192"/>
    <mergeCell ref="M183:M192"/>
    <mergeCell ref="N183:N192"/>
    <mergeCell ref="O183:O192"/>
    <mergeCell ref="G192:H192"/>
    <mergeCell ref="A193:A202"/>
    <mergeCell ref="B193:B202"/>
    <mergeCell ref="C193:C202"/>
    <mergeCell ref="D193:D202"/>
    <mergeCell ref="E193:E202"/>
    <mergeCell ref="F193:F202"/>
    <mergeCell ref="I193:I202"/>
    <mergeCell ref="J193:J202"/>
    <mergeCell ref="K193:K202"/>
    <mergeCell ref="L193:L202"/>
    <mergeCell ref="M193:M202"/>
    <mergeCell ref="N193:N202"/>
    <mergeCell ref="O193:O202"/>
    <mergeCell ref="G202:H202"/>
    <mergeCell ref="A203:A212"/>
    <mergeCell ref="B203:B212"/>
    <mergeCell ref="C203:C212"/>
    <mergeCell ref="D203:D212"/>
    <mergeCell ref="E203:E212"/>
    <mergeCell ref="F203:F212"/>
    <mergeCell ref="I203:I212"/>
    <mergeCell ref="J203:J212"/>
    <mergeCell ref="K203:K212"/>
    <mergeCell ref="L203:L212"/>
    <mergeCell ref="M203:M212"/>
    <mergeCell ref="N203:N212"/>
    <mergeCell ref="O203:O212"/>
    <mergeCell ref="G212:H212"/>
    <mergeCell ref="A213:A222"/>
    <mergeCell ref="B213:B222"/>
    <mergeCell ref="C213:C222"/>
    <mergeCell ref="D213:D222"/>
    <mergeCell ref="E213:E222"/>
    <mergeCell ref="F213:F222"/>
    <mergeCell ref="I213:I222"/>
    <mergeCell ref="J213:J222"/>
    <mergeCell ref="K213:K222"/>
    <mergeCell ref="L213:L222"/>
    <mergeCell ref="M213:M222"/>
    <mergeCell ref="N213:N222"/>
    <mergeCell ref="O213:O222"/>
    <mergeCell ref="G222:H222"/>
    <mergeCell ref="A223:A232"/>
    <mergeCell ref="B223:B232"/>
    <mergeCell ref="C223:C232"/>
    <mergeCell ref="D223:D232"/>
    <mergeCell ref="E223:E232"/>
    <mergeCell ref="F223:F232"/>
    <mergeCell ref="I223:I232"/>
    <mergeCell ref="J223:J232"/>
    <mergeCell ref="K223:K232"/>
    <mergeCell ref="L223:L232"/>
    <mergeCell ref="M223:M232"/>
    <mergeCell ref="N223:N232"/>
    <mergeCell ref="O223:O232"/>
    <mergeCell ref="G232:H232"/>
    <mergeCell ref="A233:A242"/>
    <mergeCell ref="B233:B242"/>
    <mergeCell ref="C233:C242"/>
    <mergeCell ref="D233:D242"/>
    <mergeCell ref="E233:E242"/>
    <mergeCell ref="F233:F242"/>
    <mergeCell ref="I233:I242"/>
    <mergeCell ref="J233:J242"/>
    <mergeCell ref="K233:K242"/>
    <mergeCell ref="L233:L242"/>
    <mergeCell ref="M233:M242"/>
    <mergeCell ref="N233:N242"/>
    <mergeCell ref="O233:O242"/>
    <mergeCell ref="G242:H242"/>
    <mergeCell ref="A243:A252"/>
    <mergeCell ref="B243:B252"/>
    <mergeCell ref="C243:C252"/>
    <mergeCell ref="D243:D252"/>
    <mergeCell ref="E243:E252"/>
    <mergeCell ref="F243:F252"/>
    <mergeCell ref="I243:I252"/>
    <mergeCell ref="J243:J252"/>
    <mergeCell ref="K243:K252"/>
    <mergeCell ref="L243:L252"/>
    <mergeCell ref="M243:M252"/>
    <mergeCell ref="N243:N252"/>
    <mergeCell ref="O243:O252"/>
    <mergeCell ref="G252:H252"/>
    <mergeCell ref="A253:A262"/>
    <mergeCell ref="B253:B262"/>
    <mergeCell ref="C253:C262"/>
    <mergeCell ref="D253:D262"/>
    <mergeCell ref="E253:E262"/>
    <mergeCell ref="F253:F262"/>
    <mergeCell ref="I253:I262"/>
    <mergeCell ref="J253:J262"/>
    <mergeCell ref="K253:K262"/>
    <mergeCell ref="L253:L262"/>
    <mergeCell ref="M253:M262"/>
    <mergeCell ref="N253:N262"/>
    <mergeCell ref="O253:O262"/>
    <mergeCell ref="G262:H262"/>
    <mergeCell ref="A263:A272"/>
    <mergeCell ref="B263:B272"/>
    <mergeCell ref="C263:C272"/>
    <mergeCell ref="D263:D272"/>
    <mergeCell ref="E263:E272"/>
    <mergeCell ref="F263:F272"/>
    <mergeCell ref="I263:I272"/>
    <mergeCell ref="J263:J272"/>
    <mergeCell ref="K263:K272"/>
    <mergeCell ref="L263:L272"/>
    <mergeCell ref="M263:M272"/>
    <mergeCell ref="N263:N272"/>
    <mergeCell ref="O263:O272"/>
    <mergeCell ref="G272:H272"/>
    <mergeCell ref="A273:A282"/>
    <mergeCell ref="B273:B282"/>
    <mergeCell ref="C273:C282"/>
    <mergeCell ref="D273:D282"/>
    <mergeCell ref="E273:E282"/>
    <mergeCell ref="F273:F282"/>
    <mergeCell ref="I273:I282"/>
    <mergeCell ref="J273:J282"/>
    <mergeCell ref="K273:K282"/>
    <mergeCell ref="L273:L282"/>
    <mergeCell ref="M273:M282"/>
    <mergeCell ref="N273:N282"/>
    <mergeCell ref="O273:O282"/>
    <mergeCell ref="G282:H282"/>
    <mergeCell ref="A283:A292"/>
    <mergeCell ref="B283:B292"/>
    <mergeCell ref="C283:C292"/>
    <mergeCell ref="D283:D292"/>
    <mergeCell ref="E283:E292"/>
    <mergeCell ref="F283:F292"/>
    <mergeCell ref="I283:I292"/>
    <mergeCell ref="J283:J292"/>
    <mergeCell ref="K283:K292"/>
    <mergeCell ref="L283:L292"/>
    <mergeCell ref="M283:M292"/>
    <mergeCell ref="N283:N292"/>
    <mergeCell ref="O283:O292"/>
    <mergeCell ref="G292:H292"/>
    <mergeCell ref="A293:A302"/>
    <mergeCell ref="B293:B302"/>
    <mergeCell ref="C293:C302"/>
    <mergeCell ref="D293:D302"/>
    <mergeCell ref="E293:E302"/>
    <mergeCell ref="F293:F302"/>
    <mergeCell ref="I293:I302"/>
    <mergeCell ref="J293:J302"/>
    <mergeCell ref="K293:K302"/>
    <mergeCell ref="L293:L302"/>
    <mergeCell ref="M293:M302"/>
    <mergeCell ref="N293:N302"/>
    <mergeCell ref="O293:O302"/>
    <mergeCell ref="G302:H302"/>
    <mergeCell ref="A303:A312"/>
    <mergeCell ref="B303:B312"/>
    <mergeCell ref="C303:C312"/>
    <mergeCell ref="D303:D312"/>
    <mergeCell ref="E303:E312"/>
    <mergeCell ref="F303:F312"/>
    <mergeCell ref="I303:I312"/>
    <mergeCell ref="J303:J312"/>
    <mergeCell ref="K303:K312"/>
    <mergeCell ref="L303:L312"/>
    <mergeCell ref="M303:M312"/>
    <mergeCell ref="N303:N312"/>
    <mergeCell ref="O303:O312"/>
    <mergeCell ref="G312:H312"/>
    <mergeCell ref="A313:A322"/>
    <mergeCell ref="B313:B322"/>
    <mergeCell ref="C313:C322"/>
    <mergeCell ref="D313:D322"/>
    <mergeCell ref="E313:E322"/>
    <mergeCell ref="F313:F322"/>
    <mergeCell ref="I313:I322"/>
    <mergeCell ref="J313:J322"/>
    <mergeCell ref="K313:K322"/>
    <mergeCell ref="L313:L322"/>
    <mergeCell ref="M313:M322"/>
    <mergeCell ref="N313:N322"/>
    <mergeCell ref="O313:O322"/>
    <mergeCell ref="G322:H322"/>
    <mergeCell ref="A323:A332"/>
    <mergeCell ref="B323:B332"/>
    <mergeCell ref="C323:C332"/>
    <mergeCell ref="D323:D332"/>
    <mergeCell ref="E323:E332"/>
    <mergeCell ref="F323:F332"/>
    <mergeCell ref="I323:I332"/>
    <mergeCell ref="J323:J332"/>
    <mergeCell ref="K323:K332"/>
    <mergeCell ref="L323:L332"/>
    <mergeCell ref="M323:M332"/>
    <mergeCell ref="N323:N332"/>
    <mergeCell ref="O323:O332"/>
    <mergeCell ref="G332:H332"/>
    <mergeCell ref="A333:A342"/>
    <mergeCell ref="B333:B342"/>
    <mergeCell ref="C333:C342"/>
    <mergeCell ref="D333:D342"/>
    <mergeCell ref="E333:E342"/>
    <mergeCell ref="F333:F342"/>
    <mergeCell ref="I333:I342"/>
    <mergeCell ref="J333:J342"/>
    <mergeCell ref="K333:K342"/>
    <mergeCell ref="L333:L342"/>
    <mergeCell ref="M333:M342"/>
    <mergeCell ref="N333:N342"/>
    <mergeCell ref="O333:O342"/>
    <mergeCell ref="G342:H342"/>
    <mergeCell ref="A343:A352"/>
    <mergeCell ref="B343:B352"/>
    <mergeCell ref="C343:C352"/>
    <mergeCell ref="D343:D352"/>
    <mergeCell ref="E343:E352"/>
    <mergeCell ref="F343:F352"/>
    <mergeCell ref="I343:I352"/>
    <mergeCell ref="J343:J352"/>
    <mergeCell ref="K343:K352"/>
    <mergeCell ref="L343:L352"/>
    <mergeCell ref="M343:M352"/>
    <mergeCell ref="N343:N352"/>
    <mergeCell ref="O343:O352"/>
    <mergeCell ref="G352:H352"/>
    <mergeCell ref="A353:A362"/>
    <mergeCell ref="B353:B362"/>
    <mergeCell ref="C353:C362"/>
    <mergeCell ref="D353:D362"/>
    <mergeCell ref="E353:E362"/>
    <mergeCell ref="F353:F362"/>
    <mergeCell ref="I353:I362"/>
    <mergeCell ref="J353:J362"/>
    <mergeCell ref="K353:K362"/>
    <mergeCell ref="L353:L362"/>
    <mergeCell ref="M353:M362"/>
    <mergeCell ref="N353:N362"/>
    <mergeCell ref="O353:O362"/>
    <mergeCell ref="G362:H362"/>
    <mergeCell ref="A363:A372"/>
    <mergeCell ref="B363:B372"/>
    <mergeCell ref="C363:C372"/>
    <mergeCell ref="D363:D372"/>
    <mergeCell ref="E363:E372"/>
    <mergeCell ref="F363:F372"/>
    <mergeCell ref="I363:I372"/>
    <mergeCell ref="J363:J372"/>
    <mergeCell ref="K363:K372"/>
    <mergeCell ref="L363:L372"/>
    <mergeCell ref="M363:M372"/>
    <mergeCell ref="N363:N372"/>
    <mergeCell ref="O363:O372"/>
    <mergeCell ref="G372:H372"/>
    <mergeCell ref="A373:A382"/>
    <mergeCell ref="B373:B382"/>
    <mergeCell ref="C373:C382"/>
    <mergeCell ref="D373:D382"/>
    <mergeCell ref="E373:E382"/>
    <mergeCell ref="F373:F382"/>
    <mergeCell ref="I373:I382"/>
    <mergeCell ref="J373:J382"/>
    <mergeCell ref="K373:K382"/>
    <mergeCell ref="L373:L382"/>
    <mergeCell ref="M373:M382"/>
    <mergeCell ref="N373:N382"/>
    <mergeCell ref="O373:O382"/>
    <mergeCell ref="G382:H382"/>
    <mergeCell ref="A383:A392"/>
    <mergeCell ref="B383:B392"/>
    <mergeCell ref="C383:C392"/>
    <mergeCell ref="D383:D392"/>
    <mergeCell ref="E383:E392"/>
    <mergeCell ref="F383:F392"/>
    <mergeCell ref="I383:I392"/>
    <mergeCell ref="J383:J392"/>
    <mergeCell ref="K383:K392"/>
    <mergeCell ref="L383:L392"/>
    <mergeCell ref="M383:M392"/>
    <mergeCell ref="N383:N392"/>
    <mergeCell ref="O383:O392"/>
    <mergeCell ref="G392:H392"/>
    <mergeCell ref="A393:A402"/>
    <mergeCell ref="B393:B402"/>
    <mergeCell ref="C393:C402"/>
    <mergeCell ref="D393:D402"/>
    <mergeCell ref="E393:E402"/>
    <mergeCell ref="F393:F402"/>
    <mergeCell ref="I393:I402"/>
    <mergeCell ref="J393:J402"/>
    <mergeCell ref="K393:K402"/>
    <mergeCell ref="L393:L402"/>
    <mergeCell ref="M393:M402"/>
    <mergeCell ref="N393:N402"/>
    <mergeCell ref="O393:O402"/>
    <mergeCell ref="G402:H402"/>
    <mergeCell ref="A403:A412"/>
    <mergeCell ref="B403:B412"/>
    <mergeCell ref="C403:C412"/>
    <mergeCell ref="D403:D412"/>
    <mergeCell ref="E403:E412"/>
    <mergeCell ref="F403:F412"/>
    <mergeCell ref="I403:I412"/>
    <mergeCell ref="J403:J412"/>
    <mergeCell ref="K403:K412"/>
    <mergeCell ref="L403:L412"/>
    <mergeCell ref="M403:M412"/>
    <mergeCell ref="N403:N412"/>
    <mergeCell ref="O403:O412"/>
    <mergeCell ref="G412:H412"/>
    <mergeCell ref="A413:A422"/>
    <mergeCell ref="B413:B422"/>
    <mergeCell ref="C413:C422"/>
    <mergeCell ref="D413:D422"/>
    <mergeCell ref="E413:E422"/>
    <mergeCell ref="F413:F422"/>
    <mergeCell ref="I413:I422"/>
    <mergeCell ref="J413:J422"/>
    <mergeCell ref="K413:K422"/>
    <mergeCell ref="L413:L422"/>
    <mergeCell ref="M413:M422"/>
    <mergeCell ref="N413:N422"/>
    <mergeCell ref="O413:O422"/>
    <mergeCell ref="G422:H422"/>
    <mergeCell ref="A423:A432"/>
    <mergeCell ref="B423:B432"/>
    <mergeCell ref="C423:C432"/>
    <mergeCell ref="D423:D432"/>
    <mergeCell ref="E423:E432"/>
    <mergeCell ref="F423:F432"/>
    <mergeCell ref="I423:I432"/>
    <mergeCell ref="J423:J432"/>
    <mergeCell ref="K423:K432"/>
    <mergeCell ref="L423:L432"/>
    <mergeCell ref="M423:M432"/>
    <mergeCell ref="N423:N432"/>
    <mergeCell ref="O423:O432"/>
    <mergeCell ref="G432:H432"/>
    <mergeCell ref="A433:A442"/>
    <mergeCell ref="B433:B442"/>
    <mergeCell ref="C433:C442"/>
    <mergeCell ref="D433:D442"/>
    <mergeCell ref="E433:E442"/>
    <mergeCell ref="F433:F442"/>
    <mergeCell ref="I433:I442"/>
    <mergeCell ref="J433:J442"/>
    <mergeCell ref="K433:K442"/>
    <mergeCell ref="L433:L442"/>
    <mergeCell ref="M433:M442"/>
    <mergeCell ref="N433:N442"/>
    <mergeCell ref="O433:O442"/>
    <mergeCell ref="G442:H442"/>
    <mergeCell ref="A443:A452"/>
    <mergeCell ref="B443:B452"/>
    <mergeCell ref="C443:C452"/>
    <mergeCell ref="D443:D452"/>
    <mergeCell ref="E443:E452"/>
    <mergeCell ref="F443:F452"/>
    <mergeCell ref="I443:I452"/>
    <mergeCell ref="J443:J452"/>
    <mergeCell ref="K443:K452"/>
    <mergeCell ref="L443:L452"/>
    <mergeCell ref="M443:M452"/>
    <mergeCell ref="N443:N452"/>
    <mergeCell ref="O443:O452"/>
    <mergeCell ref="G452:H452"/>
    <mergeCell ref="A453:A462"/>
    <mergeCell ref="B453:B462"/>
    <mergeCell ref="C453:C462"/>
    <mergeCell ref="D453:D462"/>
    <mergeCell ref="E453:E462"/>
    <mergeCell ref="F453:F462"/>
    <mergeCell ref="I453:I462"/>
    <mergeCell ref="J453:J462"/>
    <mergeCell ref="K453:K462"/>
    <mergeCell ref="L453:L462"/>
    <mergeCell ref="M453:M462"/>
    <mergeCell ref="N453:N462"/>
    <mergeCell ref="O453:O462"/>
    <mergeCell ref="G462:H462"/>
    <mergeCell ref="A463:A472"/>
    <mergeCell ref="B463:B472"/>
    <mergeCell ref="C463:C472"/>
    <mergeCell ref="D463:D472"/>
    <mergeCell ref="E463:E472"/>
    <mergeCell ref="F463:F472"/>
    <mergeCell ref="I463:I472"/>
    <mergeCell ref="J463:J472"/>
    <mergeCell ref="K463:K472"/>
    <mergeCell ref="L463:L472"/>
    <mergeCell ref="M463:M472"/>
    <mergeCell ref="N463:N472"/>
    <mergeCell ref="O463:O472"/>
    <mergeCell ref="G472:H472"/>
    <mergeCell ref="A473:A482"/>
    <mergeCell ref="B473:B482"/>
    <mergeCell ref="C473:C482"/>
    <mergeCell ref="D473:D482"/>
    <mergeCell ref="E473:E482"/>
    <mergeCell ref="F473:F482"/>
    <mergeCell ref="I473:I482"/>
    <mergeCell ref="J473:J482"/>
    <mergeCell ref="K473:K482"/>
    <mergeCell ref="L473:L482"/>
    <mergeCell ref="M473:M482"/>
    <mergeCell ref="N473:N482"/>
    <mergeCell ref="O473:O482"/>
    <mergeCell ref="G482:H482"/>
    <mergeCell ref="A483:A492"/>
    <mergeCell ref="B483:B492"/>
    <mergeCell ref="C483:C492"/>
    <mergeCell ref="D483:D492"/>
    <mergeCell ref="E483:E492"/>
    <mergeCell ref="F483:F492"/>
    <mergeCell ref="I483:I492"/>
    <mergeCell ref="J483:J492"/>
    <mergeCell ref="K483:K492"/>
    <mergeCell ref="L483:L492"/>
    <mergeCell ref="M483:M492"/>
    <mergeCell ref="N483:N492"/>
    <mergeCell ref="O483:O492"/>
    <mergeCell ref="G492:H492"/>
    <mergeCell ref="A493:A502"/>
    <mergeCell ref="B493:B502"/>
    <mergeCell ref="C493:C502"/>
    <mergeCell ref="D493:D502"/>
    <mergeCell ref="E493:E502"/>
    <mergeCell ref="F493:F502"/>
    <mergeCell ref="I493:I502"/>
    <mergeCell ref="J493:J502"/>
    <mergeCell ref="K493:K502"/>
    <mergeCell ref="L493:L502"/>
    <mergeCell ref="M493:M502"/>
    <mergeCell ref="N493:N502"/>
    <mergeCell ref="O493:O502"/>
    <mergeCell ref="G502:H502"/>
  </mergeCells>
  <conditionalFormatting sqref="I3">
    <cfRule type="cellIs" priority="2" operator="between" aboveAverage="0" equalAverage="0" bottom="0" percent="0" rank="0" text="" dxfId="0">
      <formula>0</formula>
      <formula>3.9</formula>
    </cfRule>
  </conditionalFormatting>
  <conditionalFormatting sqref="I23">
    <cfRule type="cellIs" priority="3" operator="between" aboveAverage="0" equalAverage="0" bottom="0" percent="0" rank="0" text="" dxfId="0">
      <formula>0</formula>
      <formula>3.9</formula>
    </cfRule>
  </conditionalFormatting>
  <conditionalFormatting sqref="I33">
    <cfRule type="cellIs" priority="4" operator="between" aboveAverage="0" equalAverage="0" bottom="0" percent="0" rank="0" text="" dxfId="0">
      <formula>0</formula>
      <formula>3.9</formula>
    </cfRule>
  </conditionalFormatting>
  <conditionalFormatting sqref="I43">
    <cfRule type="cellIs" priority="5" operator="between" aboveAverage="0" equalAverage="0" bottom="0" percent="0" rank="0" text="" dxfId="0">
      <formula>0</formula>
      <formula>3.9</formula>
    </cfRule>
  </conditionalFormatting>
  <conditionalFormatting sqref="I53">
    <cfRule type="cellIs" priority="6" operator="between" aboveAverage="0" equalAverage="0" bottom="0" percent="0" rank="0" text="" dxfId="0">
      <formula>0</formula>
      <formula>3.9</formula>
    </cfRule>
  </conditionalFormatting>
  <conditionalFormatting sqref="I63">
    <cfRule type="cellIs" priority="7" operator="between" aboveAverage="0" equalAverage="0" bottom="0" percent="0" rank="0" text="" dxfId="0">
      <formula>0</formula>
      <formula>3.9</formula>
    </cfRule>
  </conditionalFormatting>
  <conditionalFormatting sqref="I73">
    <cfRule type="cellIs" priority="8" operator="between" aboveAverage="0" equalAverage="0" bottom="0" percent="0" rank="0" text="" dxfId="0">
      <formula>0</formula>
      <formula>3.9</formula>
    </cfRule>
  </conditionalFormatting>
  <conditionalFormatting sqref="I83">
    <cfRule type="cellIs" priority="9" operator="between" aboveAverage="0" equalAverage="0" bottom="0" percent="0" rank="0" text="" dxfId="0">
      <formula>0</formula>
      <formula>3.9</formula>
    </cfRule>
  </conditionalFormatting>
  <conditionalFormatting sqref="I93">
    <cfRule type="cellIs" priority="10" operator="between" aboveAverage="0" equalAverage="0" bottom="0" percent="0" rank="0" text="" dxfId="0">
      <formula>0</formula>
      <formula>3.9</formula>
    </cfRule>
  </conditionalFormatting>
  <conditionalFormatting sqref="I103">
    <cfRule type="cellIs" priority="11" operator="between" aboveAverage="0" equalAverage="0" bottom="0" percent="0" rank="0" text="" dxfId="0">
      <formula>0</formula>
      <formula>3.9</formula>
    </cfRule>
  </conditionalFormatting>
  <conditionalFormatting sqref="I113">
    <cfRule type="cellIs" priority="12" operator="between" aboveAverage="0" equalAverage="0" bottom="0" percent="0" rank="0" text="" dxfId="0">
      <formula>0</formula>
      <formula>3.9</formula>
    </cfRule>
  </conditionalFormatting>
  <conditionalFormatting sqref="I123">
    <cfRule type="cellIs" priority="13" operator="between" aboveAverage="0" equalAverage="0" bottom="0" percent="0" rank="0" text="" dxfId="0">
      <formula>0</formula>
      <formula>3.9</formula>
    </cfRule>
  </conditionalFormatting>
  <conditionalFormatting sqref="I133">
    <cfRule type="cellIs" priority="14" operator="between" aboveAverage="0" equalAverage="0" bottom="0" percent="0" rank="0" text="" dxfId="0">
      <formula>0</formula>
      <formula>3.9</formula>
    </cfRule>
  </conditionalFormatting>
  <conditionalFormatting sqref="I143">
    <cfRule type="cellIs" priority="15" operator="between" aboveAverage="0" equalAverage="0" bottom="0" percent="0" rank="0" text="" dxfId="0">
      <formula>0</formula>
      <formula>3.9</formula>
    </cfRule>
  </conditionalFormatting>
  <conditionalFormatting sqref="I153">
    <cfRule type="cellIs" priority="16" operator="between" aboveAverage="0" equalAverage="0" bottom="0" percent="0" rank="0" text="" dxfId="0">
      <formula>0</formula>
      <formula>3.9</formula>
    </cfRule>
  </conditionalFormatting>
  <conditionalFormatting sqref="I163">
    <cfRule type="cellIs" priority="17" operator="between" aboveAverage="0" equalAverage="0" bottom="0" percent="0" rank="0" text="" dxfId="0">
      <formula>0</formula>
      <formula>3.9</formula>
    </cfRule>
  </conditionalFormatting>
  <conditionalFormatting sqref="I173">
    <cfRule type="cellIs" priority="18" operator="between" aboveAverage="0" equalAverage="0" bottom="0" percent="0" rank="0" text="" dxfId="0">
      <formula>0</formula>
      <formula>3.9</formula>
    </cfRule>
  </conditionalFormatting>
  <conditionalFormatting sqref="I183">
    <cfRule type="cellIs" priority="19" operator="between" aboveAverage="0" equalAverage="0" bottom="0" percent="0" rank="0" text="" dxfId="0">
      <formula>0</formula>
      <formula>3.9</formula>
    </cfRule>
  </conditionalFormatting>
  <conditionalFormatting sqref="I3">
    <cfRule type="cellIs" priority="20" operator="between" aboveAverage="0" equalAverage="0" bottom="0" percent="0" rank="0" text="" dxfId="1">
      <formula>4</formula>
      <formula>6.9</formula>
    </cfRule>
  </conditionalFormatting>
  <conditionalFormatting sqref="I23">
    <cfRule type="cellIs" priority="21" operator="between" aboveAverage="0" equalAverage="0" bottom="0" percent="0" rank="0" text="" dxfId="1">
      <formula>4</formula>
      <formula>6.9</formula>
    </cfRule>
  </conditionalFormatting>
  <conditionalFormatting sqref="I33">
    <cfRule type="cellIs" priority="22" operator="between" aboveAverage="0" equalAverage="0" bottom="0" percent="0" rank="0" text="" dxfId="1">
      <formula>4</formula>
      <formula>6.9</formula>
    </cfRule>
  </conditionalFormatting>
  <conditionalFormatting sqref="I43">
    <cfRule type="cellIs" priority="23" operator="between" aboveAverage="0" equalAverage="0" bottom="0" percent="0" rank="0" text="" dxfId="1">
      <formula>4</formula>
      <formula>6.9</formula>
    </cfRule>
  </conditionalFormatting>
  <conditionalFormatting sqref="I53">
    <cfRule type="cellIs" priority="24" operator="between" aboveAverage="0" equalAverage="0" bottom="0" percent="0" rank="0" text="" dxfId="1">
      <formula>4</formula>
      <formula>6.9</formula>
    </cfRule>
  </conditionalFormatting>
  <conditionalFormatting sqref="I63">
    <cfRule type="cellIs" priority="25" operator="between" aboveAverage="0" equalAverage="0" bottom="0" percent="0" rank="0" text="" dxfId="1">
      <formula>4</formula>
      <formula>6.9</formula>
    </cfRule>
  </conditionalFormatting>
  <conditionalFormatting sqref="I73">
    <cfRule type="cellIs" priority="26" operator="between" aboveAverage="0" equalAverage="0" bottom="0" percent="0" rank="0" text="" dxfId="1">
      <formula>4</formula>
      <formula>6.9</formula>
    </cfRule>
  </conditionalFormatting>
  <conditionalFormatting sqref="I83">
    <cfRule type="cellIs" priority="27" operator="between" aboveAverage="0" equalAverage="0" bottom="0" percent="0" rank="0" text="" dxfId="1">
      <formula>4</formula>
      <formula>6.9</formula>
    </cfRule>
  </conditionalFormatting>
  <conditionalFormatting sqref="I93">
    <cfRule type="cellIs" priority="28" operator="between" aboveAverage="0" equalAverage="0" bottom="0" percent="0" rank="0" text="" dxfId="1">
      <formula>4</formula>
      <formula>6.9</formula>
    </cfRule>
  </conditionalFormatting>
  <conditionalFormatting sqref="I103">
    <cfRule type="cellIs" priority="29" operator="between" aboveAverage="0" equalAverage="0" bottom="0" percent="0" rank="0" text="" dxfId="1">
      <formula>4</formula>
      <formula>6.9</formula>
    </cfRule>
  </conditionalFormatting>
  <conditionalFormatting sqref="I113">
    <cfRule type="cellIs" priority="30" operator="between" aboveAverage="0" equalAverage="0" bottom="0" percent="0" rank="0" text="" dxfId="1">
      <formula>4</formula>
      <formula>6.9</formula>
    </cfRule>
  </conditionalFormatting>
  <conditionalFormatting sqref="I123">
    <cfRule type="cellIs" priority="31" operator="between" aboveAverage="0" equalAverage="0" bottom="0" percent="0" rank="0" text="" dxfId="1">
      <formula>4</formula>
      <formula>6.9</formula>
    </cfRule>
  </conditionalFormatting>
  <conditionalFormatting sqref="I133">
    <cfRule type="cellIs" priority="32" operator="between" aboveAverage="0" equalAverage="0" bottom="0" percent="0" rank="0" text="" dxfId="1">
      <formula>4</formula>
      <formula>6.9</formula>
    </cfRule>
  </conditionalFormatting>
  <conditionalFormatting sqref="I143">
    <cfRule type="cellIs" priority="33" operator="between" aboveAverage="0" equalAverage="0" bottom="0" percent="0" rank="0" text="" dxfId="1">
      <formula>4</formula>
      <formula>6.9</formula>
    </cfRule>
  </conditionalFormatting>
  <conditionalFormatting sqref="I153">
    <cfRule type="cellIs" priority="34" operator="between" aboveAverage="0" equalAverage="0" bottom="0" percent="0" rank="0" text="" dxfId="1">
      <formula>4</formula>
      <formula>6.9</formula>
    </cfRule>
  </conditionalFormatting>
  <conditionalFormatting sqref="I163">
    <cfRule type="cellIs" priority="35" operator="between" aboveAverage="0" equalAverage="0" bottom="0" percent="0" rank="0" text="" dxfId="1">
      <formula>4</formula>
      <formula>6.9</formula>
    </cfRule>
  </conditionalFormatting>
  <conditionalFormatting sqref="I173">
    <cfRule type="cellIs" priority="36" operator="between" aboveAverage="0" equalAverage="0" bottom="0" percent="0" rank="0" text="" dxfId="1">
      <formula>4</formula>
      <formula>6.9</formula>
    </cfRule>
  </conditionalFormatting>
  <conditionalFormatting sqref="I183">
    <cfRule type="cellIs" priority="37" operator="between" aboveAverage="0" equalAverage="0" bottom="0" percent="0" rank="0" text="" dxfId="1">
      <formula>4</formula>
      <formula>6.9</formula>
    </cfRule>
  </conditionalFormatting>
  <conditionalFormatting sqref="I3">
    <cfRule type="cellIs" priority="38" operator="between" aboveAverage="0" equalAverage="0" bottom="0" percent="0" rank="0" text="" dxfId="2">
      <formula>7</formula>
      <formula>10</formula>
    </cfRule>
  </conditionalFormatting>
  <conditionalFormatting sqref="I23">
    <cfRule type="cellIs" priority="39" operator="between" aboveAverage="0" equalAverage="0" bottom="0" percent="0" rank="0" text="" dxfId="2">
      <formula>7</formula>
      <formula>10</formula>
    </cfRule>
  </conditionalFormatting>
  <conditionalFormatting sqref="I33">
    <cfRule type="cellIs" priority="40" operator="between" aboveAverage="0" equalAverage="0" bottom="0" percent="0" rank="0" text="" dxfId="2">
      <formula>7</formula>
      <formula>10</formula>
    </cfRule>
  </conditionalFormatting>
  <conditionalFormatting sqref="I43">
    <cfRule type="cellIs" priority="41" operator="between" aboveAverage="0" equalAverage="0" bottom="0" percent="0" rank="0" text="" dxfId="2">
      <formula>7</formula>
      <formula>10</formula>
    </cfRule>
  </conditionalFormatting>
  <conditionalFormatting sqref="I53">
    <cfRule type="cellIs" priority="42" operator="between" aboveAverage="0" equalAverage="0" bottom="0" percent="0" rank="0" text="" dxfId="2">
      <formula>7</formula>
      <formula>10</formula>
    </cfRule>
  </conditionalFormatting>
  <conditionalFormatting sqref="I63">
    <cfRule type="cellIs" priority="43" operator="between" aboveAverage="0" equalAverage="0" bottom="0" percent="0" rank="0" text="" dxfId="2">
      <formula>7</formula>
      <formula>10</formula>
    </cfRule>
  </conditionalFormatting>
  <conditionalFormatting sqref="I73">
    <cfRule type="cellIs" priority="44" operator="between" aboveAverage="0" equalAverage="0" bottom="0" percent="0" rank="0" text="" dxfId="2">
      <formula>7</formula>
      <formula>10</formula>
    </cfRule>
  </conditionalFormatting>
  <conditionalFormatting sqref="I83">
    <cfRule type="cellIs" priority="45" operator="between" aboveAverage="0" equalAverage="0" bottom="0" percent="0" rank="0" text="" dxfId="2">
      <formula>7</formula>
      <formula>10</formula>
    </cfRule>
  </conditionalFormatting>
  <conditionalFormatting sqref="I93">
    <cfRule type="cellIs" priority="46" operator="between" aboveAverage="0" equalAverage="0" bottom="0" percent="0" rank="0" text="" dxfId="2">
      <formula>7</formula>
      <formula>10</formula>
    </cfRule>
  </conditionalFormatting>
  <conditionalFormatting sqref="I103">
    <cfRule type="cellIs" priority="47" operator="between" aboveAverage="0" equalAverage="0" bottom="0" percent="0" rank="0" text="" dxfId="2">
      <formula>7</formula>
      <formula>10</formula>
    </cfRule>
  </conditionalFormatting>
  <conditionalFormatting sqref="I113">
    <cfRule type="cellIs" priority="48" operator="between" aboveAverage="0" equalAverage="0" bottom="0" percent="0" rank="0" text="" dxfId="2">
      <formula>7</formula>
      <formula>10</formula>
    </cfRule>
  </conditionalFormatting>
  <conditionalFormatting sqref="I123">
    <cfRule type="cellIs" priority="49" operator="between" aboveAverage="0" equalAverage="0" bottom="0" percent="0" rank="0" text="" dxfId="2">
      <formula>7</formula>
      <formula>10</formula>
    </cfRule>
  </conditionalFormatting>
  <conditionalFormatting sqref="I133">
    <cfRule type="cellIs" priority="50" operator="between" aboveAverage="0" equalAverage="0" bottom="0" percent="0" rank="0" text="" dxfId="2">
      <formula>7</formula>
      <formula>10</formula>
    </cfRule>
  </conditionalFormatting>
  <conditionalFormatting sqref="I143">
    <cfRule type="cellIs" priority="51" operator="between" aboveAverage="0" equalAverage="0" bottom="0" percent="0" rank="0" text="" dxfId="2">
      <formula>7</formula>
      <formula>10</formula>
    </cfRule>
  </conditionalFormatting>
  <conditionalFormatting sqref="I153">
    <cfRule type="cellIs" priority="52" operator="between" aboveAverage="0" equalAverage="0" bottom="0" percent="0" rank="0" text="" dxfId="2">
      <formula>7</formula>
      <formula>10</formula>
    </cfRule>
  </conditionalFormatting>
  <conditionalFormatting sqref="I163">
    <cfRule type="cellIs" priority="53" operator="between" aboveAverage="0" equalAverage="0" bottom="0" percent="0" rank="0" text="" dxfId="2">
      <formula>7</formula>
      <formula>10</formula>
    </cfRule>
  </conditionalFormatting>
  <conditionalFormatting sqref="I173">
    <cfRule type="cellIs" priority="54" operator="between" aboveAverage="0" equalAverage="0" bottom="0" percent="0" rank="0" text="" dxfId="2">
      <formula>7</formula>
      <formula>10</formula>
    </cfRule>
  </conditionalFormatting>
  <conditionalFormatting sqref="I183">
    <cfRule type="cellIs" priority="55" operator="between" aboveAverage="0" equalAverage="0" bottom="0" percent="0" rank="0" text="" dxfId="2">
      <formula>7</formula>
      <formula>10</formula>
    </cfRule>
  </conditionalFormatting>
  <conditionalFormatting sqref="I193">
    <cfRule type="cellIs" priority="56" operator="between" aboveAverage="0" equalAverage="0" bottom="0" percent="0" rank="0" text="" dxfId="0">
      <formula>0</formula>
      <formula>3.9</formula>
    </cfRule>
  </conditionalFormatting>
  <conditionalFormatting sqref="I203">
    <cfRule type="cellIs" priority="57" operator="between" aboveAverage="0" equalAverage="0" bottom="0" percent="0" rank="0" text="" dxfId="0">
      <formula>0</formula>
      <formula>3.9</formula>
    </cfRule>
  </conditionalFormatting>
  <conditionalFormatting sqref="I213">
    <cfRule type="cellIs" priority="58" operator="between" aboveAverage="0" equalAverage="0" bottom="0" percent="0" rank="0" text="" dxfId="0">
      <formula>0</formula>
      <formula>3.9</formula>
    </cfRule>
  </conditionalFormatting>
  <conditionalFormatting sqref="I223">
    <cfRule type="cellIs" priority="59" operator="between" aboveAverage="0" equalAverage="0" bottom="0" percent="0" rank="0" text="" dxfId="0">
      <formula>0</formula>
      <formula>3.9</formula>
    </cfRule>
  </conditionalFormatting>
  <conditionalFormatting sqref="I233">
    <cfRule type="cellIs" priority="60" operator="between" aboveAverage="0" equalAverage="0" bottom="0" percent="0" rank="0" text="" dxfId="0">
      <formula>0</formula>
      <formula>3.9</formula>
    </cfRule>
  </conditionalFormatting>
  <conditionalFormatting sqref="I243">
    <cfRule type="cellIs" priority="61" operator="between" aboveAverage="0" equalAverage="0" bottom="0" percent="0" rank="0" text="" dxfId="0">
      <formula>0</formula>
      <formula>3.9</formula>
    </cfRule>
  </conditionalFormatting>
  <conditionalFormatting sqref="I253">
    <cfRule type="cellIs" priority="62" operator="between" aboveAverage="0" equalAverage="0" bottom="0" percent="0" rank="0" text="" dxfId="0">
      <formula>0</formula>
      <formula>3.9</formula>
    </cfRule>
  </conditionalFormatting>
  <conditionalFormatting sqref="I263">
    <cfRule type="cellIs" priority="63" operator="between" aboveAverage="0" equalAverage="0" bottom="0" percent="0" rank="0" text="" dxfId="0">
      <formula>0</formula>
      <formula>3.9</formula>
    </cfRule>
  </conditionalFormatting>
  <conditionalFormatting sqref="I273">
    <cfRule type="cellIs" priority="64" operator="between" aboveAverage="0" equalAverage="0" bottom="0" percent="0" rank="0" text="" dxfId="0">
      <formula>0</formula>
      <formula>3.9</formula>
    </cfRule>
  </conditionalFormatting>
  <conditionalFormatting sqref="I283">
    <cfRule type="cellIs" priority="65" operator="between" aboveAverage="0" equalAverage="0" bottom="0" percent="0" rank="0" text="" dxfId="0">
      <formula>0</formula>
      <formula>3.9</formula>
    </cfRule>
  </conditionalFormatting>
  <conditionalFormatting sqref="I293">
    <cfRule type="cellIs" priority="66" operator="between" aboveAverage="0" equalAverage="0" bottom="0" percent="0" rank="0" text="" dxfId="0">
      <formula>0</formula>
      <formula>3.9</formula>
    </cfRule>
  </conditionalFormatting>
  <conditionalFormatting sqref="I303">
    <cfRule type="cellIs" priority="67" operator="between" aboveAverage="0" equalAverage="0" bottom="0" percent="0" rank="0" text="" dxfId="0">
      <formula>0</formula>
      <formula>3.9</formula>
    </cfRule>
  </conditionalFormatting>
  <conditionalFormatting sqref="I313">
    <cfRule type="cellIs" priority="68" operator="between" aboveAverage="0" equalAverage="0" bottom="0" percent="0" rank="0" text="" dxfId="0">
      <formula>0</formula>
      <formula>3.9</formula>
    </cfRule>
  </conditionalFormatting>
  <conditionalFormatting sqref="I323">
    <cfRule type="cellIs" priority="69" operator="between" aboveAverage="0" equalAverage="0" bottom="0" percent="0" rank="0" text="" dxfId="0">
      <formula>0</formula>
      <formula>3.9</formula>
    </cfRule>
  </conditionalFormatting>
  <conditionalFormatting sqref="I333">
    <cfRule type="cellIs" priority="70" operator="between" aboveAverage="0" equalAverage="0" bottom="0" percent="0" rank="0" text="" dxfId="0">
      <formula>0</formula>
      <formula>3.9</formula>
    </cfRule>
  </conditionalFormatting>
  <conditionalFormatting sqref="I343">
    <cfRule type="cellIs" priority="71" operator="between" aboveAverage="0" equalAverage="0" bottom="0" percent="0" rank="0" text="" dxfId="0">
      <formula>0</formula>
      <formula>3.9</formula>
    </cfRule>
  </conditionalFormatting>
  <conditionalFormatting sqref="I353">
    <cfRule type="cellIs" priority="72" operator="between" aboveAverage="0" equalAverage="0" bottom="0" percent="0" rank="0" text="" dxfId="0">
      <formula>0</formula>
      <formula>3.9</formula>
    </cfRule>
  </conditionalFormatting>
  <conditionalFormatting sqref="I363">
    <cfRule type="cellIs" priority="73" operator="between" aboveAverage="0" equalAverage="0" bottom="0" percent="0" rank="0" text="" dxfId="0">
      <formula>0</formula>
      <formula>3.9</formula>
    </cfRule>
  </conditionalFormatting>
  <conditionalFormatting sqref="I373">
    <cfRule type="cellIs" priority="74" operator="between" aboveAverage="0" equalAverage="0" bottom="0" percent="0" rank="0" text="" dxfId="0">
      <formula>0</formula>
      <formula>3.9</formula>
    </cfRule>
  </conditionalFormatting>
  <conditionalFormatting sqref="I193">
    <cfRule type="cellIs" priority="75" operator="between" aboveAverage="0" equalAverage="0" bottom="0" percent="0" rank="0" text="" dxfId="1">
      <formula>4</formula>
      <formula>6.9</formula>
    </cfRule>
  </conditionalFormatting>
  <conditionalFormatting sqref="I203">
    <cfRule type="cellIs" priority="76" operator="between" aboveAverage="0" equalAverage="0" bottom="0" percent="0" rank="0" text="" dxfId="1">
      <formula>4</formula>
      <formula>6.9</formula>
    </cfRule>
  </conditionalFormatting>
  <conditionalFormatting sqref="I213">
    <cfRule type="cellIs" priority="77" operator="between" aboveAverage="0" equalAverage="0" bottom="0" percent="0" rank="0" text="" dxfId="1">
      <formula>4</formula>
      <formula>6.9</formula>
    </cfRule>
  </conditionalFormatting>
  <conditionalFormatting sqref="I223">
    <cfRule type="cellIs" priority="78" operator="between" aboveAverage="0" equalAverage="0" bottom="0" percent="0" rank="0" text="" dxfId="1">
      <formula>4</formula>
      <formula>6.9</formula>
    </cfRule>
  </conditionalFormatting>
  <conditionalFormatting sqref="I233">
    <cfRule type="cellIs" priority="79" operator="between" aboveAverage="0" equalAverage="0" bottom="0" percent="0" rank="0" text="" dxfId="1">
      <formula>4</formula>
      <formula>6.9</formula>
    </cfRule>
  </conditionalFormatting>
  <conditionalFormatting sqref="I243">
    <cfRule type="cellIs" priority="80" operator="between" aboveAverage="0" equalAverage="0" bottom="0" percent="0" rank="0" text="" dxfId="1">
      <formula>4</formula>
      <formula>6.9</formula>
    </cfRule>
  </conditionalFormatting>
  <conditionalFormatting sqref="I253">
    <cfRule type="cellIs" priority="81" operator="between" aboveAverage="0" equalAverage="0" bottom="0" percent="0" rank="0" text="" dxfId="1">
      <formula>4</formula>
      <formula>6.9</formula>
    </cfRule>
  </conditionalFormatting>
  <conditionalFormatting sqref="I263">
    <cfRule type="cellIs" priority="82" operator="between" aboveAverage="0" equalAverage="0" bottom="0" percent="0" rank="0" text="" dxfId="1">
      <formula>4</formula>
      <formula>6.9</formula>
    </cfRule>
  </conditionalFormatting>
  <conditionalFormatting sqref="I273">
    <cfRule type="cellIs" priority="83" operator="between" aboveAverage="0" equalAverage="0" bottom="0" percent="0" rank="0" text="" dxfId="1">
      <formula>4</formula>
      <formula>6.9</formula>
    </cfRule>
  </conditionalFormatting>
  <conditionalFormatting sqref="I283">
    <cfRule type="cellIs" priority="84" operator="between" aboveAverage="0" equalAverage="0" bottom="0" percent="0" rank="0" text="" dxfId="1">
      <formula>4</formula>
      <formula>6.9</formula>
    </cfRule>
  </conditionalFormatting>
  <conditionalFormatting sqref="I293">
    <cfRule type="cellIs" priority="85" operator="between" aboveAverage="0" equalAverage="0" bottom="0" percent="0" rank="0" text="" dxfId="1">
      <formula>4</formula>
      <formula>6.9</formula>
    </cfRule>
  </conditionalFormatting>
  <conditionalFormatting sqref="I303">
    <cfRule type="cellIs" priority="86" operator="between" aboveAverage="0" equalAverage="0" bottom="0" percent="0" rank="0" text="" dxfId="1">
      <formula>4</formula>
      <formula>6.9</formula>
    </cfRule>
  </conditionalFormatting>
  <conditionalFormatting sqref="I313">
    <cfRule type="cellIs" priority="87" operator="between" aboveAverage="0" equalAverage="0" bottom="0" percent="0" rank="0" text="" dxfId="1">
      <formula>4</formula>
      <formula>6.9</formula>
    </cfRule>
  </conditionalFormatting>
  <conditionalFormatting sqref="I323">
    <cfRule type="cellIs" priority="88" operator="between" aboveAverage="0" equalAverage="0" bottom="0" percent="0" rank="0" text="" dxfId="1">
      <formula>4</formula>
      <formula>6.9</formula>
    </cfRule>
  </conditionalFormatting>
  <conditionalFormatting sqref="I333">
    <cfRule type="cellIs" priority="89" operator="between" aboveAverage="0" equalAverage="0" bottom="0" percent="0" rank="0" text="" dxfId="1">
      <formula>4</formula>
      <formula>6.9</formula>
    </cfRule>
  </conditionalFormatting>
  <conditionalFormatting sqref="I343">
    <cfRule type="cellIs" priority="90" operator="between" aboveAverage="0" equalAverage="0" bottom="0" percent="0" rank="0" text="" dxfId="1">
      <formula>4</formula>
      <formula>6.9</formula>
    </cfRule>
  </conditionalFormatting>
  <conditionalFormatting sqref="I353">
    <cfRule type="cellIs" priority="91" operator="between" aboveAverage="0" equalAverage="0" bottom="0" percent="0" rank="0" text="" dxfId="1">
      <formula>4</formula>
      <formula>6.9</formula>
    </cfRule>
  </conditionalFormatting>
  <conditionalFormatting sqref="I363">
    <cfRule type="cellIs" priority="92" operator="between" aboveAverage="0" equalAverage="0" bottom="0" percent="0" rank="0" text="" dxfId="1">
      <formula>4</formula>
      <formula>6.9</formula>
    </cfRule>
  </conditionalFormatting>
  <conditionalFormatting sqref="I373">
    <cfRule type="cellIs" priority="93" operator="between" aboveAverage="0" equalAverage="0" bottom="0" percent="0" rank="0" text="" dxfId="1">
      <formula>4</formula>
      <formula>6.9</formula>
    </cfRule>
  </conditionalFormatting>
  <conditionalFormatting sqref="I193">
    <cfRule type="cellIs" priority="94" operator="between" aboveAverage="0" equalAverage="0" bottom="0" percent="0" rank="0" text="" dxfId="2">
      <formula>7</formula>
      <formula>10</formula>
    </cfRule>
  </conditionalFormatting>
  <conditionalFormatting sqref="I203">
    <cfRule type="cellIs" priority="95" operator="between" aboveAverage="0" equalAverage="0" bottom="0" percent="0" rank="0" text="" dxfId="2">
      <formula>7</formula>
      <formula>10</formula>
    </cfRule>
  </conditionalFormatting>
  <conditionalFormatting sqref="I213">
    <cfRule type="cellIs" priority="96" operator="between" aboveAverage="0" equalAverage="0" bottom="0" percent="0" rank="0" text="" dxfId="2">
      <formula>7</formula>
      <formula>10</formula>
    </cfRule>
  </conditionalFormatting>
  <conditionalFormatting sqref="I223">
    <cfRule type="cellIs" priority="97" operator="between" aboveAverage="0" equalAverage="0" bottom="0" percent="0" rank="0" text="" dxfId="2">
      <formula>7</formula>
      <formula>10</formula>
    </cfRule>
  </conditionalFormatting>
  <conditionalFormatting sqref="I233">
    <cfRule type="cellIs" priority="98" operator="between" aboveAverage="0" equalAverage="0" bottom="0" percent="0" rank="0" text="" dxfId="2">
      <formula>7</formula>
      <formula>10</formula>
    </cfRule>
  </conditionalFormatting>
  <conditionalFormatting sqref="I243">
    <cfRule type="cellIs" priority="99" operator="between" aboveAverage="0" equalAverage="0" bottom="0" percent="0" rank="0" text="" dxfId="2">
      <formula>7</formula>
      <formula>10</formula>
    </cfRule>
  </conditionalFormatting>
  <conditionalFormatting sqref="I253">
    <cfRule type="cellIs" priority="100" operator="between" aboveAverage="0" equalAverage="0" bottom="0" percent="0" rank="0" text="" dxfId="2">
      <formula>7</formula>
      <formula>10</formula>
    </cfRule>
  </conditionalFormatting>
  <conditionalFormatting sqref="I263">
    <cfRule type="cellIs" priority="101" operator="between" aboveAverage="0" equalAverage="0" bottom="0" percent="0" rank="0" text="" dxfId="2">
      <formula>7</formula>
      <formula>10</formula>
    </cfRule>
  </conditionalFormatting>
  <conditionalFormatting sqref="I273">
    <cfRule type="cellIs" priority="102" operator="between" aboveAverage="0" equalAverage="0" bottom="0" percent="0" rank="0" text="" dxfId="2">
      <formula>7</formula>
      <formula>10</formula>
    </cfRule>
  </conditionalFormatting>
  <conditionalFormatting sqref="I283">
    <cfRule type="cellIs" priority="103" operator="between" aboveAverage="0" equalAverage="0" bottom="0" percent="0" rank="0" text="" dxfId="2">
      <formula>7</formula>
      <formula>10</formula>
    </cfRule>
  </conditionalFormatting>
  <conditionalFormatting sqref="I293">
    <cfRule type="cellIs" priority="104" operator="between" aboveAverage="0" equalAverage="0" bottom="0" percent="0" rank="0" text="" dxfId="2">
      <formula>7</formula>
      <formula>10</formula>
    </cfRule>
  </conditionalFormatting>
  <conditionalFormatting sqref="I303">
    <cfRule type="cellIs" priority="105" operator="between" aboveAverage="0" equalAverage="0" bottom="0" percent="0" rank="0" text="" dxfId="2">
      <formula>7</formula>
      <formula>10</formula>
    </cfRule>
  </conditionalFormatting>
  <conditionalFormatting sqref="I313">
    <cfRule type="cellIs" priority="106" operator="between" aboveAverage="0" equalAverage="0" bottom="0" percent="0" rank="0" text="" dxfId="2">
      <formula>7</formula>
      <formula>10</formula>
    </cfRule>
  </conditionalFormatting>
  <conditionalFormatting sqref="I323">
    <cfRule type="cellIs" priority="107" operator="between" aboveAverage="0" equalAverage="0" bottom="0" percent="0" rank="0" text="" dxfId="2">
      <formula>7</formula>
      <formula>10</formula>
    </cfRule>
  </conditionalFormatting>
  <conditionalFormatting sqref="I333">
    <cfRule type="cellIs" priority="108" operator="between" aboveAverage="0" equalAverage="0" bottom="0" percent="0" rank="0" text="" dxfId="2">
      <formula>7</formula>
      <formula>10</formula>
    </cfRule>
  </conditionalFormatting>
  <conditionalFormatting sqref="I343">
    <cfRule type="cellIs" priority="109" operator="between" aboveAverage="0" equalAverage="0" bottom="0" percent="0" rank="0" text="" dxfId="2">
      <formula>7</formula>
      <formula>10</formula>
    </cfRule>
  </conditionalFormatting>
  <conditionalFormatting sqref="I353">
    <cfRule type="cellIs" priority="110" operator="between" aboveAverage="0" equalAverage="0" bottom="0" percent="0" rank="0" text="" dxfId="2">
      <formula>7</formula>
      <formula>10</formula>
    </cfRule>
  </conditionalFormatting>
  <conditionalFormatting sqref="I363">
    <cfRule type="cellIs" priority="111" operator="between" aboveAverage="0" equalAverage="0" bottom="0" percent="0" rank="0" text="" dxfId="2">
      <formula>7</formula>
      <formula>10</formula>
    </cfRule>
  </conditionalFormatting>
  <conditionalFormatting sqref="I373">
    <cfRule type="cellIs" priority="112" operator="between" aboveAverage="0" equalAverage="0" bottom="0" percent="0" rank="0" text="" dxfId="2">
      <formula>7</formula>
      <formula>10</formula>
    </cfRule>
  </conditionalFormatting>
  <conditionalFormatting sqref="I13">
    <cfRule type="cellIs" priority="113" operator="between" aboveAverage="0" equalAverage="0" bottom="0" percent="0" rank="0" text="" dxfId="0">
      <formula>0</formula>
      <formula>3.9</formula>
    </cfRule>
  </conditionalFormatting>
  <conditionalFormatting sqref="I13">
    <cfRule type="cellIs" priority="114" operator="between" aboveAverage="0" equalAverage="0" bottom="0" percent="0" rank="0" text="" dxfId="1">
      <formula>4</formula>
      <formula>6.9</formula>
    </cfRule>
  </conditionalFormatting>
  <conditionalFormatting sqref="I13">
    <cfRule type="cellIs" priority="115" operator="between" aboveAverage="0" equalAverage="0" bottom="0" percent="0" rank="0" text="" dxfId="2">
      <formula>7</formula>
      <formula>10</formula>
    </cfRule>
  </conditionalFormatting>
  <conditionalFormatting sqref="I383">
    <cfRule type="cellIs" priority="116" operator="between" aboveAverage="0" equalAverage="0" bottom="0" percent="0" rank="0" text="" dxfId="0">
      <formula>0</formula>
      <formula>3.9</formula>
    </cfRule>
  </conditionalFormatting>
  <conditionalFormatting sqref="I393">
    <cfRule type="cellIs" priority="117" operator="between" aboveAverage="0" equalAverage="0" bottom="0" percent="0" rank="0" text="" dxfId="0">
      <formula>0</formula>
      <formula>3.9</formula>
    </cfRule>
  </conditionalFormatting>
  <conditionalFormatting sqref="I403">
    <cfRule type="cellIs" priority="118" operator="between" aboveAverage="0" equalAverage="0" bottom="0" percent="0" rank="0" text="" dxfId="0">
      <formula>0</formula>
      <formula>3.9</formula>
    </cfRule>
  </conditionalFormatting>
  <conditionalFormatting sqref="I413">
    <cfRule type="cellIs" priority="119" operator="between" aboveAverage="0" equalAverage="0" bottom="0" percent="0" rank="0" text="" dxfId="0">
      <formula>0</formula>
      <formula>3.9</formula>
    </cfRule>
  </conditionalFormatting>
  <conditionalFormatting sqref="I423">
    <cfRule type="cellIs" priority="120" operator="between" aboveAverage="0" equalAverage="0" bottom="0" percent="0" rank="0" text="" dxfId="0">
      <formula>0</formula>
      <formula>3.9</formula>
    </cfRule>
  </conditionalFormatting>
  <conditionalFormatting sqref="I433">
    <cfRule type="cellIs" priority="121" operator="between" aboveAverage="0" equalAverage="0" bottom="0" percent="0" rank="0" text="" dxfId="0">
      <formula>0</formula>
      <formula>3.9</formula>
    </cfRule>
  </conditionalFormatting>
  <conditionalFormatting sqref="I443">
    <cfRule type="cellIs" priority="122" operator="between" aboveAverage="0" equalAverage="0" bottom="0" percent="0" rank="0" text="" dxfId="0">
      <formula>0</formula>
      <formula>3.9</formula>
    </cfRule>
  </conditionalFormatting>
  <conditionalFormatting sqref="I453">
    <cfRule type="cellIs" priority="123" operator="between" aboveAverage="0" equalAverage="0" bottom="0" percent="0" rank="0" text="" dxfId="0">
      <formula>0</formula>
      <formula>3.9</formula>
    </cfRule>
  </conditionalFormatting>
  <conditionalFormatting sqref="I463">
    <cfRule type="cellIs" priority="124" operator="between" aboveAverage="0" equalAverage="0" bottom="0" percent="0" rank="0" text="" dxfId="0">
      <formula>0</formula>
      <formula>3.9</formula>
    </cfRule>
  </conditionalFormatting>
  <conditionalFormatting sqref="I473">
    <cfRule type="cellIs" priority="125" operator="between" aboveAverage="0" equalAverage="0" bottom="0" percent="0" rank="0" text="" dxfId="0">
      <formula>0</formula>
      <formula>3.9</formula>
    </cfRule>
  </conditionalFormatting>
  <conditionalFormatting sqref="I483">
    <cfRule type="cellIs" priority="126" operator="between" aboveAverage="0" equalAverage="0" bottom="0" percent="0" rank="0" text="" dxfId="0">
      <formula>0</formula>
      <formula>3.9</formula>
    </cfRule>
  </conditionalFormatting>
  <conditionalFormatting sqref="I493">
    <cfRule type="cellIs" priority="127" operator="between" aboveAverage="0" equalAverage="0" bottom="0" percent="0" rank="0" text="" dxfId="0">
      <formula>0</formula>
      <formula>3.9</formula>
    </cfRule>
  </conditionalFormatting>
  <conditionalFormatting sqref="I503">
    <cfRule type="cellIs" priority="128" operator="between" aboveAverage="0" equalAverage="0" bottom="0" percent="0" rank="0" text="" dxfId="0">
      <formula>0</formula>
      <formula>3.9</formula>
    </cfRule>
  </conditionalFormatting>
  <conditionalFormatting sqref="I513">
    <cfRule type="cellIs" priority="129" operator="between" aboveAverage="0" equalAverage="0" bottom="0" percent="0" rank="0" text="" dxfId="0">
      <formula>0</formula>
      <formula>3.9</formula>
    </cfRule>
  </conditionalFormatting>
  <conditionalFormatting sqref="I383">
    <cfRule type="cellIs" priority="130" operator="between" aboveAverage="0" equalAverage="0" bottom="0" percent="0" rank="0" text="" dxfId="1">
      <formula>4</formula>
      <formula>6.9</formula>
    </cfRule>
  </conditionalFormatting>
  <conditionalFormatting sqref="I393">
    <cfRule type="cellIs" priority="131" operator="between" aboveAverage="0" equalAverage="0" bottom="0" percent="0" rank="0" text="" dxfId="1">
      <formula>4</formula>
      <formula>6.9</formula>
    </cfRule>
  </conditionalFormatting>
  <conditionalFormatting sqref="I403">
    <cfRule type="cellIs" priority="132" operator="between" aboveAverage="0" equalAverage="0" bottom="0" percent="0" rank="0" text="" dxfId="1">
      <formula>4</formula>
      <formula>6.9</formula>
    </cfRule>
  </conditionalFormatting>
  <conditionalFormatting sqref="I413">
    <cfRule type="cellIs" priority="133" operator="between" aboveAverage="0" equalAverage="0" bottom="0" percent="0" rank="0" text="" dxfId="1">
      <formula>4</formula>
      <formula>6.9</formula>
    </cfRule>
  </conditionalFormatting>
  <conditionalFormatting sqref="I423">
    <cfRule type="cellIs" priority="134" operator="between" aboveAverage="0" equalAverage="0" bottom="0" percent="0" rank="0" text="" dxfId="1">
      <formula>4</formula>
      <formula>6.9</formula>
    </cfRule>
  </conditionalFormatting>
  <conditionalFormatting sqref="I433">
    <cfRule type="cellIs" priority="135" operator="between" aboveAverage="0" equalAverage="0" bottom="0" percent="0" rank="0" text="" dxfId="1">
      <formula>4</formula>
      <formula>6.9</formula>
    </cfRule>
  </conditionalFormatting>
  <conditionalFormatting sqref="I443">
    <cfRule type="cellIs" priority="136" operator="between" aboveAverage="0" equalAverage="0" bottom="0" percent="0" rank="0" text="" dxfId="1">
      <formula>4</formula>
      <formula>6.9</formula>
    </cfRule>
  </conditionalFormatting>
  <conditionalFormatting sqref="I453">
    <cfRule type="cellIs" priority="137" operator="between" aboveAverage="0" equalAverage="0" bottom="0" percent="0" rank="0" text="" dxfId="1">
      <formula>4</formula>
      <formula>6.9</formula>
    </cfRule>
  </conditionalFormatting>
  <conditionalFormatting sqref="I463">
    <cfRule type="cellIs" priority="138" operator="between" aboveAverage="0" equalAverage="0" bottom="0" percent="0" rank="0" text="" dxfId="1">
      <formula>4</formula>
      <formula>6.9</formula>
    </cfRule>
  </conditionalFormatting>
  <conditionalFormatting sqref="I473">
    <cfRule type="cellIs" priority="139" operator="between" aboveAverage="0" equalAverage="0" bottom="0" percent="0" rank="0" text="" dxfId="1">
      <formula>4</formula>
      <formula>6.9</formula>
    </cfRule>
  </conditionalFormatting>
  <conditionalFormatting sqref="I483">
    <cfRule type="cellIs" priority="140" operator="between" aboveAverage="0" equalAverage="0" bottom="0" percent="0" rank="0" text="" dxfId="1">
      <formula>4</formula>
      <formula>6.9</formula>
    </cfRule>
  </conditionalFormatting>
  <conditionalFormatting sqref="I493">
    <cfRule type="cellIs" priority="141" operator="between" aboveAverage="0" equalAverage="0" bottom="0" percent="0" rank="0" text="" dxfId="1">
      <formula>4</formula>
      <formula>6.9</formula>
    </cfRule>
  </conditionalFormatting>
  <conditionalFormatting sqref="I503">
    <cfRule type="cellIs" priority="142" operator="between" aboveAverage="0" equalAverage="0" bottom="0" percent="0" rank="0" text="" dxfId="1">
      <formula>4</formula>
      <formula>6.9</formula>
    </cfRule>
  </conditionalFormatting>
  <conditionalFormatting sqref="I513">
    <cfRule type="cellIs" priority="143" operator="between" aboveAverage="0" equalAverage="0" bottom="0" percent="0" rank="0" text="" dxfId="1">
      <formula>4</formula>
      <formula>6.9</formula>
    </cfRule>
  </conditionalFormatting>
  <conditionalFormatting sqref="I383">
    <cfRule type="cellIs" priority="144" operator="between" aboveAverage="0" equalAverage="0" bottom="0" percent="0" rank="0" text="" dxfId="2">
      <formula>7</formula>
      <formula>10</formula>
    </cfRule>
  </conditionalFormatting>
  <conditionalFormatting sqref="I393">
    <cfRule type="cellIs" priority="145" operator="between" aboveAverage="0" equalAverage="0" bottom="0" percent="0" rank="0" text="" dxfId="2">
      <formula>7</formula>
      <formula>10</formula>
    </cfRule>
  </conditionalFormatting>
  <conditionalFormatting sqref="I403">
    <cfRule type="cellIs" priority="146" operator="between" aboveAverage="0" equalAverage="0" bottom="0" percent="0" rank="0" text="" dxfId="2">
      <formula>7</formula>
      <formula>10</formula>
    </cfRule>
  </conditionalFormatting>
  <conditionalFormatting sqref="I413">
    <cfRule type="cellIs" priority="147" operator="between" aboveAverage="0" equalAverage="0" bottom="0" percent="0" rank="0" text="" dxfId="2">
      <formula>7</formula>
      <formula>10</formula>
    </cfRule>
  </conditionalFormatting>
  <conditionalFormatting sqref="I423">
    <cfRule type="cellIs" priority="148" operator="between" aboveAverage="0" equalAverage="0" bottom="0" percent="0" rank="0" text="" dxfId="2">
      <formula>7</formula>
      <formula>10</formula>
    </cfRule>
  </conditionalFormatting>
  <conditionalFormatting sqref="I433">
    <cfRule type="cellIs" priority="149" operator="between" aboveAverage="0" equalAverage="0" bottom="0" percent="0" rank="0" text="" dxfId="2">
      <formula>7</formula>
      <formula>10</formula>
    </cfRule>
  </conditionalFormatting>
  <conditionalFormatting sqref="I443">
    <cfRule type="cellIs" priority="150" operator="between" aboveAverage="0" equalAverage="0" bottom="0" percent="0" rank="0" text="" dxfId="2">
      <formula>7</formula>
      <formula>10</formula>
    </cfRule>
  </conditionalFormatting>
  <conditionalFormatting sqref="I453">
    <cfRule type="cellIs" priority="151" operator="between" aboveAverage="0" equalAverage="0" bottom="0" percent="0" rank="0" text="" dxfId="2">
      <formula>7</formula>
      <formula>10</formula>
    </cfRule>
  </conditionalFormatting>
  <conditionalFormatting sqref="I463">
    <cfRule type="cellIs" priority="152" operator="between" aboveAverage="0" equalAverage="0" bottom="0" percent="0" rank="0" text="" dxfId="2">
      <formula>7</formula>
      <formula>10</formula>
    </cfRule>
  </conditionalFormatting>
  <conditionalFormatting sqref="I473">
    <cfRule type="cellIs" priority="153" operator="between" aboveAverage="0" equalAverage="0" bottom="0" percent="0" rank="0" text="" dxfId="2">
      <formula>7</formula>
      <formula>10</formula>
    </cfRule>
  </conditionalFormatting>
  <conditionalFormatting sqref="I483">
    <cfRule type="cellIs" priority="154" operator="between" aboveAverage="0" equalAverage="0" bottom="0" percent="0" rank="0" text="" dxfId="2">
      <formula>7</formula>
      <formula>10</formula>
    </cfRule>
  </conditionalFormatting>
  <conditionalFormatting sqref="I493">
    <cfRule type="cellIs" priority="155" operator="between" aboveAverage="0" equalAverage="0" bottom="0" percent="0" rank="0" text="" dxfId="2">
      <formula>7</formula>
      <formula>10</formula>
    </cfRule>
  </conditionalFormatting>
  <conditionalFormatting sqref="I503">
    <cfRule type="cellIs" priority="156" operator="between" aboveAverage="0" equalAverage="0" bottom="0" percent="0" rank="0" text="" dxfId="2">
      <formula>7</formula>
      <formula>10</formula>
    </cfRule>
  </conditionalFormatting>
  <conditionalFormatting sqref="I513">
    <cfRule type="cellIs" priority="157" operator="between" aboveAverage="0" equalAverage="0" bottom="0" percent="0" rank="0" text="" dxfId="2">
      <formula>7</formula>
      <formula>10</formula>
    </cfRule>
  </conditionalFormatting>
  <dataValidations count="9">
    <dataValidation allowBlank="true" operator="equal" showDropDown="false" showErrorMessage="true" showInputMessage="false" sqref="H3 H13 H23 H33 H43 H53 H63 H73 H83 H93 H103 H113 H123 H133 H143 H153 H163 H173 H183 H193 H203 H213 H223 H233 H243 H253 H263 H273 H283 H293 H303 H313 H323 H333 H343 H353 H363 H373 H383 H393 H403 H413 H423 H433 H443 H453 H463 H473 H483 H493" type="list">
      <formula1>CVSSv2!C$4:F$4</formula1>
      <formula2>0</formula2>
    </dataValidation>
    <dataValidation allowBlank="true" operator="equal" showDropDown="false" showErrorMessage="true" showInputMessage="false" sqref="H4 H14 H24 H34 H44 H54 H64 H74 H84 H94 H104 H114 H124 H134 H144 H154 H164 H174 H184 H194 H204 H214 H224 H234 H244 H254 H264 H274 H284 H294 H304 H314 H324 H334 H344 H354 H364 H374 H384 H394 H404 H414 H424 H434 H444 H454 H464 H474 H484 H494" type="list">
      <formula1>CVSSv2!C$5:F$5</formula1>
      <formula2>0</formula2>
    </dataValidation>
    <dataValidation allowBlank="true" operator="equal" showDropDown="false" showErrorMessage="true" showInputMessage="false" sqref="H5 H15 H25 H35 H45 H55 H65 H75 H85 H95 H105 H115 H125 H135 H145 H155 H165 H175 H185 H195 H205 H215 H225 H235 H245 H255 H265 H275 H285 H295 H305 H315 H325 H335 H345 H355 H365 H375 H385 H395 H405 H415 H425 H435 H445 H455 H465 H475 H485 H495" type="list">
      <formula1>CVSSv2!C$6:F$6</formula1>
      <formula2>0</formula2>
    </dataValidation>
    <dataValidation allowBlank="true" operator="equal" showDropDown="false" showErrorMessage="true" showInputMessage="false" sqref="H6 H16 H26 H36 H46 H56 H66 H76 H86 H96 H106 H116 H126 H136 H146 H156 H166 H176 H186 H196 H206 H216 H226 H236 H246 H256 H266 H276 H286 H296 H306 H316 H326 H336 H346 H356 H366 H376 H386 H396 H406 H416 H426 H436 H446 H456 H466 H476 H486 H496" type="list">
      <formula1>CVSSv2!C$7:F$7</formula1>
      <formula2>0</formula2>
    </dataValidation>
    <dataValidation allowBlank="true" operator="equal" showDropDown="false" showErrorMessage="true" showInputMessage="false" sqref="H7 H17 H27 H37 H47 H57 H67 H77 H87 H97 H107 H117 H127 H137 H147 H157 H167 H177 H187 H197 H207 H217 H227 H237 H247 H257 H267 H277 H287 H297 H307 H317 H327 H337 H347 H357 H367 H377 H387 H397 H407 H417 H427 H437 H447 H457 H467 H477 H487 H497" type="list">
      <formula1>CVSSv2!C$8:F$8</formula1>
      <formula2>0</formula2>
    </dataValidation>
    <dataValidation allowBlank="true" operator="equal" showDropDown="false" showErrorMessage="true" showInputMessage="false" sqref="H8 H18 H28 H38 H48 H58 H68 H78 H88 H98 H108 H118 H128 H138 H148 H158 H168 H178 H188 H198 H208 H218 H228 H238 H248 H258 H268 H278 H288 H298 H308 H318 H328 H338 H348 H358 H368 H378 H388 H398 H408 H418 H428 H438 H448 H458 H468 H478 H488 H498" type="list">
      <formula1>CVSSv2!C$9:F$9</formula1>
      <formula2>0</formula2>
    </dataValidation>
    <dataValidation allowBlank="true" operator="equal" showDropDown="false" showErrorMessage="true" showInputMessage="false" sqref="H9 H19 H29 H39 H49 H59 H69 H79 H89 H99 H109 H119 H129 H139 H149 H159 H169 H179 H189 H199 H209 H219 H229 H239 H249 H259 H269 H279 H289 H299 H309 H319 H329 H339 H349 H359 H369 H379 H389 H399 H409 H419 H429 H439 H449 H459 H469 H479 H489 H499" type="list">
      <formula1>CVSSv2!C$10:F$10</formula1>
      <formula2>0</formula2>
    </dataValidation>
    <dataValidation allowBlank="true" operator="equal" showDropDown="false" showErrorMessage="true" showInputMessage="false" sqref="H10 H20 H30 H40 H50 H60 H70 H80 H90 H100 H110 H120 H130 H140 H150 H160 H170 H180 H190 H200 H210 H220 H230 H240 H250 H260 H270 H280 H290 H300 H310 H320 H330 H340 H350 H360 H370 H380 H390 H400 H410 H420 H430 H440 H450 H460 H470 H480 H490 H500" type="list">
      <formula1>CVSSv2!C$11:F$11</formula1>
      <formula2>0</formula2>
    </dataValidation>
    <dataValidation allowBlank="true" operator="equal" showDropDown="false" showErrorMessage="true" showInputMessage="false" sqref="H11 H21 H31 H41 H51 H61 H71 H81 H91 H101 H111 H121 H131 H141 H151 H161 H171 H181 H191 H201 H211 H221 H231 H241 H251 H261 H271 H281 H291 H301 H311 H321 H331 H341 H351 H361 H371 H381 H391 H401 H411 H421 H431 H441 H451 H461 H471 H481 H491 H501" type="list">
      <formula1>CVSSv2!C$12:F$12</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L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6.2"/>
    <col collapsed="false" customWidth="true" hidden="false" outlineLevel="0" max="2" min="2" style="0" width="95.31"/>
    <col collapsed="false" customWidth="true" hidden="false" outlineLevel="0" max="4" min="3" style="0" width="16.2"/>
    <col collapsed="false" customWidth="true" hidden="false" outlineLevel="0" max="5" min="5" style="0" width="20.11"/>
    <col collapsed="false" customWidth="true" hidden="false" outlineLevel="0" max="6" min="6" style="0" width="16.2"/>
    <col collapsed="false" customWidth="true" hidden="false" outlineLevel="0" max="7" min="7" style="0" width="16.87"/>
    <col collapsed="false" customWidth="true" hidden="false" outlineLevel="0" max="8" min="8" style="0" width="13.09"/>
    <col collapsed="false" customWidth="true" hidden="false" outlineLevel="0" max="9" min="9" style="0" width="14.58"/>
    <col collapsed="false" customWidth="true" hidden="false" outlineLevel="0" max="10" min="10" style="0" width="15.53"/>
    <col collapsed="false" customWidth="true" hidden="false" outlineLevel="0" max="11" min="11" style="0" width="56.02"/>
    <col collapsed="false" customWidth="true" hidden="true" outlineLevel="0" max="12" min="12" style="0" width="16.2"/>
    <col collapsed="false" customWidth="true" hidden="false" outlineLevel="0" max="1025" min="13" style="0" width="19.44"/>
  </cols>
  <sheetData>
    <row r="1" customFormat="false" ht="15.75" hidden="false" customHeight="true" outlineLevel="0" collapsed="false">
      <c r="A1" s="34" t="s">
        <v>764</v>
      </c>
      <c r="B1" s="34"/>
      <c r="C1" s="34"/>
      <c r="D1" s="34"/>
      <c r="E1" s="34"/>
      <c r="F1" s="34"/>
      <c r="G1" s="34"/>
      <c r="H1" s="34"/>
      <c r="I1" s="34"/>
      <c r="J1" s="34"/>
      <c r="K1" s="34"/>
      <c r="L1" s="35"/>
    </row>
    <row r="2" customFormat="false" ht="15.75" hidden="false" customHeight="true" outlineLevel="0" collapsed="false">
      <c r="A2" s="21" t="s">
        <v>765</v>
      </c>
      <c r="B2" s="21" t="s">
        <v>2</v>
      </c>
      <c r="C2" s="22" t="s">
        <v>3</v>
      </c>
      <c r="D2" s="22" t="s">
        <v>766</v>
      </c>
      <c r="E2" s="22" t="s">
        <v>5</v>
      </c>
      <c r="F2" s="22" t="s">
        <v>6</v>
      </c>
      <c r="G2" s="22" t="s">
        <v>7</v>
      </c>
      <c r="H2" s="22" t="s">
        <v>8</v>
      </c>
      <c r="I2" s="22" t="s">
        <v>9</v>
      </c>
      <c r="J2" s="22" t="s">
        <v>767</v>
      </c>
      <c r="K2" s="22" t="s">
        <v>10</v>
      </c>
      <c r="L2" s="36"/>
    </row>
    <row r="3" customFormat="false" ht="15.75" hidden="false" customHeight="true" outlineLevel="0" collapsed="false">
      <c r="A3" s="37" t="s">
        <v>11</v>
      </c>
      <c r="B3" s="37" t="s">
        <v>768</v>
      </c>
      <c r="C3" s="38" t="s">
        <v>41</v>
      </c>
      <c r="D3" s="39" t="s">
        <v>95</v>
      </c>
      <c r="E3" s="39" t="s">
        <v>81</v>
      </c>
      <c r="F3" s="39" t="s">
        <v>55</v>
      </c>
      <c r="G3" s="40" t="s">
        <v>17</v>
      </c>
      <c r="H3" s="40" t="s">
        <v>17</v>
      </c>
      <c r="I3" s="40" t="s">
        <v>17</v>
      </c>
      <c r="J3" s="40" t="str">
        <f aca="false">IF(G3="Sí", IF(H3="Sí", "DP", "SP"), IF(H3="Sí", "SD", "-"))</f>
        <v>-</v>
      </c>
      <c r="K3" s="36" t="str">
        <f aca="false">IF(IFERROR(L3,7)=7,"",RIGHT(L3,LEN(L3)-2)&amp;".")</f>
        <v>/A.</v>
      </c>
      <c r="L3" s="36" t="str">
        <f aca="false">IFERROR(__xludf.dummyfunction("CONCATENATE(ArrayFormula(""; ""&amp;QUERY(Hallazgos!A:F,""SELECT B WHERE E CONTAINS '""&amp;A3&amp;""' LABEL B ''"")))"),"#N/A")</f>
        <v>#N/A</v>
      </c>
    </row>
    <row r="4" customFormat="false" ht="15.75" hidden="false" customHeight="true" outlineLevel="0" collapsed="false">
      <c r="A4" s="37" t="s">
        <v>18</v>
      </c>
      <c r="B4" s="37" t="s">
        <v>769</v>
      </c>
      <c r="C4" s="38" t="s">
        <v>13</v>
      </c>
      <c r="D4" s="39" t="s">
        <v>14</v>
      </c>
      <c r="E4" s="39" t="s">
        <v>15</v>
      </c>
      <c r="F4" s="39" t="s">
        <v>16</v>
      </c>
      <c r="G4" s="40" t="s">
        <v>17</v>
      </c>
      <c r="H4" s="40" t="s">
        <v>17</v>
      </c>
      <c r="I4" s="40" t="s">
        <v>17</v>
      </c>
      <c r="J4" s="40" t="str">
        <f aca="false">IF(G4="Sí", IF(H4="Sí", "DP", "SP"), IF(H4="Sí", "SD", "-"))</f>
        <v>-</v>
      </c>
      <c r="K4" s="36" t="str">
        <f aca="false">IF(IFERROR(L4,7)=7,"",RIGHT(L4,LEN(L4)-2)&amp;".")</f>
        <v>/A.</v>
      </c>
      <c r="L4" s="36" t="str">
        <f aca="false">IFERROR(__xludf.dummyfunction("CONCATENATE(ArrayFormula(""; ""&amp;QUERY(Hallazgos!A:F,""SELECT B WHERE E CONTAINS '""&amp;A4&amp;""' LABEL B ''"")))"),"#N/A")</f>
        <v>#N/A</v>
      </c>
    </row>
    <row r="5" customFormat="false" ht="15.75" hidden="false" customHeight="true" outlineLevel="0" collapsed="false">
      <c r="A5" s="37" t="s">
        <v>20</v>
      </c>
      <c r="B5" s="37" t="s">
        <v>770</v>
      </c>
      <c r="C5" s="38" t="s">
        <v>13</v>
      </c>
      <c r="D5" s="39" t="s">
        <v>14</v>
      </c>
      <c r="E5" s="39" t="s">
        <v>15</v>
      </c>
      <c r="F5" s="39" t="s">
        <v>16</v>
      </c>
      <c r="G5" s="40" t="s">
        <v>17</v>
      </c>
      <c r="H5" s="40" t="s">
        <v>17</v>
      </c>
      <c r="I5" s="40" t="s">
        <v>17</v>
      </c>
      <c r="J5" s="40" t="str">
        <f aca="false">IF(G5="Sí", IF(H5="Sí", "DP", "SP"), IF(H5="Sí", "SD", "-"))</f>
        <v>-</v>
      </c>
      <c r="K5" s="36" t="str">
        <f aca="false">IF(IFERROR(L5,7)=7,"",RIGHT(L5,LEN(L5)-2)&amp;".")</f>
        <v>/A.</v>
      </c>
      <c r="L5" s="36" t="str">
        <f aca="false">IFERROR(__xludf.dummyfunction("CONCATENATE(ArrayFormula(""; ""&amp;QUERY(Hallazgos!A:F,""SELECT B WHERE E CONTAINS '""&amp;A5&amp;""' LABEL B ''"")))"),"#N/A")</f>
        <v>#N/A</v>
      </c>
    </row>
    <row r="6" customFormat="false" ht="15.75" hidden="false" customHeight="true" outlineLevel="0" collapsed="false">
      <c r="A6" s="37" t="s">
        <v>22</v>
      </c>
      <c r="B6" s="37" t="s">
        <v>25</v>
      </c>
      <c r="C6" s="38" t="s">
        <v>13</v>
      </c>
      <c r="D6" s="39" t="s">
        <v>14</v>
      </c>
      <c r="E6" s="39" t="s">
        <v>15</v>
      </c>
      <c r="F6" s="39" t="s">
        <v>16</v>
      </c>
      <c r="G6" s="40" t="s">
        <v>17</v>
      </c>
      <c r="H6" s="40" t="s">
        <v>17</v>
      </c>
      <c r="I6" s="40" t="s">
        <v>17</v>
      </c>
      <c r="J6" s="40" t="str">
        <f aca="false">IF(G6="Sí", IF(H6="Sí", "DP", "SP"), IF(H6="Sí", "SD", "-"))</f>
        <v>-</v>
      </c>
      <c r="K6" s="36" t="str">
        <f aca="false">IF(IFERROR(L6,7)=7,"",RIGHT(L6,LEN(L6)-2)&amp;".")</f>
        <v>/A.</v>
      </c>
      <c r="L6" s="36" t="str">
        <f aca="false">IFERROR(__xludf.dummyfunction("CONCATENATE(ArrayFormula(""; ""&amp;QUERY(Hallazgos!A:F,""SELECT B WHERE E CONTAINS '""&amp;A6&amp;""' LABEL B ''"")))"),"#N/A")</f>
        <v>#N/A</v>
      </c>
    </row>
    <row r="7" customFormat="false" ht="15.75" hidden="false" customHeight="true" outlineLevel="0" collapsed="false">
      <c r="A7" s="41" t="s">
        <v>24</v>
      </c>
      <c r="B7" s="41" t="s">
        <v>27</v>
      </c>
      <c r="C7" s="42" t="s">
        <v>13</v>
      </c>
      <c r="D7" s="39" t="s">
        <v>14</v>
      </c>
      <c r="E7" s="39" t="s">
        <v>15</v>
      </c>
      <c r="F7" s="39" t="s">
        <v>16</v>
      </c>
      <c r="G7" s="40" t="s">
        <v>17</v>
      </c>
      <c r="H7" s="40" t="s">
        <v>17</v>
      </c>
      <c r="I7" s="40" t="s">
        <v>17</v>
      </c>
      <c r="J7" s="40" t="str">
        <f aca="false">IF(G7="Sí", IF(H7="Sí", "DP", "SP"), IF(H7="Sí", "SD", "-"))</f>
        <v>-</v>
      </c>
      <c r="K7" s="36" t="str">
        <f aca="false">IF(IFERROR(L7,7)=7,"",RIGHT(L7,LEN(L7)-2)&amp;".")</f>
        <v>/A.</v>
      </c>
      <c r="L7" s="36" t="str">
        <f aca="false">IFERROR(__xludf.dummyfunction("CONCATENATE(ArrayFormula(""; ""&amp;QUERY(Hallazgos!A:F,""SELECT B WHERE E CONTAINS '""&amp;A7&amp;""' LABEL B ''"")))"),"#N/A")</f>
        <v>#N/A</v>
      </c>
    </row>
    <row r="8" customFormat="false" ht="15.75" hidden="false" customHeight="true" outlineLevel="0" collapsed="false">
      <c r="A8" s="37" t="s">
        <v>26</v>
      </c>
      <c r="B8" s="37" t="s">
        <v>771</v>
      </c>
      <c r="C8" s="38" t="s">
        <v>13</v>
      </c>
      <c r="D8" s="39" t="s">
        <v>14</v>
      </c>
      <c r="E8" s="39" t="s">
        <v>15</v>
      </c>
      <c r="F8" s="39" t="s">
        <v>16</v>
      </c>
      <c r="G8" s="40" t="s">
        <v>17</v>
      </c>
      <c r="H8" s="40" t="s">
        <v>17</v>
      </c>
      <c r="I8" s="40" t="s">
        <v>17</v>
      </c>
      <c r="J8" s="40" t="str">
        <f aca="false">IF(G8="Sí", IF(H8="Sí", "DP", "SP"), IF(H8="Sí", "SD", "-"))</f>
        <v>-</v>
      </c>
      <c r="K8" s="36" t="str">
        <f aca="false">IF(IFERROR(L8,7)=7,"",RIGHT(L8,LEN(L8)-2)&amp;".")</f>
        <v>/A.</v>
      </c>
      <c r="L8" s="36" t="str">
        <f aca="false">IFERROR(__xludf.dummyfunction("CONCATENATE(ArrayFormula(""; ""&amp;QUERY(Hallazgos!A:F,""SELECT B WHERE E CONTAINS '""&amp;A8&amp;""' LABEL B ''"")))"),"#N/A")</f>
        <v>#N/A</v>
      </c>
    </row>
    <row r="9" customFormat="false" ht="15.75" hidden="false" customHeight="true" outlineLevel="0" collapsed="false">
      <c r="A9" s="37" t="s">
        <v>28</v>
      </c>
      <c r="B9" s="37" t="s">
        <v>33</v>
      </c>
      <c r="C9" s="38" t="s">
        <v>13</v>
      </c>
      <c r="D9" s="39" t="s">
        <v>14</v>
      </c>
      <c r="E9" s="39" t="s">
        <v>15</v>
      </c>
      <c r="F9" s="39" t="s">
        <v>16</v>
      </c>
      <c r="G9" s="40" t="s">
        <v>17</v>
      </c>
      <c r="H9" s="40" t="s">
        <v>17</v>
      </c>
      <c r="I9" s="40" t="s">
        <v>17</v>
      </c>
      <c r="J9" s="40" t="str">
        <f aca="false">IF(G9="Sí", IF(H9="Sí", "DP", "SP"), IF(H9="Sí", "SD", "-"))</f>
        <v>-</v>
      </c>
      <c r="K9" s="36" t="str">
        <f aca="false">IF(IFERROR(L9,7)=7,"",RIGHT(L9,LEN(L9)-2)&amp;".")</f>
        <v>/A.</v>
      </c>
      <c r="L9" s="36" t="str">
        <f aca="false">IFERROR(__xludf.dummyfunction("CONCATENATE(ArrayFormula(""; ""&amp;QUERY(Hallazgos!A:F,""SELECT B WHERE E CONTAINS '""&amp;A9&amp;""' LABEL B ''"")))"),"#N/A")</f>
        <v>#N/A</v>
      </c>
    </row>
    <row r="10" customFormat="false" ht="15.75" hidden="false" customHeight="true" outlineLevel="0" collapsed="false">
      <c r="A10" s="37" t="s">
        <v>30</v>
      </c>
      <c r="B10" s="37" t="s">
        <v>35</v>
      </c>
      <c r="C10" s="38" t="s">
        <v>13</v>
      </c>
      <c r="D10" s="39" t="s">
        <v>14</v>
      </c>
      <c r="E10" s="39" t="s">
        <v>15</v>
      </c>
      <c r="F10" s="39" t="s">
        <v>16</v>
      </c>
      <c r="G10" s="40" t="s">
        <v>17</v>
      </c>
      <c r="H10" s="40" t="s">
        <v>17</v>
      </c>
      <c r="I10" s="40" t="s">
        <v>17</v>
      </c>
      <c r="J10" s="40" t="str">
        <f aca="false">IF(G10="Sí", IF(H10="Sí", "DP", "SP"), IF(H10="Sí", "SD", "-"))</f>
        <v>-</v>
      </c>
      <c r="K10" s="36" t="str">
        <f aca="false">IF(IFERROR(L10,7)=7,"",RIGHT(L10,LEN(L10)-2)&amp;".")</f>
        <v>/A.</v>
      </c>
      <c r="L10" s="36" t="str">
        <f aca="false">IFERROR(__xludf.dummyfunction("CONCATENATE(ArrayFormula(""; ""&amp;QUERY(Hallazgos!A:F,""SELECT B WHERE E CONTAINS '""&amp;A10&amp;""' LABEL B ''"")))"),"#N/A")</f>
        <v>#N/A</v>
      </c>
    </row>
    <row r="11" customFormat="false" ht="15.75" hidden="false" customHeight="true" outlineLevel="0" collapsed="false">
      <c r="A11" s="37" t="s">
        <v>32</v>
      </c>
      <c r="B11" s="37" t="s">
        <v>37</v>
      </c>
      <c r="C11" s="38" t="s">
        <v>38</v>
      </c>
      <c r="D11" s="39" t="s">
        <v>14</v>
      </c>
      <c r="E11" s="39" t="s">
        <v>15</v>
      </c>
      <c r="F11" s="39" t="s">
        <v>16</v>
      </c>
      <c r="G11" s="40" t="s">
        <v>17</v>
      </c>
      <c r="H11" s="40" t="s">
        <v>17</v>
      </c>
      <c r="I11" s="40" t="s">
        <v>17</v>
      </c>
      <c r="J11" s="40" t="str">
        <f aca="false">IF(G11="Sí", IF(H11="Sí", "DP", "SP"), IF(H11="Sí", "SD", "-"))</f>
        <v>-</v>
      </c>
      <c r="K11" s="36" t="str">
        <f aca="false">IF(IFERROR(L11,7)=7,"",RIGHT(L11,LEN(L11)-2)&amp;".")</f>
        <v>/A.</v>
      </c>
      <c r="L11" s="36" t="str">
        <f aca="false">IFERROR(__xludf.dummyfunction("CONCATENATE(ArrayFormula(""; ""&amp;QUERY(Hallazgos!A:F,""SELECT B WHERE E CONTAINS '""&amp;A11&amp;""' LABEL B ''"")))"),"#N/A")</f>
        <v>#N/A</v>
      </c>
    </row>
    <row r="12" customFormat="false" ht="15.75" hidden="false" customHeight="true" outlineLevel="0" collapsed="false">
      <c r="A12" s="41" t="s">
        <v>34</v>
      </c>
      <c r="B12" s="41" t="s">
        <v>772</v>
      </c>
      <c r="C12" s="42" t="s">
        <v>38</v>
      </c>
      <c r="D12" s="39" t="s">
        <v>773</v>
      </c>
      <c r="E12" s="39" t="s">
        <v>15</v>
      </c>
      <c r="F12" s="39" t="s">
        <v>16</v>
      </c>
      <c r="G12" s="40" t="s">
        <v>17</v>
      </c>
      <c r="H12" s="40" t="s">
        <v>17</v>
      </c>
      <c r="I12" s="40" t="s">
        <v>17</v>
      </c>
      <c r="J12" s="40" t="str">
        <f aca="false">IF(G12="Sí", IF(H12="Sí", "DP", "SP"), IF(H12="Sí", "SD", "-"))</f>
        <v>-</v>
      </c>
      <c r="K12" s="36" t="str">
        <f aca="false">IF(IFERROR(L12,7)=7,"",RIGHT(L12,LEN(L12)-2)&amp;".")</f>
        <v>/A.</v>
      </c>
      <c r="L12" s="36" t="str">
        <f aca="false">IFERROR(__xludf.dummyfunction("CONCATENATE(ArrayFormula(""; ""&amp;QUERY(Hallazgos!A:F,""SELECT B WHERE E CONTAINS '""&amp;A12&amp;""' LABEL B ''"")))"),"#N/A")</f>
        <v>#N/A</v>
      </c>
    </row>
    <row r="13" customFormat="false" ht="15.75" hidden="false" customHeight="true" outlineLevel="0" collapsed="false">
      <c r="A13" s="37" t="s">
        <v>36</v>
      </c>
      <c r="B13" s="37" t="s">
        <v>40</v>
      </c>
      <c r="C13" s="38" t="s">
        <v>41</v>
      </c>
      <c r="D13" s="39" t="s">
        <v>14</v>
      </c>
      <c r="E13" s="39" t="s">
        <v>15</v>
      </c>
      <c r="F13" s="39" t="s">
        <v>16</v>
      </c>
      <c r="G13" s="40" t="s">
        <v>17</v>
      </c>
      <c r="H13" s="40" t="s">
        <v>17</v>
      </c>
      <c r="I13" s="40" t="s">
        <v>17</v>
      </c>
      <c r="J13" s="40" t="str">
        <f aca="false">IF(G13="Sí", IF(H13="Sí", "DP", "SP"), IF(H13="Sí", "SD", "-"))</f>
        <v>-</v>
      </c>
      <c r="K13" s="36" t="str">
        <f aca="false">IF(IFERROR(L13,7)=7,"",RIGHT(L13,LEN(L13)-2)&amp;".")</f>
        <v>/A.</v>
      </c>
      <c r="L13" s="36" t="str">
        <f aca="false">IFERROR(__xludf.dummyfunction("CONCATENATE(ArrayFormula(""; ""&amp;QUERY(Hallazgos!A:F,""SELECT B WHERE E CONTAINS '""&amp;A13&amp;""' LABEL B ''"")))"),"#N/A")</f>
        <v>#N/A</v>
      </c>
    </row>
    <row r="14" customFormat="false" ht="15.75" hidden="false" customHeight="true" outlineLevel="0" collapsed="false">
      <c r="A14" s="37" t="s">
        <v>39</v>
      </c>
      <c r="B14" s="37" t="s">
        <v>774</v>
      </c>
      <c r="C14" s="38" t="s">
        <v>41</v>
      </c>
      <c r="D14" s="39" t="s">
        <v>103</v>
      </c>
      <c r="E14" s="39" t="s">
        <v>81</v>
      </c>
      <c r="F14" s="39" t="s">
        <v>104</v>
      </c>
      <c r="G14" s="40" t="s">
        <v>17</v>
      </c>
      <c r="H14" s="40" t="s">
        <v>17</v>
      </c>
      <c r="I14" s="40" t="s">
        <v>17</v>
      </c>
      <c r="J14" s="40" t="str">
        <f aca="false">IF(G14="Sí", IF(H14="Sí", "DP", "SP"), IF(H14="Sí", "SD", "-"))</f>
        <v>-</v>
      </c>
      <c r="K14" s="36" t="str">
        <f aca="false">IF(IFERROR(L14,7)=7,"",RIGHT(L14,LEN(L14)-2)&amp;".")</f>
        <v>/A.</v>
      </c>
      <c r="L14" s="36" t="str">
        <f aca="false">IFERROR(__xludf.dummyfunction("CONCATENATE(ArrayFormula(""; ""&amp;QUERY(Hallazgos!A:F,""SELECT B WHERE E CONTAINS '""&amp;A14&amp;""' LABEL B ''"")))"),"#N/A")</f>
        <v>#N/A</v>
      </c>
    </row>
    <row r="15" customFormat="false" ht="15.75" hidden="false" customHeight="true" outlineLevel="0" collapsed="false">
      <c r="A15" s="37" t="s">
        <v>42</v>
      </c>
      <c r="B15" s="37" t="s">
        <v>775</v>
      </c>
      <c r="C15" s="38" t="s">
        <v>41</v>
      </c>
      <c r="D15" s="39" t="s">
        <v>103</v>
      </c>
      <c r="E15" s="39" t="s">
        <v>81</v>
      </c>
      <c r="F15" s="39" t="s">
        <v>73</v>
      </c>
      <c r="G15" s="40" t="s">
        <v>17</v>
      </c>
      <c r="H15" s="40" t="s">
        <v>17</v>
      </c>
      <c r="I15" s="40" t="s">
        <v>17</v>
      </c>
      <c r="J15" s="40" t="str">
        <f aca="false">IF(G15="Sí", IF(H15="Sí", "DP", "SP"), IF(H15="Sí", "SD", "-"))</f>
        <v>-</v>
      </c>
      <c r="K15" s="36" t="str">
        <f aca="false">IF(IFERROR(L15,7)=7,"",RIGHT(L15,LEN(L15)-2)&amp;".")</f>
        <v>/A.</v>
      </c>
      <c r="L15" s="36" t="str">
        <f aca="false">IFERROR(__xludf.dummyfunction("CONCATENATE(ArrayFormula(""; ""&amp;QUERY(Hallazgos!A:F,""SELECT B WHERE E CONTAINS '""&amp;A15&amp;""' LABEL B ''"")))"),"#N/A")</f>
        <v>#N/A</v>
      </c>
    </row>
    <row r="16" customFormat="false" ht="15.75" hidden="false" customHeight="true" outlineLevel="0" collapsed="false">
      <c r="A16" s="37" t="s">
        <v>45</v>
      </c>
      <c r="B16" s="37" t="s">
        <v>108</v>
      </c>
      <c r="C16" s="42" t="s">
        <v>41</v>
      </c>
      <c r="D16" s="39" t="s">
        <v>103</v>
      </c>
      <c r="E16" s="39" t="s">
        <v>76</v>
      </c>
      <c r="F16" s="39" t="s">
        <v>55</v>
      </c>
      <c r="G16" s="40" t="s">
        <v>17</v>
      </c>
      <c r="H16" s="40" t="s">
        <v>17</v>
      </c>
      <c r="I16" s="40" t="s">
        <v>17</v>
      </c>
      <c r="J16" s="40" t="str">
        <f aca="false">IF(G16="Sí", IF(H16="Sí", "DP", "SP"), IF(H16="Sí", "SD", "-"))</f>
        <v>-</v>
      </c>
      <c r="K16" s="36" t="str">
        <f aca="false">IF(IFERROR(L16,7)=7,"",RIGHT(L16,LEN(L16)-2)&amp;".")</f>
        <v>/A.</v>
      </c>
      <c r="L16" s="36" t="str">
        <f aca="false">IFERROR(__xludf.dummyfunction("CONCATENATE(ArrayFormula(""; ""&amp;QUERY(Hallazgos!A:F,""SELECT B WHERE E CONTAINS '""&amp;A16&amp;""' LABEL B ''"")))"),"#N/A")</f>
        <v>#N/A</v>
      </c>
    </row>
    <row r="17" customFormat="false" ht="15.75" hidden="false" customHeight="true" outlineLevel="0" collapsed="false">
      <c r="A17" s="37" t="s">
        <v>47</v>
      </c>
      <c r="B17" s="37" t="s">
        <v>776</v>
      </c>
      <c r="C17" s="42" t="s">
        <v>41</v>
      </c>
      <c r="D17" s="39" t="s">
        <v>506</v>
      </c>
      <c r="E17" s="39" t="s">
        <v>81</v>
      </c>
      <c r="F17" s="39" t="s">
        <v>55</v>
      </c>
      <c r="G17" s="40" t="s">
        <v>17</v>
      </c>
      <c r="H17" s="40" t="s">
        <v>17</v>
      </c>
      <c r="I17" s="40" t="s">
        <v>17</v>
      </c>
      <c r="J17" s="40" t="str">
        <f aca="false">IF(G17="Sí", IF(H17="Sí", "DP", "SP"), IF(H17="Sí", "SD", "-"))</f>
        <v>-</v>
      </c>
      <c r="K17" s="36" t="str">
        <f aca="false">IF(IFERROR(L17,7)=7,"",RIGHT(L17,LEN(L17)-2)&amp;".")</f>
        <v>/A.</v>
      </c>
      <c r="L17" s="36" t="str">
        <f aca="false">IFERROR(__xludf.dummyfunction("CONCATENATE(ArrayFormula(""; ""&amp;QUERY(Hallazgos!A:F,""SELECT B WHERE E CONTAINS '""&amp;A17&amp;""' LABEL B ''"")))"),"#N/A")</f>
        <v>#N/A</v>
      </c>
    </row>
    <row r="18" customFormat="false" ht="15.75" hidden="false" customHeight="true" outlineLevel="0" collapsed="false">
      <c r="A18" s="41" t="s">
        <v>50</v>
      </c>
      <c r="B18" s="41" t="s">
        <v>113</v>
      </c>
      <c r="C18" s="42" t="s">
        <v>41</v>
      </c>
      <c r="D18" s="39" t="s">
        <v>103</v>
      </c>
      <c r="E18" s="39" t="s">
        <v>76</v>
      </c>
      <c r="F18" s="39" t="s">
        <v>55</v>
      </c>
      <c r="G18" s="40" t="s">
        <v>17</v>
      </c>
      <c r="H18" s="40" t="s">
        <v>17</v>
      </c>
      <c r="I18" s="40" t="s">
        <v>17</v>
      </c>
      <c r="J18" s="40" t="str">
        <f aca="false">IF(G18="Sí", IF(H18="Sí", "DP", "SP"), IF(H18="Sí", "SD", "-"))</f>
        <v>-</v>
      </c>
      <c r="K18" s="36" t="str">
        <f aca="false">IF(IFERROR(L18,7)=7,"",RIGHT(L18,LEN(L18)-2)&amp;".")</f>
        <v>/A.</v>
      </c>
      <c r="L18" s="36" t="str">
        <f aca="false">IFERROR(__xludf.dummyfunction("CONCATENATE(ArrayFormula(""; ""&amp;QUERY(Hallazgos!A:F,""SELECT B WHERE E CONTAINS '""&amp;A18&amp;""' LABEL B ''"")))"),"#N/A")</f>
        <v>#N/A</v>
      </c>
    </row>
    <row r="19" customFormat="false" ht="15.75" hidden="false" customHeight="true" outlineLevel="0" collapsed="false">
      <c r="A19" s="37" t="s">
        <v>52</v>
      </c>
      <c r="B19" s="37" t="s">
        <v>115</v>
      </c>
      <c r="C19" s="38" t="s">
        <v>41</v>
      </c>
      <c r="D19" s="39" t="s">
        <v>103</v>
      </c>
      <c r="E19" s="39" t="s">
        <v>116</v>
      </c>
      <c r="F19" s="39" t="s">
        <v>55</v>
      </c>
      <c r="G19" s="40" t="s">
        <v>17</v>
      </c>
      <c r="H19" s="40" t="s">
        <v>17</v>
      </c>
      <c r="I19" s="40" t="s">
        <v>17</v>
      </c>
      <c r="J19" s="40" t="str">
        <f aca="false">IF(G19="Sí", IF(H19="Sí", "DP", "SP"), IF(H19="Sí", "SD", "-"))</f>
        <v>-</v>
      </c>
      <c r="K19" s="36" t="str">
        <f aca="false">IF(IFERROR(L19,7)=7,"",RIGHT(L19,LEN(L19)-2)&amp;".")</f>
        <v>/A.</v>
      </c>
      <c r="L19" s="36" t="str">
        <f aca="false">IFERROR(__xludf.dummyfunction("CONCATENATE(ArrayFormula(""; ""&amp;QUERY(Hallazgos!A:F,""SELECT B WHERE E CONTAINS '""&amp;A19&amp;""' LABEL B ''"")))"),"#N/A")</f>
        <v>#N/A</v>
      </c>
    </row>
    <row r="20" customFormat="false" ht="15.75" hidden="false" customHeight="true" outlineLevel="0" collapsed="false">
      <c r="A20" s="37" t="s">
        <v>56</v>
      </c>
      <c r="B20" s="37" t="s">
        <v>777</v>
      </c>
      <c r="C20" s="38" t="s">
        <v>41</v>
      </c>
      <c r="D20" s="39" t="s">
        <v>103</v>
      </c>
      <c r="E20" s="39" t="s">
        <v>76</v>
      </c>
      <c r="F20" s="39" t="s">
        <v>55</v>
      </c>
      <c r="G20" s="40" t="s">
        <v>17</v>
      </c>
      <c r="H20" s="40" t="s">
        <v>17</v>
      </c>
      <c r="I20" s="40" t="s">
        <v>17</v>
      </c>
      <c r="J20" s="40" t="str">
        <f aca="false">IF(G20="Sí", IF(H20="Sí", "DP", "SP"), IF(H20="Sí", "SD", "-"))</f>
        <v>-</v>
      </c>
      <c r="K20" s="36" t="str">
        <f aca="false">IF(IFERROR(L20,7)=7,"",RIGHT(L20,LEN(L20)-2)&amp;".")</f>
        <v>/A.</v>
      </c>
      <c r="L20" s="36" t="str">
        <f aca="false">IFERROR(__xludf.dummyfunction("CONCATENATE(ArrayFormula(""; ""&amp;QUERY(Hallazgos!A:F,""SELECT B WHERE E CONTAINS '""&amp;A20&amp;""' LABEL B ''"")))"),"#N/A")</f>
        <v>#N/A</v>
      </c>
    </row>
    <row r="21" customFormat="false" ht="15.75" hidden="false" customHeight="true" outlineLevel="0" collapsed="false">
      <c r="A21" s="37" t="s">
        <v>59</v>
      </c>
      <c r="B21" s="37" t="s">
        <v>351</v>
      </c>
      <c r="C21" s="38" t="s">
        <v>41</v>
      </c>
      <c r="D21" s="39" t="s">
        <v>352</v>
      </c>
      <c r="E21" s="39" t="s">
        <v>181</v>
      </c>
      <c r="F21" s="39" t="s">
        <v>73</v>
      </c>
      <c r="G21" s="40" t="s">
        <v>17</v>
      </c>
      <c r="H21" s="40" t="s">
        <v>17</v>
      </c>
      <c r="I21" s="40" t="s">
        <v>17</v>
      </c>
      <c r="J21" s="40" t="str">
        <f aca="false">IF(G21="Sí", IF(H21="Sí", "DP", "SP"), IF(H21="Sí", "SD", "-"))</f>
        <v>-</v>
      </c>
      <c r="K21" s="36" t="str">
        <f aca="false">IF(IFERROR(L21,7)=7,"",RIGHT(L21,LEN(L21)-2)&amp;".")</f>
        <v>/A.</v>
      </c>
      <c r="L21" s="36" t="str">
        <f aca="false">IFERROR(__xludf.dummyfunction("CONCATENATE(ArrayFormula(""; ""&amp;QUERY(Hallazgos!A:F,""SELECT B WHERE E CONTAINS '""&amp;A21&amp;""' LABEL B ''"")))"),"#N/A")</f>
        <v>#N/A</v>
      </c>
    </row>
    <row r="22" customFormat="false" ht="15.75" hidden="false" customHeight="true" outlineLevel="0" collapsed="false">
      <c r="A22" s="37" t="s">
        <v>65</v>
      </c>
      <c r="B22" s="37" t="s">
        <v>778</v>
      </c>
      <c r="C22" s="38" t="s">
        <v>41</v>
      </c>
      <c r="D22" s="39" t="s">
        <v>506</v>
      </c>
      <c r="E22" s="39" t="s">
        <v>81</v>
      </c>
      <c r="F22" s="39" t="s">
        <v>55</v>
      </c>
      <c r="G22" s="40" t="s">
        <v>17</v>
      </c>
      <c r="H22" s="40" t="s">
        <v>17</v>
      </c>
      <c r="I22" s="40" t="s">
        <v>17</v>
      </c>
      <c r="J22" s="40" t="str">
        <f aca="false">IF(G22="Sí", IF(H22="Sí", "DP", "SP"), IF(H22="Sí", "SD", "-"))</f>
        <v>-</v>
      </c>
      <c r="K22" s="36" t="str">
        <f aca="false">IF(IFERROR(L22,7)=7,"",RIGHT(L22,LEN(L22)-2)&amp;".")</f>
        <v>/A.</v>
      </c>
      <c r="L22" s="36" t="str">
        <f aca="false">IFERROR(__xludf.dummyfunction("CONCATENATE(ArrayFormula(""; ""&amp;QUERY(Hallazgos!A:F,""SELECT B WHERE E CONTAINS '""&amp;A22&amp;""' LABEL B ''"")))"),"#N/A")</f>
        <v>#N/A</v>
      </c>
    </row>
    <row r="23" customFormat="false" ht="15.75" hidden="false" customHeight="true" outlineLevel="0" collapsed="false">
      <c r="A23" s="37" t="s">
        <v>67</v>
      </c>
      <c r="B23" s="37" t="s">
        <v>505</v>
      </c>
      <c r="C23" s="38" t="s">
        <v>41</v>
      </c>
      <c r="D23" s="39" t="s">
        <v>506</v>
      </c>
      <c r="E23" s="39" t="s">
        <v>81</v>
      </c>
      <c r="F23" s="39" t="s">
        <v>55</v>
      </c>
      <c r="G23" s="40" t="s">
        <v>17</v>
      </c>
      <c r="H23" s="40" t="s">
        <v>17</v>
      </c>
      <c r="I23" s="40" t="s">
        <v>17</v>
      </c>
      <c r="J23" s="40" t="str">
        <f aca="false">IF(G23="Sí", IF(H23="Sí", "DP", "SP"), IF(H23="Sí", "SD", "-"))</f>
        <v>-</v>
      </c>
      <c r="K23" s="36" t="str">
        <f aca="false">IF(IFERROR(L23,7)=7,"",RIGHT(L23,LEN(L23)-2)&amp;".")</f>
        <v>/A.</v>
      </c>
      <c r="L23" s="36" t="str">
        <f aca="false">IFERROR(__xludf.dummyfunction("CONCATENATE(ArrayFormula(""; ""&amp;QUERY(Hallazgos!A:F,""SELECT B WHERE E CONTAINS '""&amp;A23&amp;""' LABEL B ''"")))"),"#N/A")</f>
        <v>#N/A</v>
      </c>
    </row>
    <row r="24" customFormat="false" ht="15.75" hidden="false" customHeight="true" outlineLevel="0" collapsed="false">
      <c r="A24" s="37" t="s">
        <v>70</v>
      </c>
      <c r="B24" s="37" t="s">
        <v>779</v>
      </c>
      <c r="C24" s="38" t="s">
        <v>41</v>
      </c>
      <c r="D24" s="39" t="s">
        <v>506</v>
      </c>
      <c r="E24" s="39" t="s">
        <v>111</v>
      </c>
      <c r="F24" s="39" t="s">
        <v>55</v>
      </c>
      <c r="G24" s="40" t="s">
        <v>17</v>
      </c>
      <c r="H24" s="40" t="s">
        <v>17</v>
      </c>
      <c r="I24" s="40" t="s">
        <v>17</v>
      </c>
      <c r="J24" s="40" t="str">
        <f aca="false">IF(G24="Sí", IF(H24="Sí", "DP", "SP"), IF(H24="Sí", "SD", "-"))</f>
        <v>-</v>
      </c>
      <c r="K24" s="36" t="str">
        <f aca="false">IF(IFERROR(L24,7)=7,"",RIGHT(L24,LEN(L24)-2)&amp;".")</f>
        <v>/A.</v>
      </c>
      <c r="L24" s="36" t="str">
        <f aca="false">IFERROR(__xludf.dummyfunction("CONCATENATE(ArrayFormula(""; ""&amp;QUERY(Hallazgos!A:F,""SELECT B WHERE E CONTAINS '""&amp;A24&amp;""' LABEL B ''"")))"),"#N/A")</f>
        <v>#N/A</v>
      </c>
    </row>
    <row r="25" customFormat="false" ht="15.75" hidden="false" customHeight="true" outlineLevel="0" collapsed="false">
      <c r="A25" s="37" t="s">
        <v>74</v>
      </c>
      <c r="B25" s="37" t="s">
        <v>780</v>
      </c>
      <c r="C25" s="38" t="s">
        <v>41</v>
      </c>
      <c r="D25" s="39" t="s">
        <v>506</v>
      </c>
      <c r="E25" s="39" t="s">
        <v>54</v>
      </c>
      <c r="F25" s="39" t="s">
        <v>55</v>
      </c>
      <c r="G25" s="40" t="s">
        <v>17</v>
      </c>
      <c r="H25" s="40" t="s">
        <v>17</v>
      </c>
      <c r="I25" s="40" t="s">
        <v>17</v>
      </c>
      <c r="J25" s="40" t="str">
        <f aca="false">IF(G25="Sí", IF(H25="Sí", "DP", "SP"), IF(H25="Sí", "SD", "-"))</f>
        <v>-</v>
      </c>
      <c r="K25" s="36" t="str">
        <f aca="false">IF(IFERROR(L25,7)=7,"",RIGHT(L25,LEN(L25)-2)&amp;".")</f>
        <v>/A.</v>
      </c>
      <c r="L25" s="36" t="str">
        <f aca="false">IFERROR(__xludf.dummyfunction("CONCATENATE(ArrayFormula(""; ""&amp;QUERY(Hallazgos!A:F,""SELECT B WHERE E CONTAINS '""&amp;A25&amp;""' LABEL B ''"")))"),"#N/A")</f>
        <v>#N/A</v>
      </c>
    </row>
    <row r="26" customFormat="false" ht="15.75" hidden="false" customHeight="true" outlineLevel="0" collapsed="false">
      <c r="A26" s="37" t="s">
        <v>77</v>
      </c>
      <c r="B26" s="37" t="s">
        <v>512</v>
      </c>
      <c r="C26" s="38" t="s">
        <v>41</v>
      </c>
      <c r="D26" s="39" t="s">
        <v>506</v>
      </c>
      <c r="E26" s="39" t="s">
        <v>72</v>
      </c>
      <c r="F26" s="39" t="s">
        <v>55</v>
      </c>
      <c r="G26" s="40" t="s">
        <v>17</v>
      </c>
      <c r="H26" s="40" t="s">
        <v>17</v>
      </c>
      <c r="I26" s="40" t="s">
        <v>17</v>
      </c>
      <c r="J26" s="40" t="str">
        <f aca="false">IF(G26="Sí", IF(H26="Sí", "DP", "SP"), IF(H26="Sí", "SD", "-"))</f>
        <v>-</v>
      </c>
      <c r="K26" s="36" t="str">
        <f aca="false">IF(IFERROR(L26,7)=7,"",RIGHT(L26,LEN(L26)-2)&amp;".")</f>
        <v>/A.</v>
      </c>
      <c r="L26" s="36" t="str">
        <f aca="false">IFERROR(__xludf.dummyfunction("CONCATENATE(ArrayFormula(""; ""&amp;QUERY(Hallazgos!A:F,""SELECT B WHERE E CONTAINS '""&amp;A26&amp;""' LABEL B ''"")))"),"#N/A")</f>
        <v>#N/A</v>
      </c>
    </row>
    <row r="27" customFormat="false" ht="15.75" hidden="false" customHeight="true" outlineLevel="0" collapsed="false">
      <c r="A27" s="37" t="s">
        <v>79</v>
      </c>
      <c r="B27" s="37" t="s">
        <v>781</v>
      </c>
      <c r="C27" s="38" t="s">
        <v>41</v>
      </c>
      <c r="D27" s="39" t="s">
        <v>506</v>
      </c>
      <c r="E27" s="39" t="s">
        <v>88</v>
      </c>
      <c r="F27" s="39" t="s">
        <v>55</v>
      </c>
      <c r="G27" s="40" t="s">
        <v>17</v>
      </c>
      <c r="H27" s="40" t="s">
        <v>17</v>
      </c>
      <c r="I27" s="40" t="s">
        <v>17</v>
      </c>
      <c r="J27" s="40" t="str">
        <f aca="false">IF(G27="Sí", IF(H27="Sí", "DP", "SP"), IF(H27="Sí", "SD", "-"))</f>
        <v>-</v>
      </c>
      <c r="K27" s="36" t="str">
        <f aca="false">IF(IFERROR(L27,7)=7,"",RIGHT(L27,LEN(L27)-2)&amp;".")</f>
        <v>/A.</v>
      </c>
      <c r="L27" s="36" t="str">
        <f aca="false">IFERROR(__xludf.dummyfunction("CONCATENATE(ArrayFormula(""; ""&amp;QUERY(Hallazgos!A:F,""SELECT B WHERE E CONTAINS '""&amp;A27&amp;""' LABEL B ''"")))"),"#N/A")</f>
        <v>#N/A</v>
      </c>
    </row>
    <row r="28" customFormat="false" ht="15.75" hidden="false" customHeight="true" outlineLevel="0" collapsed="false">
      <c r="A28" s="37" t="s">
        <v>82</v>
      </c>
      <c r="B28" s="37" t="s">
        <v>782</v>
      </c>
      <c r="C28" s="38" t="s">
        <v>41</v>
      </c>
      <c r="D28" s="39" t="s">
        <v>506</v>
      </c>
      <c r="E28" s="39" t="s">
        <v>88</v>
      </c>
      <c r="F28" s="39" t="s">
        <v>55</v>
      </c>
      <c r="G28" s="40" t="s">
        <v>17</v>
      </c>
      <c r="H28" s="40" t="s">
        <v>17</v>
      </c>
      <c r="I28" s="40" t="s">
        <v>17</v>
      </c>
      <c r="J28" s="40" t="str">
        <f aca="false">IF(G28="Sí", IF(H28="Sí", "DP", "SP"), IF(H28="Sí", "SD", "-"))</f>
        <v>-</v>
      </c>
      <c r="K28" s="36" t="str">
        <f aca="false">IF(IFERROR(L28,7)=7,"",RIGHT(L28,LEN(L28)-2)&amp;".")</f>
        <v>/A.</v>
      </c>
      <c r="L28" s="36" t="str">
        <f aca="false">IFERROR(__xludf.dummyfunction("CONCATENATE(ArrayFormula(""; ""&amp;QUERY(Hallazgos!A:F,""SELECT B WHERE E CONTAINS '""&amp;A28&amp;""' LABEL B ''"")))"),"#N/A")</f>
        <v>#N/A</v>
      </c>
    </row>
    <row r="29" customFormat="false" ht="15.75" hidden="false" customHeight="true" outlineLevel="0" collapsed="false">
      <c r="A29" s="37" t="s">
        <v>84</v>
      </c>
      <c r="B29" s="37" t="s">
        <v>518</v>
      </c>
      <c r="C29" s="38" t="s">
        <v>41</v>
      </c>
      <c r="D29" s="39" t="s">
        <v>506</v>
      </c>
      <c r="E29" s="39" t="s">
        <v>88</v>
      </c>
      <c r="F29" s="39" t="s">
        <v>55</v>
      </c>
      <c r="G29" s="40" t="s">
        <v>17</v>
      </c>
      <c r="H29" s="40" t="s">
        <v>17</v>
      </c>
      <c r="I29" s="40" t="s">
        <v>17</v>
      </c>
      <c r="J29" s="40" t="str">
        <f aca="false">IF(G29="Sí", IF(H29="Sí", "DP", "SP"), IF(H29="Sí", "SD", "-"))</f>
        <v>-</v>
      </c>
      <c r="K29" s="36" t="str">
        <f aca="false">IF(IFERROR(L29,7)=7,"",RIGHT(L29,LEN(L29)-2)&amp;".")</f>
        <v>/A.</v>
      </c>
      <c r="L29" s="36" t="str">
        <f aca="false">IFERROR(__xludf.dummyfunction("CONCATENATE(ArrayFormula(""; ""&amp;QUERY(Hallazgos!A:F,""SELECT B WHERE E CONTAINS '""&amp;A29&amp;""' LABEL B ''"")))"),"#N/A")</f>
        <v>#N/A</v>
      </c>
    </row>
    <row r="30" customFormat="false" ht="15.75" hidden="false" customHeight="true" outlineLevel="0" collapsed="false">
      <c r="A30" s="37" t="s">
        <v>86</v>
      </c>
      <c r="B30" s="37" t="s">
        <v>520</v>
      </c>
      <c r="C30" s="38" t="s">
        <v>41</v>
      </c>
      <c r="D30" s="39" t="s">
        <v>506</v>
      </c>
      <c r="E30" s="39" t="s">
        <v>88</v>
      </c>
      <c r="F30" s="39" t="s">
        <v>55</v>
      </c>
      <c r="G30" s="40" t="s">
        <v>17</v>
      </c>
      <c r="H30" s="40" t="s">
        <v>17</v>
      </c>
      <c r="I30" s="40" t="s">
        <v>17</v>
      </c>
      <c r="J30" s="40" t="str">
        <f aca="false">IF(G30="Sí", IF(H30="Sí", "DP", "SP"), IF(H30="Sí", "SD", "-"))</f>
        <v>-</v>
      </c>
      <c r="K30" s="36" t="str">
        <f aca="false">IF(IFERROR(L30,7)=7,"",RIGHT(L30,LEN(L30)-2)&amp;".")</f>
        <v>/A.</v>
      </c>
      <c r="L30" s="36" t="str">
        <f aca="false">IFERROR(__xludf.dummyfunction("CONCATENATE(ArrayFormula(""; ""&amp;QUERY(Hallazgos!A:F,""SELECT B WHERE E CONTAINS '""&amp;A30&amp;""' LABEL B ''"")))"),"#N/A")</f>
        <v>#N/A</v>
      </c>
    </row>
    <row r="31" customFormat="false" ht="15.75" hidden="false" customHeight="true" outlineLevel="0" collapsed="false">
      <c r="A31" s="37" t="s">
        <v>89</v>
      </c>
      <c r="B31" s="37" t="s">
        <v>216</v>
      </c>
      <c r="C31" s="38" t="s">
        <v>41</v>
      </c>
      <c r="D31" s="39" t="s">
        <v>217</v>
      </c>
      <c r="E31" s="39" t="s">
        <v>88</v>
      </c>
      <c r="F31" s="39" t="s">
        <v>55</v>
      </c>
      <c r="G31" s="40" t="s">
        <v>17</v>
      </c>
      <c r="H31" s="40" t="s">
        <v>17</v>
      </c>
      <c r="I31" s="40" t="s">
        <v>17</v>
      </c>
      <c r="J31" s="40" t="str">
        <f aca="false">IF(G31="Sí", IF(H31="Sí", "DP", "SP"), IF(H31="Sí", "SD", "-"))</f>
        <v>-</v>
      </c>
      <c r="K31" s="36" t="str">
        <f aca="false">IF(IFERROR(L31,7)=7,"",RIGHT(L31,LEN(L31)-2)&amp;".")</f>
        <v>/A.</v>
      </c>
      <c r="L31" s="36" t="str">
        <f aca="false">IFERROR(__xludf.dummyfunction("CONCATENATE(ArrayFormula(""; ""&amp;QUERY(Hallazgos!A:F,""SELECT B WHERE E CONTAINS '""&amp;A31&amp;""' LABEL B ''"")))"),"#N/A")</f>
        <v>#N/A</v>
      </c>
    </row>
    <row r="32" customFormat="false" ht="15.75" hidden="false" customHeight="true" outlineLevel="0" collapsed="false">
      <c r="A32" s="37" t="s">
        <v>91</v>
      </c>
      <c r="B32" s="37" t="s">
        <v>783</v>
      </c>
      <c r="C32" s="38" t="s">
        <v>41</v>
      </c>
      <c r="D32" s="39" t="s">
        <v>784</v>
      </c>
      <c r="E32" s="39" t="s">
        <v>111</v>
      </c>
      <c r="F32" s="39" t="s">
        <v>55</v>
      </c>
      <c r="G32" s="40" t="s">
        <v>17</v>
      </c>
      <c r="H32" s="40" t="s">
        <v>17</v>
      </c>
      <c r="I32" s="40" t="s">
        <v>17</v>
      </c>
      <c r="J32" s="40" t="str">
        <f aca="false">IF(G32="Sí", IF(H32="Sí", "DP", "SP"), IF(H32="Sí", "SD", "-"))</f>
        <v>-</v>
      </c>
      <c r="K32" s="36" t="str">
        <f aca="false">IF(IFERROR(L32,7)=7,"",RIGHT(L32,LEN(L32)-2)&amp;".")</f>
        <v>/A.</v>
      </c>
      <c r="L32" s="36" t="str">
        <f aca="false">IFERROR(__xludf.dummyfunction("CONCATENATE(ArrayFormula(""; ""&amp;QUERY(Hallazgos!A:F,""SELECT B WHERE E CONTAINS '""&amp;A32&amp;""' LABEL B ''"")))"),"#N/A")</f>
        <v>#N/A</v>
      </c>
    </row>
    <row r="33" customFormat="false" ht="15.75" hidden="false" customHeight="true" outlineLevel="0" collapsed="false">
      <c r="A33" s="41" t="s">
        <v>96</v>
      </c>
      <c r="B33" s="41" t="s">
        <v>785</v>
      </c>
      <c r="C33" s="42" t="s">
        <v>41</v>
      </c>
      <c r="D33" s="39" t="s">
        <v>506</v>
      </c>
      <c r="E33" s="39" t="s">
        <v>81</v>
      </c>
      <c r="F33" s="39" t="s">
        <v>55</v>
      </c>
      <c r="G33" s="40" t="s">
        <v>17</v>
      </c>
      <c r="H33" s="40" t="s">
        <v>17</v>
      </c>
      <c r="I33" s="40" t="s">
        <v>17</v>
      </c>
      <c r="J33" s="40" t="str">
        <f aca="false">IF(G33="Sí", IF(H33="Sí", "DP", "SP"), IF(H33="Sí", "SD", "-"))</f>
        <v>-</v>
      </c>
      <c r="K33" s="36" t="str">
        <f aca="false">IF(IFERROR(L33,7)=7,"",RIGHT(L33,LEN(L33)-2)&amp;".")</f>
        <v>/A.</v>
      </c>
      <c r="L33" s="36" t="str">
        <f aca="false">IFERROR(__xludf.dummyfunction("CONCATENATE(ArrayFormula(""; ""&amp;QUERY(Hallazgos!A:F,""SELECT B WHERE E CONTAINS '""&amp;A33&amp;""' LABEL B ''"")))"),"#N/A")</f>
        <v>#N/A</v>
      </c>
    </row>
    <row r="34" customFormat="false" ht="15.75" hidden="false" customHeight="true" outlineLevel="0" collapsed="false">
      <c r="A34" s="43" t="s">
        <v>99</v>
      </c>
      <c r="B34" s="43" t="s">
        <v>786</v>
      </c>
      <c r="C34" s="42" t="s">
        <v>41</v>
      </c>
      <c r="D34" s="39" t="s">
        <v>506</v>
      </c>
      <c r="E34" s="39" t="s">
        <v>88</v>
      </c>
      <c r="F34" s="39" t="s">
        <v>55</v>
      </c>
      <c r="G34" s="40" t="s">
        <v>17</v>
      </c>
      <c r="H34" s="40" t="s">
        <v>17</v>
      </c>
      <c r="I34" s="40" t="s">
        <v>17</v>
      </c>
      <c r="J34" s="40" t="str">
        <f aca="false">IF(G34="Sí", IF(H34="Sí", "DP", "SP"), IF(H34="Sí", "SD", "-"))</f>
        <v>-</v>
      </c>
      <c r="K34" s="36" t="str">
        <f aca="false">IF(IFERROR(L34,7)=7,"",RIGHT(L34,LEN(L34)-2)&amp;".")</f>
        <v>/A.</v>
      </c>
      <c r="L34" s="36" t="str">
        <f aca="false">IFERROR(__xludf.dummyfunction("CONCATENATE(ArrayFormula(""; ""&amp;QUERY(Hallazgos!A:F,""SELECT B WHERE E CONTAINS '""&amp;A34&amp;""' LABEL B ''"")))"),"#N/A")</f>
        <v>#N/A</v>
      </c>
    </row>
    <row r="35" customFormat="false" ht="15.75" hidden="false" customHeight="true" outlineLevel="0" collapsed="false">
      <c r="A35" s="41" t="s">
        <v>105</v>
      </c>
      <c r="B35" s="41" t="s">
        <v>528</v>
      </c>
      <c r="C35" s="42" t="s">
        <v>41</v>
      </c>
      <c r="D35" s="39" t="s">
        <v>506</v>
      </c>
      <c r="E35" s="39" t="s">
        <v>81</v>
      </c>
      <c r="F35" s="39" t="s">
        <v>55</v>
      </c>
      <c r="G35" s="40" t="s">
        <v>17</v>
      </c>
      <c r="H35" s="40" t="s">
        <v>17</v>
      </c>
      <c r="I35" s="40" t="s">
        <v>17</v>
      </c>
      <c r="J35" s="40" t="str">
        <f aca="false">IF(G35="Sí", IF(H35="Sí", "DP", "SP"), IF(H35="Sí", "SD", "-"))</f>
        <v>-</v>
      </c>
      <c r="K35" s="36" t="str">
        <f aca="false">IF(IFERROR(L35,7)=7,"",RIGHT(L35,LEN(L35)-2)&amp;".")</f>
        <v>/A.</v>
      </c>
      <c r="L35" s="36" t="str">
        <f aca="false">IFERROR(__xludf.dummyfunction("CONCATENATE(ArrayFormula(""; ""&amp;QUERY(Hallazgos!A:F,""SELECT B WHERE E CONTAINS '""&amp;A35&amp;""' LABEL B ''"")))"),"#N/A")</f>
        <v>#N/A</v>
      </c>
    </row>
    <row r="36" customFormat="false" ht="15.75" hidden="false" customHeight="true" outlineLevel="0" collapsed="false">
      <c r="A36" s="41" t="s">
        <v>107</v>
      </c>
      <c r="B36" s="41" t="s">
        <v>787</v>
      </c>
      <c r="C36" s="42" t="s">
        <v>41</v>
      </c>
      <c r="D36" s="39" t="s">
        <v>506</v>
      </c>
      <c r="E36" s="39" t="s">
        <v>54</v>
      </c>
      <c r="F36" s="39" t="s">
        <v>55</v>
      </c>
      <c r="G36" s="40" t="s">
        <v>17</v>
      </c>
      <c r="H36" s="40" t="s">
        <v>17</v>
      </c>
      <c r="I36" s="40" t="s">
        <v>17</v>
      </c>
      <c r="J36" s="40" t="str">
        <f aca="false">IF(G36="Sí", IF(H36="Sí", "DP", "SP"), IF(H36="Sí", "SD", "-"))</f>
        <v>-</v>
      </c>
      <c r="K36" s="36" t="str">
        <f aca="false">IF(IFERROR(L36,7)=7,"",RIGHT(L36,LEN(L36)-2)&amp;".")</f>
        <v>/A.</v>
      </c>
      <c r="L36" s="36" t="str">
        <f aca="false">IFERROR(__xludf.dummyfunction("CONCATENATE(ArrayFormula(""; ""&amp;QUERY(Hallazgos!A:F,""SELECT B WHERE E CONTAINS '""&amp;A36&amp;""' LABEL B ''"")))"),"#N/A")</f>
        <v>#N/A</v>
      </c>
    </row>
    <row r="37" customFormat="false" ht="15.75" hidden="false" customHeight="true" outlineLevel="0" collapsed="false">
      <c r="A37" s="41" t="s">
        <v>109</v>
      </c>
      <c r="B37" s="41" t="s">
        <v>788</v>
      </c>
      <c r="C37" s="42" t="s">
        <v>41</v>
      </c>
      <c r="D37" s="39" t="s">
        <v>95</v>
      </c>
      <c r="E37" s="39" t="s">
        <v>98</v>
      </c>
      <c r="F37" s="39" t="s">
        <v>55</v>
      </c>
      <c r="G37" s="40" t="s">
        <v>17</v>
      </c>
      <c r="H37" s="40" t="s">
        <v>17</v>
      </c>
      <c r="I37" s="40" t="s">
        <v>17</v>
      </c>
      <c r="J37" s="40" t="str">
        <f aca="false">IF(G37="Sí", IF(H37="Sí", "DP", "SP"), IF(H37="Sí", "SD", "-"))</f>
        <v>-</v>
      </c>
      <c r="K37" s="36" t="str">
        <f aca="false">IF(IFERROR(L37,7)=7,"",RIGHT(L37,LEN(L37)-2)&amp;".")</f>
        <v>/A.</v>
      </c>
      <c r="L37" s="36" t="str">
        <f aca="false">IFERROR(__xludf.dummyfunction("CONCATENATE(ArrayFormula(""; ""&amp;QUERY(Hallazgos!A:F,""SELECT B WHERE E CONTAINS '""&amp;A37&amp;""' LABEL B ''"")))"),"#N/A")</f>
        <v>#N/A</v>
      </c>
    </row>
    <row r="38" customFormat="false" ht="15.75" hidden="false" customHeight="true" outlineLevel="0" collapsed="false">
      <c r="A38" s="37" t="s">
        <v>112</v>
      </c>
      <c r="B38" s="37" t="s">
        <v>789</v>
      </c>
      <c r="C38" s="38" t="s">
        <v>41</v>
      </c>
      <c r="D38" s="39" t="s">
        <v>790</v>
      </c>
      <c r="E38" s="39" t="s">
        <v>98</v>
      </c>
      <c r="F38" s="39" t="s">
        <v>55</v>
      </c>
      <c r="G38" s="40" t="s">
        <v>17</v>
      </c>
      <c r="H38" s="40" t="s">
        <v>17</v>
      </c>
      <c r="I38" s="40" t="s">
        <v>17</v>
      </c>
      <c r="J38" s="40" t="str">
        <f aca="false">IF(G38="Sí", IF(H38="Sí", "DP", "SP"), IF(H38="Sí", "SD", "-"))</f>
        <v>-</v>
      </c>
      <c r="K38" s="36" t="str">
        <f aca="false">IF(IFERROR(L38,7)=7,"",RIGHT(L38,LEN(L38)-2)&amp;".")</f>
        <v>/A.</v>
      </c>
      <c r="L38" s="36" t="str">
        <f aca="false">IFERROR(__xludf.dummyfunction("CONCATENATE(ArrayFormula(""; ""&amp;QUERY(Hallazgos!A:F,""SELECT B WHERE E CONTAINS '""&amp;A38&amp;""' LABEL B ''"")))"),"#N/A")</f>
        <v>#N/A</v>
      </c>
    </row>
    <row r="39" customFormat="false" ht="15.75" hidden="false" customHeight="true" outlineLevel="0" collapsed="false">
      <c r="A39" s="37" t="s">
        <v>114</v>
      </c>
      <c r="B39" s="37" t="s">
        <v>298</v>
      </c>
      <c r="C39" s="38" t="s">
        <v>41</v>
      </c>
      <c r="D39" s="39" t="s">
        <v>784</v>
      </c>
      <c r="E39" s="39" t="s">
        <v>111</v>
      </c>
      <c r="F39" s="39" t="s">
        <v>55</v>
      </c>
      <c r="G39" s="40" t="s">
        <v>17</v>
      </c>
      <c r="H39" s="40" t="s">
        <v>17</v>
      </c>
      <c r="I39" s="40" t="s">
        <v>17</v>
      </c>
      <c r="J39" s="40" t="str">
        <f aca="false">IF(G39="Sí", IF(H39="Sí", "DP", "SP"), IF(H39="Sí", "SD", "-"))</f>
        <v>-</v>
      </c>
      <c r="K39" s="36" t="str">
        <f aca="false">IF(IFERROR(L39,7)=7,"",RIGHT(L39,LEN(L39)-2)&amp;".")</f>
        <v>/A.</v>
      </c>
      <c r="L39" s="36" t="str">
        <f aca="false">IFERROR(__xludf.dummyfunction("CONCATENATE(ArrayFormula(""; ""&amp;QUERY(Hallazgos!A:F,""SELECT B WHERE E CONTAINS '""&amp;A39&amp;""' LABEL B ''"")))"),"#N/A")</f>
        <v>#N/A</v>
      </c>
    </row>
    <row r="40" customFormat="false" ht="15.75" hidden="false" customHeight="true" outlineLevel="0" collapsed="false">
      <c r="A40" s="37" t="s">
        <v>117</v>
      </c>
      <c r="B40" s="37" t="s">
        <v>791</v>
      </c>
      <c r="C40" s="38" t="s">
        <v>13</v>
      </c>
      <c r="D40" s="39" t="s">
        <v>599</v>
      </c>
      <c r="E40" s="39" t="s">
        <v>116</v>
      </c>
      <c r="F40" s="39" t="s">
        <v>55</v>
      </c>
      <c r="G40" s="40" t="s">
        <v>17</v>
      </c>
      <c r="H40" s="40" t="s">
        <v>17</v>
      </c>
      <c r="I40" s="40" t="s">
        <v>17</v>
      </c>
      <c r="J40" s="40" t="str">
        <f aca="false">IF(G40="Sí", IF(H40="Sí", "DP", "SP"), IF(H40="Sí", "SD", "-"))</f>
        <v>-</v>
      </c>
      <c r="K40" s="36" t="str">
        <f aca="false">IF(IFERROR(L40,7)=7,"",RIGHT(L40,LEN(L40)-2)&amp;".")</f>
        <v>/A.</v>
      </c>
      <c r="L40" s="36" t="str">
        <f aca="false">IFERROR(__xludf.dummyfunction("CONCATENATE(ArrayFormula(""; ""&amp;QUERY(Hallazgos!A:F,""SELECT B WHERE E CONTAINS '""&amp;A40&amp;""' LABEL B ''"")))"),"#N/A")</f>
        <v>#N/A</v>
      </c>
    </row>
    <row r="41" customFormat="false" ht="15.75" hidden="false" customHeight="true" outlineLevel="0" collapsed="false">
      <c r="A41" s="37" t="s">
        <v>119</v>
      </c>
      <c r="B41" s="37" t="s">
        <v>100</v>
      </c>
      <c r="C41" s="42" t="s">
        <v>41</v>
      </c>
      <c r="D41" s="39" t="s">
        <v>95</v>
      </c>
      <c r="E41" s="39" t="s">
        <v>98</v>
      </c>
      <c r="F41" s="39" t="s">
        <v>55</v>
      </c>
      <c r="G41" s="40" t="s">
        <v>17</v>
      </c>
      <c r="H41" s="40" t="s">
        <v>17</v>
      </c>
      <c r="I41" s="40" t="s">
        <v>17</v>
      </c>
      <c r="J41" s="40" t="str">
        <f aca="false">IF(G41="Sí", IF(H41="Sí", "DP", "SP"), IF(H41="Sí", "SD", "-"))</f>
        <v>-</v>
      </c>
      <c r="K41" s="36" t="str">
        <f aca="false">IF(IFERROR(L41,7)=7,"",RIGHT(L41,LEN(L41)-2)&amp;".")</f>
        <v>/A.</v>
      </c>
      <c r="L41" s="36" t="str">
        <f aca="false">IFERROR(__xludf.dummyfunction("CONCATENATE(ArrayFormula(""; ""&amp;QUERY(Hallazgos!A:F,""SELECT B WHERE E CONTAINS '""&amp;A41&amp;""' LABEL B ''"")))"),"#N/A")</f>
        <v>#N/A</v>
      </c>
    </row>
    <row r="42" customFormat="false" ht="15.75" hidden="false" customHeight="true" outlineLevel="0" collapsed="false">
      <c r="A42" s="37" t="s">
        <v>121</v>
      </c>
      <c r="B42" s="37" t="s">
        <v>792</v>
      </c>
      <c r="C42" s="38" t="s">
        <v>41</v>
      </c>
      <c r="D42" s="39" t="s">
        <v>399</v>
      </c>
      <c r="E42" s="39" t="s">
        <v>98</v>
      </c>
      <c r="F42" s="39" t="s">
        <v>55</v>
      </c>
      <c r="G42" s="40" t="s">
        <v>17</v>
      </c>
      <c r="H42" s="40" t="s">
        <v>17</v>
      </c>
      <c r="I42" s="40" t="s">
        <v>17</v>
      </c>
      <c r="J42" s="40" t="str">
        <f aca="false">IF(G42="Sí", IF(H42="Sí", "DP", "SP"), IF(H42="Sí", "SD", "-"))</f>
        <v>-</v>
      </c>
      <c r="K42" s="36" t="str">
        <f aca="false">IF(IFERROR(L42,7)=7,"",RIGHT(L42,LEN(L42)-2)&amp;".")</f>
        <v>/A.</v>
      </c>
      <c r="L42" s="36" t="str">
        <f aca="false">IFERROR(__xludf.dummyfunction("CONCATENATE(ArrayFormula(""; ""&amp;QUERY(Hallazgos!A:F,""SELECT B WHERE E CONTAINS '""&amp;A42&amp;""' LABEL B ''"")))"),"#N/A")</f>
        <v>#N/A</v>
      </c>
    </row>
    <row r="43" customFormat="false" ht="15.75" hidden="false" customHeight="true" outlineLevel="0" collapsed="false">
      <c r="A43" s="37" t="s">
        <v>123</v>
      </c>
      <c r="B43" s="37" t="s">
        <v>793</v>
      </c>
      <c r="C43" s="38" t="s">
        <v>41</v>
      </c>
      <c r="D43" s="39" t="s">
        <v>794</v>
      </c>
      <c r="E43" s="39" t="s">
        <v>98</v>
      </c>
      <c r="F43" s="39" t="s">
        <v>55</v>
      </c>
      <c r="G43" s="40" t="s">
        <v>17</v>
      </c>
      <c r="H43" s="40" t="s">
        <v>17</v>
      </c>
      <c r="I43" s="40" t="s">
        <v>17</v>
      </c>
      <c r="J43" s="40" t="str">
        <f aca="false">IF(G43="Sí", IF(H43="Sí", "DP", "SP"), IF(H43="Sí", "SD", "-"))</f>
        <v>-</v>
      </c>
      <c r="K43" s="36" t="str">
        <f aca="false">IF(IFERROR(L43,7)=7,"",RIGHT(L43,LEN(L43)-2)&amp;".")</f>
        <v>/A.</v>
      </c>
      <c r="L43" s="36" t="str">
        <f aca="false">IFERROR(__xludf.dummyfunction("CONCATENATE(ArrayFormula(""; ""&amp;QUERY(Hallazgos!A:F,""SELECT B WHERE E CONTAINS '""&amp;A43&amp;""' LABEL B ''"")))"),"#N/A")</f>
        <v>#N/A</v>
      </c>
    </row>
    <row r="44" customFormat="false" ht="15.75" hidden="false" customHeight="true" outlineLevel="0" collapsed="false">
      <c r="A44" s="37" t="s">
        <v>129</v>
      </c>
      <c r="B44" s="37" t="s">
        <v>795</v>
      </c>
      <c r="C44" s="38" t="s">
        <v>41</v>
      </c>
      <c r="D44" s="39" t="s">
        <v>189</v>
      </c>
      <c r="E44" s="39" t="s">
        <v>54</v>
      </c>
      <c r="F44" s="39" t="s">
        <v>55</v>
      </c>
      <c r="G44" s="40" t="s">
        <v>17</v>
      </c>
      <c r="H44" s="40" t="s">
        <v>17</v>
      </c>
      <c r="I44" s="40" t="s">
        <v>17</v>
      </c>
      <c r="J44" s="40" t="str">
        <f aca="false">IF(G44="Sí", IF(H44="Sí", "DP", "SP"), IF(H44="Sí", "SD", "-"))</f>
        <v>-</v>
      </c>
      <c r="K44" s="36" t="str">
        <f aca="false">IF(IFERROR(L44,7)=7,"",RIGHT(L44,LEN(L44)-2)&amp;".")</f>
        <v>/A.</v>
      </c>
      <c r="L44" s="36" t="str">
        <f aca="false">IFERROR(__xludf.dummyfunction("CONCATENATE(ArrayFormula(""; ""&amp;QUERY(Hallazgos!A:F,""SELECT B WHERE E CONTAINS '""&amp;A44&amp;""' LABEL B ''"")))"),"#N/A")</f>
        <v>#N/A</v>
      </c>
    </row>
    <row r="45" customFormat="false" ht="15.75" hidden="false" customHeight="true" outlineLevel="0" collapsed="false">
      <c r="A45" s="37" t="s">
        <v>133</v>
      </c>
      <c r="B45" s="37" t="s">
        <v>191</v>
      </c>
      <c r="C45" s="38" t="s">
        <v>41</v>
      </c>
      <c r="D45" s="39" t="s">
        <v>189</v>
      </c>
      <c r="E45" s="39" t="s">
        <v>192</v>
      </c>
      <c r="F45" s="39" t="s">
        <v>55</v>
      </c>
      <c r="G45" s="40" t="s">
        <v>17</v>
      </c>
      <c r="H45" s="40" t="s">
        <v>17</v>
      </c>
      <c r="I45" s="40" t="s">
        <v>17</v>
      </c>
      <c r="J45" s="40" t="str">
        <f aca="false">IF(G45="Sí", IF(H45="Sí", "DP", "SP"), IF(H45="Sí", "SD", "-"))</f>
        <v>-</v>
      </c>
      <c r="K45" s="36" t="str">
        <f aca="false">IF(IFERROR(L45,7)=7,"",RIGHT(L45,LEN(L45)-2)&amp;".")</f>
        <v>/A.</v>
      </c>
      <c r="L45" s="36" t="str">
        <f aca="false">IFERROR(__xludf.dummyfunction("CONCATENATE(ArrayFormula(""; ""&amp;QUERY(Hallazgos!A:F,""SELECT B WHERE E CONTAINS '""&amp;A45&amp;""' LABEL B ''"")))"),"#N/A")</f>
        <v>#N/A</v>
      </c>
    </row>
    <row r="46" customFormat="false" ht="15.75" hidden="false" customHeight="true" outlineLevel="0" collapsed="false">
      <c r="A46" s="37" t="s">
        <v>135</v>
      </c>
      <c r="B46" s="37" t="s">
        <v>196</v>
      </c>
      <c r="C46" s="38" t="s">
        <v>41</v>
      </c>
      <c r="D46" s="39" t="s">
        <v>189</v>
      </c>
      <c r="E46" s="39" t="s">
        <v>81</v>
      </c>
      <c r="F46" s="39" t="s">
        <v>55</v>
      </c>
      <c r="G46" s="40" t="s">
        <v>17</v>
      </c>
      <c r="H46" s="40" t="s">
        <v>17</v>
      </c>
      <c r="I46" s="40" t="s">
        <v>17</v>
      </c>
      <c r="J46" s="40" t="str">
        <f aca="false">IF(G46="Sí", IF(H46="Sí", "DP", "SP"), IF(H46="Sí", "SD", "-"))</f>
        <v>-</v>
      </c>
      <c r="K46" s="36" t="str">
        <f aca="false">IF(IFERROR(L46,7)=7,"",RIGHT(L46,LEN(L46)-2)&amp;".")</f>
        <v>/A.</v>
      </c>
      <c r="L46" s="36" t="str">
        <f aca="false">IFERROR(__xludf.dummyfunction("CONCATENATE(ArrayFormula(""; ""&amp;QUERY(Hallazgos!A:F,""SELECT B WHERE E CONTAINS '""&amp;A46&amp;""' LABEL B ''"")))"),"#N/A")</f>
        <v>#N/A</v>
      </c>
    </row>
    <row r="47" customFormat="false" ht="15.75" hidden="false" customHeight="true" outlineLevel="0" collapsed="false">
      <c r="A47" s="37" t="s">
        <v>137</v>
      </c>
      <c r="B47" s="37" t="s">
        <v>198</v>
      </c>
      <c r="C47" s="38" t="s">
        <v>41</v>
      </c>
      <c r="D47" s="39" t="s">
        <v>189</v>
      </c>
      <c r="E47" s="39" t="s">
        <v>54</v>
      </c>
      <c r="F47" s="39" t="s">
        <v>55</v>
      </c>
      <c r="G47" s="40" t="s">
        <v>17</v>
      </c>
      <c r="H47" s="40" t="s">
        <v>17</v>
      </c>
      <c r="I47" s="40" t="s">
        <v>17</v>
      </c>
      <c r="J47" s="40" t="str">
        <f aca="false">IF(G47="Sí", IF(H47="Sí", "DP", "SP"), IF(H47="Sí", "SD", "-"))</f>
        <v>-</v>
      </c>
      <c r="K47" s="36" t="str">
        <f aca="false">IF(IFERROR(L47,7)=7,"",RIGHT(L47,LEN(L47)-2)&amp;".")</f>
        <v>/A.</v>
      </c>
      <c r="L47" s="36" t="str">
        <f aca="false">IFERROR(__xludf.dummyfunction("CONCATENATE(ArrayFormula(""; ""&amp;QUERY(Hallazgos!A:F,""SELECT B WHERE E CONTAINS '""&amp;A47&amp;""' LABEL B ''"")))"),"#N/A")</f>
        <v>#N/A</v>
      </c>
    </row>
    <row r="48" customFormat="false" ht="15.75" hidden="false" customHeight="true" outlineLevel="0" collapsed="false">
      <c r="A48" s="37" t="s">
        <v>139</v>
      </c>
      <c r="B48" s="37" t="s">
        <v>200</v>
      </c>
      <c r="C48" s="38" t="s">
        <v>41</v>
      </c>
      <c r="D48" s="39" t="s">
        <v>189</v>
      </c>
      <c r="E48" s="39" t="s">
        <v>76</v>
      </c>
      <c r="F48" s="39" t="s">
        <v>55</v>
      </c>
      <c r="G48" s="40" t="s">
        <v>17</v>
      </c>
      <c r="H48" s="40" t="s">
        <v>17</v>
      </c>
      <c r="I48" s="40" t="s">
        <v>17</v>
      </c>
      <c r="J48" s="40" t="str">
        <f aca="false">IF(G48="Sí", IF(H48="Sí", "DP", "SP"), IF(H48="Sí", "SD", "-"))</f>
        <v>-</v>
      </c>
      <c r="K48" s="36" t="str">
        <f aca="false">IF(IFERROR(L48,7)=7,"",RIGHT(L48,LEN(L48)-2)&amp;".")</f>
        <v>/A.</v>
      </c>
      <c r="L48" s="36" t="str">
        <f aca="false">IFERROR(__xludf.dummyfunction("CONCATENATE(ArrayFormula(""; ""&amp;QUERY(Hallazgos!A:F,""SELECT B WHERE E CONTAINS '""&amp;A48&amp;""' LABEL B ''"")))"),"#N/A")</f>
        <v>#N/A</v>
      </c>
    </row>
    <row r="49" customFormat="false" ht="15.75" hidden="false" customHeight="true" outlineLevel="0" collapsed="false">
      <c r="A49" s="37" t="s">
        <v>141</v>
      </c>
      <c r="B49" s="37" t="s">
        <v>796</v>
      </c>
      <c r="C49" s="38" t="s">
        <v>38</v>
      </c>
      <c r="D49" s="39" t="s">
        <v>189</v>
      </c>
      <c r="E49" s="39" t="s">
        <v>54</v>
      </c>
      <c r="F49" s="39" t="s">
        <v>55</v>
      </c>
      <c r="G49" s="40" t="s">
        <v>17</v>
      </c>
      <c r="H49" s="40" t="s">
        <v>17</v>
      </c>
      <c r="I49" s="40" t="s">
        <v>17</v>
      </c>
      <c r="J49" s="40" t="str">
        <f aca="false">IF(G49="Sí", IF(H49="Sí", "DP", "SP"), IF(H49="Sí", "SD", "-"))</f>
        <v>-</v>
      </c>
      <c r="K49" s="36" t="str">
        <f aca="false">IF(IFERROR(L49,7)=7,"",RIGHT(L49,LEN(L49)-2)&amp;".")</f>
        <v>/A.</v>
      </c>
      <c r="L49" s="36" t="str">
        <f aca="false">IFERROR(__xludf.dummyfunction("CONCATENATE(ArrayFormula(""; ""&amp;QUERY(Hallazgos!A:F,""SELECT B WHERE E CONTAINS '""&amp;A49&amp;""' LABEL B ''"")))"),"#N/A")</f>
        <v>#N/A</v>
      </c>
    </row>
    <row r="50" customFormat="false" ht="15.75" hidden="false" customHeight="true" outlineLevel="0" collapsed="false">
      <c r="A50" s="37" t="s">
        <v>143</v>
      </c>
      <c r="B50" s="37" t="s">
        <v>204</v>
      </c>
      <c r="C50" s="38" t="s">
        <v>13</v>
      </c>
      <c r="D50" s="39" t="s">
        <v>189</v>
      </c>
      <c r="E50" s="39" t="s">
        <v>76</v>
      </c>
      <c r="F50" s="39" t="s">
        <v>55</v>
      </c>
      <c r="G50" s="40" t="s">
        <v>17</v>
      </c>
      <c r="H50" s="40" t="s">
        <v>17</v>
      </c>
      <c r="I50" s="40" t="s">
        <v>17</v>
      </c>
      <c r="J50" s="40" t="str">
        <f aca="false">IF(G50="Sí", IF(H50="Sí", "DP", "SP"), IF(H50="Sí", "SD", "-"))</f>
        <v>-</v>
      </c>
      <c r="K50" s="36" t="str">
        <f aca="false">IF(IFERROR(L50,7)=7,"",RIGHT(L50,LEN(L50)-2)&amp;".")</f>
        <v>/A.</v>
      </c>
      <c r="L50" s="36" t="str">
        <f aca="false">IFERROR(__xludf.dummyfunction("CONCATENATE(ArrayFormula(""; ""&amp;QUERY(Hallazgos!A:F,""SELECT B WHERE E CONTAINS '""&amp;A50&amp;""' LABEL B ''"")))"),"#N/A")</f>
        <v>#N/A</v>
      </c>
    </row>
    <row r="51" customFormat="false" ht="15.75" hidden="false" customHeight="true" outlineLevel="0" collapsed="false">
      <c r="A51" s="37" t="s">
        <v>145</v>
      </c>
      <c r="B51" s="37" t="s">
        <v>206</v>
      </c>
      <c r="C51" s="38" t="s">
        <v>41</v>
      </c>
      <c r="D51" s="39" t="s">
        <v>189</v>
      </c>
      <c r="E51" s="39" t="s">
        <v>81</v>
      </c>
      <c r="F51" s="39" t="s">
        <v>55</v>
      </c>
      <c r="G51" s="40" t="s">
        <v>17</v>
      </c>
      <c r="H51" s="40" t="s">
        <v>17</v>
      </c>
      <c r="I51" s="40" t="s">
        <v>17</v>
      </c>
      <c r="J51" s="40" t="str">
        <f aca="false">IF(G51="Sí", IF(H51="Sí", "DP", "SP"), IF(H51="Sí", "SD", "-"))</f>
        <v>-</v>
      </c>
      <c r="K51" s="36" t="str">
        <f aca="false">IF(IFERROR(L51,7)=7,"",RIGHT(L51,LEN(L51)-2)&amp;".")</f>
        <v>/A.</v>
      </c>
      <c r="L51" s="36" t="str">
        <f aca="false">IFERROR(__xludf.dummyfunction("CONCATENATE(ArrayFormula(""; ""&amp;QUERY(Hallazgos!A:F,""SELECT B WHERE E CONTAINS '""&amp;A51&amp;""' LABEL B ''"")))"),"#N/A")</f>
        <v>#N/A</v>
      </c>
    </row>
    <row r="52" customFormat="false" ht="15.75" hidden="false" customHeight="true" outlineLevel="0" collapsed="false">
      <c r="A52" s="37" t="s">
        <v>147</v>
      </c>
      <c r="B52" s="37" t="s">
        <v>401</v>
      </c>
      <c r="C52" s="38" t="s">
        <v>41</v>
      </c>
      <c r="D52" s="39" t="s">
        <v>399</v>
      </c>
      <c r="E52" s="39" t="s">
        <v>81</v>
      </c>
      <c r="F52" s="39" t="s">
        <v>55</v>
      </c>
      <c r="G52" s="40" t="s">
        <v>17</v>
      </c>
      <c r="H52" s="40" t="s">
        <v>17</v>
      </c>
      <c r="I52" s="40" t="s">
        <v>17</v>
      </c>
      <c r="J52" s="40" t="str">
        <f aca="false">IF(G52="Sí", IF(H52="Sí", "DP", "SP"), IF(H52="Sí", "SD", "-"))</f>
        <v>-</v>
      </c>
      <c r="K52" s="36" t="str">
        <f aca="false">IF(IFERROR(L52,7)=7,"",RIGHT(L52,LEN(L52)-2)&amp;".")</f>
        <v>/A.</v>
      </c>
      <c r="L52" s="36" t="str">
        <f aca="false">IFERROR(__xludf.dummyfunction("CONCATENATE(ArrayFormula(""; ""&amp;QUERY(Hallazgos!A:F,""SELECT B WHERE E CONTAINS '""&amp;A52&amp;""' LABEL B ''"")))"),"#N/A")</f>
        <v>#N/A</v>
      </c>
    </row>
    <row r="53" customFormat="false" ht="15.75" hidden="false" customHeight="true" outlineLevel="0" collapsed="false">
      <c r="A53" s="37" t="s">
        <v>149</v>
      </c>
      <c r="B53" s="37" t="s">
        <v>797</v>
      </c>
      <c r="C53" s="38" t="s">
        <v>38</v>
      </c>
      <c r="D53" s="39" t="s">
        <v>352</v>
      </c>
      <c r="E53" s="39" t="s">
        <v>15</v>
      </c>
      <c r="F53" s="39" t="s">
        <v>73</v>
      </c>
      <c r="G53" s="40" t="s">
        <v>17</v>
      </c>
      <c r="H53" s="40" t="s">
        <v>17</v>
      </c>
      <c r="I53" s="40" t="s">
        <v>17</v>
      </c>
      <c r="J53" s="40" t="str">
        <f aca="false">IF(G53="Sí", IF(H53="Sí", "DP", "SP"), IF(H53="Sí", "SD", "-"))</f>
        <v>-</v>
      </c>
      <c r="K53" s="36" t="str">
        <f aca="false">IF(IFERROR(L53,7)=7,"",RIGHT(L53,LEN(L53)-2)&amp;".")</f>
        <v>/A.</v>
      </c>
      <c r="L53" s="36" t="str">
        <f aca="false">IFERROR(__xludf.dummyfunction("CONCATENATE(ArrayFormula(""; ""&amp;QUERY(Hallazgos!A:F,""SELECT B WHERE E CONTAINS '""&amp;A53&amp;""' LABEL B ''"")))"),"#N/A")</f>
        <v>#N/A</v>
      </c>
    </row>
    <row r="54" customFormat="false" ht="15.75" hidden="false" customHeight="true" outlineLevel="0" collapsed="false">
      <c r="A54" s="37" t="s">
        <v>151</v>
      </c>
      <c r="B54" s="37" t="s">
        <v>358</v>
      </c>
      <c r="C54" s="38" t="s">
        <v>38</v>
      </c>
      <c r="D54" s="39" t="s">
        <v>352</v>
      </c>
      <c r="E54" s="39" t="s">
        <v>116</v>
      </c>
      <c r="F54" s="39" t="s">
        <v>73</v>
      </c>
      <c r="G54" s="40" t="s">
        <v>17</v>
      </c>
      <c r="H54" s="40" t="s">
        <v>17</v>
      </c>
      <c r="I54" s="40" t="s">
        <v>17</v>
      </c>
      <c r="J54" s="40" t="str">
        <f aca="false">IF(G54="Sí", IF(H54="Sí", "DP", "SP"), IF(H54="Sí", "SD", "-"))</f>
        <v>-</v>
      </c>
      <c r="K54" s="36" t="str">
        <f aca="false">IF(IFERROR(L54,7)=7,"",RIGHT(L54,LEN(L54)-2)&amp;".")</f>
        <v>/A.</v>
      </c>
      <c r="L54" s="36" t="str">
        <f aca="false">IFERROR(__xludf.dummyfunction("CONCATENATE(ArrayFormula(""; ""&amp;QUERY(Hallazgos!A:F,""SELECT B WHERE E CONTAINS '""&amp;A54&amp;""' LABEL B ''"")))"),"#N/A")</f>
        <v>#N/A</v>
      </c>
    </row>
    <row r="55" customFormat="false" ht="15.75" hidden="false" customHeight="true" outlineLevel="0" collapsed="false">
      <c r="A55" s="37" t="s">
        <v>153</v>
      </c>
      <c r="B55" s="37" t="s">
        <v>360</v>
      </c>
      <c r="C55" s="38" t="s">
        <v>41</v>
      </c>
      <c r="D55" s="39" t="s">
        <v>352</v>
      </c>
      <c r="E55" s="39" t="s">
        <v>81</v>
      </c>
      <c r="F55" s="39" t="s">
        <v>73</v>
      </c>
      <c r="G55" s="40" t="s">
        <v>17</v>
      </c>
      <c r="H55" s="40" t="s">
        <v>17</v>
      </c>
      <c r="I55" s="40" t="s">
        <v>17</v>
      </c>
      <c r="J55" s="40" t="str">
        <f aca="false">IF(G55="Sí", IF(H55="Sí", "DP", "SP"), IF(H55="Sí", "SD", "-"))</f>
        <v>-</v>
      </c>
      <c r="K55" s="36" t="str">
        <f aca="false">IF(IFERROR(L55,7)=7,"",RIGHT(L55,LEN(L55)-2)&amp;".")</f>
        <v>/A.</v>
      </c>
      <c r="L55" s="36" t="str">
        <f aca="false">IFERROR(__xludf.dummyfunction("CONCATENATE(ArrayFormula(""; ""&amp;QUERY(Hallazgos!A:F,""SELECT B WHERE E CONTAINS '""&amp;A55&amp;""' LABEL B ''"")))"),"#N/A")</f>
        <v>#N/A</v>
      </c>
    </row>
    <row r="56" customFormat="false" ht="15.75" hidden="false" customHeight="true" outlineLevel="0" collapsed="false">
      <c r="A56" s="37" t="s">
        <v>155</v>
      </c>
      <c r="B56" s="37" t="s">
        <v>362</v>
      </c>
      <c r="C56" s="38" t="s">
        <v>41</v>
      </c>
      <c r="D56" s="39" t="s">
        <v>352</v>
      </c>
      <c r="E56" s="39" t="s">
        <v>116</v>
      </c>
      <c r="F56" s="39" t="s">
        <v>73</v>
      </c>
      <c r="G56" s="40" t="s">
        <v>17</v>
      </c>
      <c r="H56" s="40" t="s">
        <v>17</v>
      </c>
      <c r="I56" s="40" t="s">
        <v>17</v>
      </c>
      <c r="J56" s="40" t="str">
        <f aca="false">IF(G56="Sí", IF(H56="Sí", "DP", "SP"), IF(H56="Sí", "SD", "-"))</f>
        <v>-</v>
      </c>
      <c r="K56" s="36" t="str">
        <f aca="false">IF(IFERROR(L56,7)=7,"",RIGHT(L56,LEN(L56)-2)&amp;".")</f>
        <v>/A.</v>
      </c>
      <c r="L56" s="36" t="str">
        <f aca="false">IFERROR(__xludf.dummyfunction("CONCATENATE(ArrayFormula(""; ""&amp;QUERY(Hallazgos!A:F,""SELECT B WHERE E CONTAINS '""&amp;A56&amp;""' LABEL B ''"")))"),"#N/A")</f>
        <v>#N/A</v>
      </c>
    </row>
    <row r="57" customFormat="false" ht="15.75" hidden="false" customHeight="true" outlineLevel="0" collapsed="false">
      <c r="A57" s="37" t="s">
        <v>157</v>
      </c>
      <c r="B57" s="37" t="s">
        <v>364</v>
      </c>
      <c r="C57" s="38" t="s">
        <v>13</v>
      </c>
      <c r="D57" s="39" t="s">
        <v>352</v>
      </c>
      <c r="E57" s="39" t="s">
        <v>116</v>
      </c>
      <c r="F57" s="39" t="s">
        <v>73</v>
      </c>
      <c r="G57" s="40" t="s">
        <v>17</v>
      </c>
      <c r="H57" s="40" t="s">
        <v>17</v>
      </c>
      <c r="I57" s="40" t="s">
        <v>17</v>
      </c>
      <c r="J57" s="40" t="str">
        <f aca="false">IF(G57="Sí", IF(H57="Sí", "DP", "SP"), IF(H57="Sí", "SD", "-"))</f>
        <v>-</v>
      </c>
      <c r="K57" s="36" t="str">
        <f aca="false">IF(IFERROR(L57,7)=7,"",RIGHT(L57,LEN(L57)-2)&amp;".")</f>
        <v>/A.</v>
      </c>
      <c r="L57" s="36" t="str">
        <f aca="false">IFERROR(__xludf.dummyfunction("CONCATENATE(ArrayFormula(""; ""&amp;QUERY(Hallazgos!A:F,""SELECT B WHERE E CONTAINS '""&amp;A57&amp;""' LABEL B ''"")))"),"#N/A")</f>
        <v>#N/A</v>
      </c>
    </row>
    <row r="58" customFormat="false" ht="15.75" hidden="false" customHeight="true" outlineLevel="0" collapsed="false">
      <c r="A58" s="43" t="s">
        <v>159</v>
      </c>
      <c r="B58" s="37" t="s">
        <v>366</v>
      </c>
      <c r="C58" s="42" t="s">
        <v>41</v>
      </c>
      <c r="D58" s="39" t="s">
        <v>352</v>
      </c>
      <c r="E58" s="39" t="s">
        <v>81</v>
      </c>
      <c r="F58" s="39" t="s">
        <v>104</v>
      </c>
      <c r="G58" s="40" t="s">
        <v>17</v>
      </c>
      <c r="H58" s="40" t="s">
        <v>17</v>
      </c>
      <c r="I58" s="40" t="s">
        <v>17</v>
      </c>
      <c r="J58" s="40" t="str">
        <f aca="false">IF(G58="Sí", IF(H58="Sí", "DP", "SP"), IF(H58="Sí", "SD", "-"))</f>
        <v>-</v>
      </c>
      <c r="K58" s="36" t="str">
        <f aca="false">IF(IFERROR(L58,7)=7,"",RIGHT(L58,LEN(L58)-2)&amp;".")</f>
        <v>/A.</v>
      </c>
      <c r="L58" s="36" t="str">
        <f aca="false">IFERROR(__xludf.dummyfunction("CONCATENATE(ArrayFormula(""; ""&amp;QUERY(Hallazgos!A:F,""SELECT B WHERE E CONTAINS '""&amp;A58&amp;""' LABEL B ''"")))"),"#N/A")</f>
        <v>#N/A</v>
      </c>
    </row>
    <row r="59" customFormat="false" ht="15.75" hidden="false" customHeight="true" outlineLevel="0" collapsed="false">
      <c r="A59" s="43" t="s">
        <v>161</v>
      </c>
      <c r="B59" s="37" t="s">
        <v>368</v>
      </c>
      <c r="C59" s="42" t="s">
        <v>41</v>
      </c>
      <c r="D59" s="39" t="s">
        <v>352</v>
      </c>
      <c r="E59" s="39" t="s">
        <v>116</v>
      </c>
      <c r="F59" s="39" t="s">
        <v>73</v>
      </c>
      <c r="G59" s="40" t="s">
        <v>17</v>
      </c>
      <c r="H59" s="40" t="s">
        <v>17</v>
      </c>
      <c r="I59" s="40" t="s">
        <v>17</v>
      </c>
      <c r="J59" s="40" t="str">
        <f aca="false">IF(G59="Sí", IF(H59="Sí", "DP", "SP"), IF(H59="Sí", "SD", "-"))</f>
        <v>-</v>
      </c>
      <c r="K59" s="36" t="str">
        <f aca="false">IF(IFERROR(L59,7)=7,"",RIGHT(L59,LEN(L59)-2)&amp;".")</f>
        <v>/A.</v>
      </c>
      <c r="L59" s="36" t="str">
        <f aca="false">IFERROR(__xludf.dummyfunction("CONCATENATE(ArrayFormula(""; ""&amp;QUERY(Hallazgos!A:F,""SELECT B WHERE E CONTAINS '""&amp;A59&amp;""' LABEL B ''"")))"),"#N/A")</f>
        <v>#N/A</v>
      </c>
    </row>
    <row r="60" customFormat="false" ht="15.75" hidden="false" customHeight="true" outlineLevel="0" collapsed="false">
      <c r="A60" s="41" t="s">
        <v>163</v>
      </c>
      <c r="B60" s="41" t="s">
        <v>798</v>
      </c>
      <c r="C60" s="42" t="s">
        <v>41</v>
      </c>
      <c r="D60" s="39" t="s">
        <v>352</v>
      </c>
      <c r="E60" s="39" t="s">
        <v>116</v>
      </c>
      <c r="F60" s="39" t="s">
        <v>73</v>
      </c>
      <c r="G60" s="40" t="s">
        <v>17</v>
      </c>
      <c r="H60" s="40" t="s">
        <v>17</v>
      </c>
      <c r="I60" s="40" t="s">
        <v>17</v>
      </c>
      <c r="J60" s="40" t="str">
        <f aca="false">IF(G60="Sí", IF(H60="Sí", "DP", "SP"), IF(H60="Sí", "SD", "-"))</f>
        <v>-</v>
      </c>
      <c r="K60" s="36" t="str">
        <f aca="false">IF(IFERROR(L60,7)=7,"",RIGHT(L60,LEN(L60)-2)&amp;".")</f>
        <v>/A.</v>
      </c>
      <c r="L60" s="36" t="str">
        <f aca="false">IFERROR(__xludf.dummyfunction("CONCATENATE(ArrayFormula(""; ""&amp;QUERY(Hallazgos!A:F,""SELECT B WHERE E CONTAINS '""&amp;A60&amp;""' LABEL B ''"")))"),"#N/A")</f>
        <v>#N/A</v>
      </c>
    </row>
    <row r="61" customFormat="false" ht="15.75" hidden="false" customHeight="true" outlineLevel="0" collapsed="false">
      <c r="A61" s="41" t="s">
        <v>165</v>
      </c>
      <c r="B61" s="41" t="s">
        <v>138</v>
      </c>
      <c r="C61" s="42" t="s">
        <v>38</v>
      </c>
      <c r="D61" s="39" t="s">
        <v>535</v>
      </c>
      <c r="E61" s="39" t="s">
        <v>76</v>
      </c>
      <c r="F61" s="39" t="s">
        <v>73</v>
      </c>
      <c r="G61" s="40" t="s">
        <v>17</v>
      </c>
      <c r="H61" s="40" t="s">
        <v>17</v>
      </c>
      <c r="I61" s="40" t="s">
        <v>17</v>
      </c>
      <c r="J61" s="40" t="str">
        <f aca="false">IF(G61="Sí", IF(H61="Sí", "DP", "SP"), IF(H61="Sí", "SD", "-"))</f>
        <v>-</v>
      </c>
      <c r="K61" s="36" t="str">
        <f aca="false">IF(IFERROR(L61,7)=7,"",RIGHT(L61,LEN(L61)-2)&amp;".")</f>
        <v>/A.</v>
      </c>
      <c r="L61" s="36" t="str">
        <f aca="false">IFERROR(__xludf.dummyfunction("CONCATENATE(ArrayFormula(""; ""&amp;QUERY(Hallazgos!A:F,""SELECT B WHERE E CONTAINS '""&amp;A61&amp;""' LABEL B ''"")))"),"#N/A")</f>
        <v>#N/A</v>
      </c>
    </row>
    <row r="62" customFormat="false" ht="15.75" hidden="false" customHeight="true" outlineLevel="0" collapsed="false">
      <c r="A62" s="41" t="s">
        <v>167</v>
      </c>
      <c r="B62" s="41" t="s">
        <v>799</v>
      </c>
      <c r="C62" s="42" t="s">
        <v>41</v>
      </c>
      <c r="D62" s="39" t="s">
        <v>103</v>
      </c>
      <c r="E62" s="39" t="s">
        <v>116</v>
      </c>
      <c r="F62" s="39" t="s">
        <v>73</v>
      </c>
      <c r="G62" s="40" t="s">
        <v>17</v>
      </c>
      <c r="H62" s="40" t="s">
        <v>17</v>
      </c>
      <c r="I62" s="40" t="s">
        <v>17</v>
      </c>
      <c r="J62" s="40" t="str">
        <f aca="false">IF(G62="Sí", IF(H62="Sí", "DP", "SP"), IF(H62="Sí", "SD", "-"))</f>
        <v>-</v>
      </c>
      <c r="K62" s="36" t="str">
        <f aca="false">IF(IFERROR(L62,7)=7,"",RIGHT(L62,LEN(L62)-2)&amp;".")</f>
        <v>/A.</v>
      </c>
      <c r="L62" s="36" t="str">
        <f aca="false">IFERROR(__xludf.dummyfunction("CONCATENATE(ArrayFormula(""; ""&amp;QUERY(Hallazgos!A:F,""SELECT B WHERE E CONTAINS '""&amp;A62&amp;""' LABEL B ''"")))"),"#N/A")</f>
        <v>#N/A</v>
      </c>
    </row>
    <row r="63" customFormat="false" ht="15.75" hidden="false" customHeight="true" outlineLevel="0" collapsed="false">
      <c r="A63" s="43" t="s">
        <v>169</v>
      </c>
      <c r="B63" s="41" t="s">
        <v>122</v>
      </c>
      <c r="C63" s="42" t="s">
        <v>41</v>
      </c>
      <c r="D63" s="39" t="s">
        <v>103</v>
      </c>
      <c r="E63" s="39" t="s">
        <v>116</v>
      </c>
      <c r="F63" s="39" t="s">
        <v>73</v>
      </c>
      <c r="G63" s="40" t="s">
        <v>17</v>
      </c>
      <c r="H63" s="40" t="s">
        <v>17</v>
      </c>
      <c r="I63" s="40" t="s">
        <v>17</v>
      </c>
      <c r="J63" s="40" t="str">
        <f aca="false">IF(G63="Sí", IF(H63="Sí", "DP", "SP"), IF(H63="Sí", "SD", "-"))</f>
        <v>-</v>
      </c>
      <c r="K63" s="36" t="str">
        <f aca="false">IF(IFERROR(L63,7)=7,"",RIGHT(L63,LEN(L63)-2)&amp;".")</f>
        <v>/A.</v>
      </c>
      <c r="L63" s="36" t="str">
        <f aca="false">IFERROR(__xludf.dummyfunction("CONCATENATE(ArrayFormula(""; ""&amp;QUERY(Hallazgos!A:F,""SELECT B WHERE E CONTAINS '""&amp;A63&amp;""' LABEL B ''"")))"),"#N/A")</f>
        <v>#N/A</v>
      </c>
    </row>
    <row r="64" customFormat="false" ht="15.75" hidden="false" customHeight="true" outlineLevel="0" collapsed="false">
      <c r="A64" s="37" t="s">
        <v>171</v>
      </c>
      <c r="B64" s="37" t="s">
        <v>372</v>
      </c>
      <c r="C64" s="38" t="s">
        <v>41</v>
      </c>
      <c r="D64" s="39" t="s">
        <v>352</v>
      </c>
      <c r="E64" s="39" t="s">
        <v>132</v>
      </c>
      <c r="F64" s="39" t="s">
        <v>73</v>
      </c>
      <c r="G64" s="40" t="s">
        <v>17</v>
      </c>
      <c r="H64" s="40" t="s">
        <v>17</v>
      </c>
      <c r="I64" s="40" t="s">
        <v>17</v>
      </c>
      <c r="J64" s="40" t="str">
        <f aca="false">IF(G64="Sí", IF(H64="Sí", "DP", "SP"), IF(H64="Sí", "SD", "-"))</f>
        <v>-</v>
      </c>
      <c r="K64" s="36" t="str">
        <f aca="false">IF(IFERROR(L64,7)=7,"",RIGHT(L64,LEN(L64)-2)&amp;".")</f>
        <v>/A.</v>
      </c>
      <c r="L64" s="36" t="str">
        <f aca="false">IFERROR(__xludf.dummyfunction("CONCATENATE(ArrayFormula(""; ""&amp;QUERY(Hallazgos!A:F,""SELECT B WHERE E CONTAINS '""&amp;A64&amp;""' LABEL B ''"")))"),"#N/A")</f>
        <v>#N/A</v>
      </c>
    </row>
    <row r="65" customFormat="false" ht="15.75" hidden="false" customHeight="true" outlineLevel="0" collapsed="false">
      <c r="A65" s="37" t="s">
        <v>173</v>
      </c>
      <c r="B65" s="37" t="s">
        <v>374</v>
      </c>
      <c r="C65" s="38" t="s">
        <v>41</v>
      </c>
      <c r="D65" s="39" t="s">
        <v>352</v>
      </c>
      <c r="E65" s="39" t="s">
        <v>132</v>
      </c>
      <c r="F65" s="39" t="s">
        <v>73</v>
      </c>
      <c r="G65" s="40" t="s">
        <v>17</v>
      </c>
      <c r="H65" s="40" t="s">
        <v>17</v>
      </c>
      <c r="I65" s="40" t="s">
        <v>17</v>
      </c>
      <c r="J65" s="40" t="str">
        <f aca="false">IF(G65="Sí", IF(H65="Sí", "DP", "SP"), IF(H65="Sí", "SD", "-"))</f>
        <v>-</v>
      </c>
      <c r="K65" s="36" t="str">
        <f aca="false">IF(IFERROR(L65,7)=7,"",RIGHT(L65,LEN(L65)-2)&amp;".")</f>
        <v>/A.</v>
      </c>
      <c r="L65" s="36" t="str">
        <f aca="false">IFERROR(__xludf.dummyfunction("CONCATENATE(ArrayFormula(""; ""&amp;QUERY(Hallazgos!A:F,""SELECT B WHERE E CONTAINS '""&amp;A65&amp;""' LABEL B ''"")))"),"#N/A")</f>
        <v>#N/A</v>
      </c>
    </row>
    <row r="66" customFormat="false" ht="15.75" hidden="false" customHeight="true" outlineLevel="0" collapsed="false">
      <c r="A66" s="37" t="s">
        <v>175</v>
      </c>
      <c r="B66" s="37" t="s">
        <v>376</v>
      </c>
      <c r="C66" s="38" t="s">
        <v>41</v>
      </c>
      <c r="D66" s="39" t="s">
        <v>352</v>
      </c>
      <c r="E66" s="39" t="s">
        <v>181</v>
      </c>
      <c r="F66" s="39" t="s">
        <v>73</v>
      </c>
      <c r="G66" s="40" t="s">
        <v>17</v>
      </c>
      <c r="H66" s="40" t="s">
        <v>17</v>
      </c>
      <c r="I66" s="40" t="s">
        <v>17</v>
      </c>
      <c r="J66" s="40" t="str">
        <f aca="false">IF(G66="Sí", IF(H66="Sí", "DP", "SP"), IF(H66="Sí", "SD", "-"))</f>
        <v>-</v>
      </c>
      <c r="K66" s="36" t="str">
        <f aca="false">IF(IFERROR(L66,7)=7,"",RIGHT(L66,LEN(L66)-2)&amp;".")</f>
        <v>/A.</v>
      </c>
      <c r="L66" s="36" t="str">
        <f aca="false">IFERROR(__xludf.dummyfunction("CONCATENATE(ArrayFormula(""; ""&amp;QUERY(Hallazgos!A:F,""SELECT B WHERE E CONTAINS '""&amp;A66&amp;""' LABEL B ''"")))"),"#N/A")</f>
        <v>#N/A</v>
      </c>
    </row>
    <row r="67" customFormat="false" ht="15.75" hidden="false" customHeight="true" outlineLevel="0" collapsed="false">
      <c r="A67" s="37" t="s">
        <v>177</v>
      </c>
      <c r="B67" s="37" t="s">
        <v>800</v>
      </c>
      <c r="C67" s="38" t="s">
        <v>41</v>
      </c>
      <c r="D67" s="39" t="s">
        <v>352</v>
      </c>
      <c r="E67" s="39" t="s">
        <v>181</v>
      </c>
      <c r="F67" s="39" t="s">
        <v>73</v>
      </c>
      <c r="G67" s="40" t="s">
        <v>17</v>
      </c>
      <c r="H67" s="40" t="s">
        <v>17</v>
      </c>
      <c r="I67" s="40" t="s">
        <v>17</v>
      </c>
      <c r="J67" s="40" t="str">
        <f aca="false">IF(G67="Sí", IF(H67="Sí", "DP", "SP"), IF(H67="Sí", "SD", "-"))</f>
        <v>-</v>
      </c>
      <c r="K67" s="36" t="str">
        <f aca="false">IF(IFERROR(L67,7)=7,"",RIGHT(L67,LEN(L67)-2)&amp;".")</f>
        <v>/A.</v>
      </c>
      <c r="L67" s="36" t="str">
        <f aca="false">IFERROR(__xludf.dummyfunction("CONCATENATE(ArrayFormula(""; ""&amp;QUERY(Hallazgos!A:F,""SELECT B WHERE E CONTAINS '""&amp;A67&amp;""' LABEL B ''"")))"),"#N/A")</f>
        <v>#N/A</v>
      </c>
    </row>
    <row r="68" customFormat="false" ht="15.75" hidden="false" customHeight="true" outlineLevel="0" collapsed="false">
      <c r="A68" s="37" t="s">
        <v>179</v>
      </c>
      <c r="B68" s="37" t="s">
        <v>378</v>
      </c>
      <c r="C68" s="38" t="s">
        <v>41</v>
      </c>
      <c r="D68" s="39" t="s">
        <v>352</v>
      </c>
      <c r="E68" s="39" t="s">
        <v>132</v>
      </c>
      <c r="F68" s="39" t="s">
        <v>73</v>
      </c>
      <c r="G68" s="40" t="s">
        <v>17</v>
      </c>
      <c r="H68" s="40" t="s">
        <v>17</v>
      </c>
      <c r="I68" s="40" t="s">
        <v>17</v>
      </c>
      <c r="J68" s="40" t="str">
        <f aca="false">IF(G68="Sí", IF(H68="Sí", "DP", "SP"), IF(H68="Sí", "SD", "-"))</f>
        <v>-</v>
      </c>
      <c r="K68" s="36" t="str">
        <f aca="false">IF(IFERROR(L68,7)=7,"",RIGHT(L68,LEN(L68)-2)&amp;".")</f>
        <v>/A.</v>
      </c>
      <c r="L68" s="36" t="str">
        <f aca="false">IFERROR(__xludf.dummyfunction("CONCATENATE(ArrayFormula(""; ""&amp;QUERY(Hallazgos!A:F,""SELECT B WHERE E CONTAINS '""&amp;A68&amp;""' LABEL B ''"")))"),"#N/A")</f>
        <v>#N/A</v>
      </c>
    </row>
    <row r="69" customFormat="false" ht="15.75" hidden="false" customHeight="true" outlineLevel="0" collapsed="false">
      <c r="A69" s="37" t="s">
        <v>182</v>
      </c>
      <c r="B69" s="37" t="s">
        <v>801</v>
      </c>
      <c r="C69" s="42" t="s">
        <v>41</v>
      </c>
      <c r="D69" s="39" t="s">
        <v>352</v>
      </c>
      <c r="E69" s="39" t="s">
        <v>181</v>
      </c>
      <c r="F69" s="39" t="s">
        <v>73</v>
      </c>
      <c r="G69" s="40" t="s">
        <v>17</v>
      </c>
      <c r="H69" s="40" t="s">
        <v>17</v>
      </c>
      <c r="I69" s="40" t="s">
        <v>17</v>
      </c>
      <c r="J69" s="40" t="str">
        <f aca="false">IF(G69="Sí", IF(H69="Sí", "DP", "SP"), IF(H69="Sí", "SD", "-"))</f>
        <v>-</v>
      </c>
      <c r="K69" s="36" t="str">
        <f aca="false">IF(IFERROR(L69,7)=7,"",RIGHT(L69,LEN(L69)-2)&amp;".")</f>
        <v>/A.</v>
      </c>
      <c r="L69" s="36" t="str">
        <f aca="false">IFERROR(__xludf.dummyfunction("CONCATENATE(ArrayFormula(""; ""&amp;QUERY(Hallazgos!A:F,""SELECT B WHERE E CONTAINS '""&amp;A69&amp;""' LABEL B ''"")))"),"#N/A")</f>
        <v>#N/A</v>
      </c>
    </row>
    <row r="70" customFormat="false" ht="15.75" hidden="false" customHeight="true" outlineLevel="0" collapsed="false">
      <c r="A70" s="37" t="s">
        <v>185</v>
      </c>
      <c r="B70" s="37" t="s">
        <v>382</v>
      </c>
      <c r="C70" s="42" t="s">
        <v>41</v>
      </c>
      <c r="D70" s="39" t="s">
        <v>352</v>
      </c>
      <c r="E70" s="39" t="s">
        <v>132</v>
      </c>
      <c r="F70" s="39" t="s">
        <v>73</v>
      </c>
      <c r="G70" s="40" t="s">
        <v>17</v>
      </c>
      <c r="H70" s="40" t="s">
        <v>17</v>
      </c>
      <c r="I70" s="40" t="s">
        <v>17</v>
      </c>
      <c r="J70" s="40" t="str">
        <f aca="false">IF(G70="Sí", IF(H70="Sí", "DP", "SP"), IF(H70="Sí", "SD", "-"))</f>
        <v>-</v>
      </c>
      <c r="K70" s="36" t="str">
        <f aca="false">IF(IFERROR(L70,7)=7,"",RIGHT(L70,LEN(L70)-2)&amp;".")</f>
        <v>/A.</v>
      </c>
      <c r="L70" s="36" t="str">
        <f aca="false">IFERROR(__xludf.dummyfunction("CONCATENATE(ArrayFormula(""; ""&amp;QUERY(Hallazgos!A:F,""SELECT B WHERE E CONTAINS '""&amp;A70&amp;""' LABEL B ''"")))"),"#N/A")</f>
        <v>#N/A</v>
      </c>
    </row>
    <row r="71" customFormat="false" ht="15.75" hidden="false" customHeight="true" outlineLevel="0" collapsed="false">
      <c r="A71" s="37" t="s">
        <v>190</v>
      </c>
      <c r="B71" s="37" t="s">
        <v>384</v>
      </c>
      <c r="C71" s="42" t="s">
        <v>41</v>
      </c>
      <c r="D71" s="39" t="s">
        <v>352</v>
      </c>
      <c r="E71" s="39" t="s">
        <v>116</v>
      </c>
      <c r="F71" s="39" t="s">
        <v>73</v>
      </c>
      <c r="G71" s="40" t="s">
        <v>17</v>
      </c>
      <c r="H71" s="40" t="s">
        <v>17</v>
      </c>
      <c r="I71" s="40" t="s">
        <v>17</v>
      </c>
      <c r="J71" s="40" t="str">
        <f aca="false">IF(G71="Sí", IF(H71="Sí", "DP", "SP"), IF(H71="Sí", "SD", "-"))</f>
        <v>-</v>
      </c>
      <c r="K71" s="36" t="str">
        <f aca="false">IF(IFERROR(L71,7)=7,"",RIGHT(L71,LEN(L71)-2)&amp;".")</f>
        <v>/A.</v>
      </c>
      <c r="L71" s="36" t="str">
        <f aca="false">IFERROR(__xludf.dummyfunction("CONCATENATE(ArrayFormula(""; ""&amp;QUERY(Hallazgos!A:F,""SELECT B WHERE E CONTAINS '""&amp;A71&amp;""' LABEL B ''"")))"),"#N/A")</f>
        <v>#N/A</v>
      </c>
    </row>
    <row r="72" customFormat="false" ht="15.75" hidden="false" customHeight="true" outlineLevel="0" collapsed="false">
      <c r="A72" s="37" t="s">
        <v>193</v>
      </c>
      <c r="B72" s="37" t="s">
        <v>802</v>
      </c>
      <c r="C72" s="38" t="s">
        <v>41</v>
      </c>
      <c r="D72" s="39" t="s">
        <v>352</v>
      </c>
      <c r="E72" s="39" t="s">
        <v>132</v>
      </c>
      <c r="F72" s="39" t="s">
        <v>73</v>
      </c>
      <c r="G72" s="40" t="s">
        <v>17</v>
      </c>
      <c r="H72" s="40" t="s">
        <v>17</v>
      </c>
      <c r="I72" s="40" t="s">
        <v>17</v>
      </c>
      <c r="J72" s="40" t="str">
        <f aca="false">IF(G72="Sí", IF(H72="Sí", "DP", "SP"), IF(H72="Sí", "SD", "-"))</f>
        <v>-</v>
      </c>
      <c r="K72" s="36" t="str">
        <f aca="false">IF(IFERROR(L72,7)=7,"",RIGHT(L72,LEN(L72)-2)&amp;".")</f>
        <v>/A.</v>
      </c>
      <c r="L72" s="36" t="str">
        <f aca="false">IFERROR(__xludf.dummyfunction("CONCATENATE(ArrayFormula(""; ""&amp;QUERY(Hallazgos!A:F,""SELECT B WHERE E CONTAINS '""&amp;A72&amp;""' LABEL B ''"")))"),"#N/A")</f>
        <v>#N/A</v>
      </c>
    </row>
    <row r="73" customFormat="false" ht="15.75" hidden="false" customHeight="true" outlineLevel="0" collapsed="false">
      <c r="A73" s="37" t="s">
        <v>195</v>
      </c>
      <c r="B73" s="37" t="s">
        <v>388</v>
      </c>
      <c r="C73" s="38" t="s">
        <v>41</v>
      </c>
      <c r="D73" s="39" t="s">
        <v>352</v>
      </c>
      <c r="E73" s="39" t="s">
        <v>81</v>
      </c>
      <c r="F73" s="39" t="s">
        <v>104</v>
      </c>
      <c r="G73" s="40" t="s">
        <v>17</v>
      </c>
      <c r="H73" s="40" t="s">
        <v>17</v>
      </c>
      <c r="I73" s="40" t="s">
        <v>17</v>
      </c>
      <c r="J73" s="40" t="str">
        <f aca="false">IF(G73="Sí", IF(H73="Sí", "DP", "SP"), IF(H73="Sí", "SD", "-"))</f>
        <v>-</v>
      </c>
      <c r="K73" s="36" t="str">
        <f aca="false">IF(IFERROR(L73,7)=7,"",RIGHT(L73,LEN(L73)-2)&amp;".")</f>
        <v>/A.</v>
      </c>
      <c r="L73" s="36" t="str">
        <f aca="false">IFERROR(__xludf.dummyfunction("CONCATENATE(ArrayFormula(""; ""&amp;QUERY(Hallazgos!A:F,""SELECT B WHERE E CONTAINS '""&amp;A73&amp;""' LABEL B ''"")))"),"#N/A")</f>
        <v>#N/A</v>
      </c>
    </row>
    <row r="74" customFormat="false" ht="15.75" hidden="false" customHeight="true" outlineLevel="0" collapsed="false">
      <c r="A74" s="37" t="s">
        <v>197</v>
      </c>
      <c r="B74" s="37" t="s">
        <v>186</v>
      </c>
      <c r="C74" s="42" t="s">
        <v>13</v>
      </c>
      <c r="D74" s="39" t="s">
        <v>803</v>
      </c>
      <c r="E74" s="39" t="s">
        <v>111</v>
      </c>
      <c r="F74" s="39" t="s">
        <v>55</v>
      </c>
      <c r="G74" s="40" t="s">
        <v>17</v>
      </c>
      <c r="H74" s="40" t="s">
        <v>17</v>
      </c>
      <c r="I74" s="40" t="s">
        <v>17</v>
      </c>
      <c r="J74" s="40" t="str">
        <f aca="false">IF(G74="Sí", IF(H74="Sí", "DP", "SP"), IF(H74="Sí", "SD", "-"))</f>
        <v>-</v>
      </c>
      <c r="K74" s="36" t="str">
        <f aca="false">IF(IFERROR(L74,7)=7,"",RIGHT(L74,LEN(L74)-2)&amp;".")</f>
        <v>/A.</v>
      </c>
      <c r="L74" s="36" t="str">
        <f aca="false">IFERROR(__xludf.dummyfunction("CONCATENATE(ArrayFormula(""; ""&amp;QUERY(Hallazgos!A:F,""SELECT B WHERE E CONTAINS '""&amp;A74&amp;""' LABEL B ''"")))"),"#N/A")</f>
        <v>#N/A</v>
      </c>
    </row>
    <row r="75" customFormat="false" ht="15.75" hidden="false" customHeight="true" outlineLevel="0" collapsed="false">
      <c r="A75" s="37" t="s">
        <v>199</v>
      </c>
      <c r="B75" s="37" t="s">
        <v>273</v>
      </c>
      <c r="C75" s="42" t="s">
        <v>13</v>
      </c>
      <c r="D75" s="39" t="s">
        <v>274</v>
      </c>
      <c r="E75" s="39" t="s">
        <v>116</v>
      </c>
      <c r="F75" s="39" t="s">
        <v>55</v>
      </c>
      <c r="G75" s="40" t="s">
        <v>17</v>
      </c>
      <c r="H75" s="40" t="s">
        <v>17</v>
      </c>
      <c r="I75" s="40" t="s">
        <v>17</v>
      </c>
      <c r="J75" s="40" t="str">
        <f aca="false">IF(G75="Sí", IF(H75="Sí", "DP", "SP"), IF(H75="Sí", "SD", "-"))</f>
        <v>-</v>
      </c>
      <c r="K75" s="36" t="str">
        <f aca="false">IF(IFERROR(L75,7)=7,"",RIGHT(L75,LEN(L75)-2)&amp;".")</f>
        <v>/A.</v>
      </c>
      <c r="L75" s="36" t="str">
        <f aca="false">IFERROR(__xludf.dummyfunction("CONCATENATE(ArrayFormula(""; ""&amp;QUERY(Hallazgos!A:F,""SELECT B WHERE E CONTAINS '""&amp;A75&amp;""' LABEL B ''"")))"),"#N/A")</f>
        <v>#N/A</v>
      </c>
    </row>
    <row r="76" customFormat="false" ht="15.75" hidden="false" customHeight="true" outlineLevel="0" collapsed="false">
      <c r="A76" s="37" t="s">
        <v>201</v>
      </c>
      <c r="B76" s="37" t="s">
        <v>804</v>
      </c>
      <c r="C76" s="42" t="s">
        <v>13</v>
      </c>
      <c r="D76" s="39" t="s">
        <v>274</v>
      </c>
      <c r="E76" s="39" t="s">
        <v>116</v>
      </c>
      <c r="F76" s="39" t="s">
        <v>55</v>
      </c>
      <c r="G76" s="40" t="s">
        <v>17</v>
      </c>
      <c r="H76" s="40" t="s">
        <v>17</v>
      </c>
      <c r="I76" s="40" t="s">
        <v>17</v>
      </c>
      <c r="J76" s="40" t="str">
        <f aca="false">IF(G76="Sí", IF(H76="Sí", "DP", "SP"), IF(H76="Sí", "SD", "-"))</f>
        <v>-</v>
      </c>
      <c r="K76" s="36" t="str">
        <f aca="false">IF(IFERROR(L76,7)=7,"",RIGHT(L76,LEN(L76)-2)&amp;".")</f>
        <v>/A.</v>
      </c>
      <c r="L76" s="36" t="str">
        <f aca="false">IFERROR(__xludf.dummyfunction("CONCATENATE(ArrayFormula(""; ""&amp;QUERY(Hallazgos!A:F,""SELECT B WHERE E CONTAINS '""&amp;A76&amp;""' LABEL B ''"")))"),"#N/A")</f>
        <v>#N/A</v>
      </c>
    </row>
    <row r="77" customFormat="false" ht="15.75" hidden="false" customHeight="true" outlineLevel="0" collapsed="false">
      <c r="A77" s="37" t="s">
        <v>203</v>
      </c>
      <c r="B77" s="37" t="s">
        <v>805</v>
      </c>
      <c r="C77" s="42" t="s">
        <v>13</v>
      </c>
      <c r="D77" s="39" t="s">
        <v>274</v>
      </c>
      <c r="E77" s="39" t="s">
        <v>116</v>
      </c>
      <c r="F77" s="39" t="s">
        <v>55</v>
      </c>
      <c r="G77" s="40" t="s">
        <v>17</v>
      </c>
      <c r="H77" s="40" t="s">
        <v>17</v>
      </c>
      <c r="I77" s="40" t="s">
        <v>17</v>
      </c>
      <c r="J77" s="40" t="str">
        <f aca="false">IF(G77="Sí", IF(H77="Sí", "DP", "SP"), IF(H77="Sí", "SD", "-"))</f>
        <v>-</v>
      </c>
      <c r="K77" s="36" t="str">
        <f aca="false">IF(IFERROR(L77,7)=7,"",RIGHT(L77,LEN(L77)-2)&amp;".")</f>
        <v>/A.</v>
      </c>
      <c r="L77" s="36" t="str">
        <f aca="false">IFERROR(__xludf.dummyfunction("CONCATENATE(ArrayFormula(""; ""&amp;QUERY(Hallazgos!A:F,""SELECT B WHERE E CONTAINS '""&amp;A77&amp;""' LABEL B ''"")))"),"#N/A")</f>
        <v>#N/A</v>
      </c>
    </row>
    <row r="78" customFormat="false" ht="15.75" hidden="false" customHeight="true" outlineLevel="0" collapsed="false">
      <c r="A78" s="37" t="s">
        <v>205</v>
      </c>
      <c r="B78" s="37" t="s">
        <v>280</v>
      </c>
      <c r="C78" s="42" t="s">
        <v>13</v>
      </c>
      <c r="D78" s="39" t="s">
        <v>274</v>
      </c>
      <c r="E78" s="39" t="s">
        <v>116</v>
      </c>
      <c r="F78" s="39" t="s">
        <v>55</v>
      </c>
      <c r="G78" s="40" t="s">
        <v>17</v>
      </c>
      <c r="H78" s="40" t="s">
        <v>17</v>
      </c>
      <c r="I78" s="40" t="s">
        <v>17</v>
      </c>
      <c r="J78" s="40" t="str">
        <f aca="false">IF(G78="Sí", IF(H78="Sí", "DP", "SP"), IF(H78="Sí", "SD", "-"))</f>
        <v>-</v>
      </c>
      <c r="K78" s="36" t="str">
        <f aca="false">IF(IFERROR(L78,7)=7,"",RIGHT(L78,LEN(L78)-2)&amp;".")</f>
        <v>/A.</v>
      </c>
      <c r="L78" s="36" t="str">
        <f aca="false">IFERROR(__xludf.dummyfunction("CONCATENATE(ArrayFormula(""; ""&amp;QUERY(Hallazgos!A:F,""SELECT B WHERE E CONTAINS '""&amp;A78&amp;""' LABEL B ''"")))"),"#N/A")</f>
        <v>#N/A</v>
      </c>
    </row>
    <row r="79" customFormat="false" ht="15.75" hidden="false" customHeight="true" outlineLevel="0" collapsed="false">
      <c r="A79" s="37" t="s">
        <v>207</v>
      </c>
      <c r="B79" s="37" t="s">
        <v>806</v>
      </c>
      <c r="C79" s="42" t="s">
        <v>41</v>
      </c>
      <c r="D79" s="39" t="s">
        <v>274</v>
      </c>
      <c r="E79" s="39" t="s">
        <v>81</v>
      </c>
      <c r="F79" s="39" t="s">
        <v>55</v>
      </c>
      <c r="G79" s="40" t="s">
        <v>17</v>
      </c>
      <c r="H79" s="40" t="s">
        <v>17</v>
      </c>
      <c r="I79" s="40" t="s">
        <v>17</v>
      </c>
      <c r="J79" s="40" t="str">
        <f aca="false">IF(G79="Sí", IF(H79="Sí", "DP", "SP"), IF(H79="Sí", "SD", "-"))</f>
        <v>-</v>
      </c>
      <c r="K79" s="36" t="str">
        <f aca="false">IF(IFERROR(L79,7)=7,"",RIGHT(L79,LEN(L79)-2)&amp;".")</f>
        <v>/A.</v>
      </c>
      <c r="L79" s="36" t="str">
        <f aca="false">IFERROR(__xludf.dummyfunction("CONCATENATE(ArrayFormula(""; ""&amp;QUERY(Hallazgos!A:F,""SELECT B WHERE E CONTAINS '""&amp;A79&amp;""' LABEL B ''"")))"),"#N/A")</f>
        <v>#N/A</v>
      </c>
    </row>
    <row r="80" customFormat="false" ht="15.75" hidden="false" customHeight="true" outlineLevel="0" collapsed="false">
      <c r="A80" s="37" t="s">
        <v>209</v>
      </c>
      <c r="B80" s="37" t="s">
        <v>284</v>
      </c>
      <c r="C80" s="42" t="s">
        <v>41</v>
      </c>
      <c r="D80" s="39" t="s">
        <v>274</v>
      </c>
      <c r="E80" s="39" t="s">
        <v>285</v>
      </c>
      <c r="F80" s="39" t="s">
        <v>55</v>
      </c>
      <c r="G80" s="40" t="s">
        <v>17</v>
      </c>
      <c r="H80" s="40" t="s">
        <v>17</v>
      </c>
      <c r="I80" s="40" t="s">
        <v>17</v>
      </c>
      <c r="J80" s="40" t="str">
        <f aca="false">IF(G80="Sí", IF(H80="Sí", "DP", "SP"), IF(H80="Sí", "SD", "-"))</f>
        <v>-</v>
      </c>
      <c r="K80" s="36" t="str">
        <f aca="false">IF(IFERROR(L80,7)=7,"",RIGHT(L80,LEN(L80)-2)&amp;".")</f>
        <v>/A.</v>
      </c>
      <c r="L80" s="36" t="str">
        <f aca="false">IFERROR(__xludf.dummyfunction("CONCATENATE(ArrayFormula(""; ""&amp;QUERY(Hallazgos!A:F,""SELECT B WHERE E CONTAINS '""&amp;A80&amp;""' LABEL B ''"")))"),"#N/A")</f>
        <v>#N/A</v>
      </c>
    </row>
    <row r="81" customFormat="false" ht="15.75" hidden="false" customHeight="true" outlineLevel="0" collapsed="false">
      <c r="A81" s="37" t="s">
        <v>211</v>
      </c>
      <c r="B81" s="37" t="s">
        <v>300</v>
      </c>
      <c r="C81" s="42" t="s">
        <v>13</v>
      </c>
      <c r="D81" s="39" t="s">
        <v>784</v>
      </c>
      <c r="E81" s="39" t="s">
        <v>81</v>
      </c>
      <c r="F81" s="39" t="s">
        <v>55</v>
      </c>
      <c r="G81" s="40" t="s">
        <v>17</v>
      </c>
      <c r="H81" s="40" t="s">
        <v>17</v>
      </c>
      <c r="I81" s="40" t="s">
        <v>17</v>
      </c>
      <c r="J81" s="40" t="str">
        <f aca="false">IF(G81="Sí", IF(H81="Sí", "DP", "SP"), IF(H81="Sí", "SD", "-"))</f>
        <v>-</v>
      </c>
      <c r="K81" s="36" t="str">
        <f aca="false">IF(IFERROR(L81,7)=7,"",RIGHT(L81,LEN(L81)-2)&amp;".")</f>
        <v>/A.</v>
      </c>
      <c r="L81" s="36" t="str">
        <f aca="false">IFERROR(__xludf.dummyfunction("CONCATENATE(ArrayFormula(""; ""&amp;QUERY(Hallazgos!A:F,""SELECT B WHERE E CONTAINS '""&amp;A81&amp;""' LABEL B ''"")))"),"#N/A")</f>
        <v>#N/A</v>
      </c>
    </row>
    <row r="82" customFormat="false" ht="15.75" hidden="false" customHeight="true" outlineLevel="0" collapsed="false">
      <c r="A82" s="37" t="s">
        <v>213</v>
      </c>
      <c r="B82" s="37" t="s">
        <v>302</v>
      </c>
      <c r="C82" s="42" t="s">
        <v>41</v>
      </c>
      <c r="D82" s="39" t="s">
        <v>784</v>
      </c>
      <c r="E82" s="39" t="s">
        <v>76</v>
      </c>
      <c r="F82" s="39" t="s">
        <v>55</v>
      </c>
      <c r="G82" s="40" t="s">
        <v>17</v>
      </c>
      <c r="H82" s="40" t="s">
        <v>17</v>
      </c>
      <c r="I82" s="40" t="s">
        <v>17</v>
      </c>
      <c r="J82" s="40" t="str">
        <f aca="false">IF(G82="Sí", IF(H82="Sí", "DP", "SP"), IF(H82="Sí", "SD", "-"))</f>
        <v>-</v>
      </c>
      <c r="K82" s="36" t="str">
        <f aca="false">IF(IFERROR(L82,7)=7,"",RIGHT(L82,LEN(L82)-2)&amp;".")</f>
        <v>/A.</v>
      </c>
      <c r="L82" s="36" t="str">
        <f aca="false">IFERROR(__xludf.dummyfunction("CONCATENATE(ArrayFormula(""; ""&amp;QUERY(Hallazgos!A:F,""SELECT B WHERE E CONTAINS '""&amp;A82&amp;""' LABEL B ''"")))"),"#N/A")</f>
        <v>#N/A</v>
      </c>
    </row>
    <row r="83" customFormat="false" ht="15.75" hidden="false" customHeight="true" outlineLevel="0" collapsed="false">
      <c r="A83" s="37" t="s">
        <v>215</v>
      </c>
      <c r="B83" s="37" t="s">
        <v>807</v>
      </c>
      <c r="C83" s="42" t="s">
        <v>41</v>
      </c>
      <c r="D83" s="39" t="s">
        <v>784</v>
      </c>
      <c r="E83" s="39" t="s">
        <v>81</v>
      </c>
      <c r="F83" s="39" t="s">
        <v>55</v>
      </c>
      <c r="G83" s="40" t="s">
        <v>17</v>
      </c>
      <c r="H83" s="40" t="s">
        <v>17</v>
      </c>
      <c r="I83" s="40" t="s">
        <v>17</v>
      </c>
      <c r="J83" s="40" t="str">
        <f aca="false">IF(G83="Sí", IF(H83="Sí", "DP", "SP"), IF(H83="Sí", "SD", "-"))</f>
        <v>-</v>
      </c>
      <c r="K83" s="36" t="str">
        <f aca="false">IF(IFERROR(L83,7)=7,"",RIGHT(L83,LEN(L83)-2)&amp;".")</f>
        <v>/A.</v>
      </c>
      <c r="L83" s="36" t="str">
        <f aca="false">IFERROR(__xludf.dummyfunction("CONCATENATE(ArrayFormula(""; ""&amp;QUERY(Hallazgos!A:F,""SELECT B WHERE E CONTAINS '""&amp;A83&amp;""' LABEL B ''"")))"),"#N/A")</f>
        <v>#N/A</v>
      </c>
    </row>
    <row r="84" customFormat="false" ht="15.75" hidden="false" customHeight="true" outlineLevel="0" collapsed="false">
      <c r="A84" s="37" t="s">
        <v>218</v>
      </c>
      <c r="B84" s="37" t="s">
        <v>808</v>
      </c>
      <c r="C84" s="42" t="s">
        <v>41</v>
      </c>
      <c r="D84" s="39" t="s">
        <v>784</v>
      </c>
      <c r="E84" s="39" t="s">
        <v>81</v>
      </c>
      <c r="F84" s="39" t="s">
        <v>55</v>
      </c>
      <c r="G84" s="40" t="s">
        <v>17</v>
      </c>
      <c r="H84" s="40" t="s">
        <v>17</v>
      </c>
      <c r="I84" s="40" t="s">
        <v>17</v>
      </c>
      <c r="J84" s="40" t="str">
        <f aca="false">IF(G84="Sí", IF(H84="Sí", "DP", "SP"), IF(H84="Sí", "SD", "-"))</f>
        <v>-</v>
      </c>
      <c r="K84" s="36" t="str">
        <f aca="false">IF(IFERROR(L84,7)=7,"",RIGHT(L84,LEN(L84)-2)&amp;".")</f>
        <v>/A.</v>
      </c>
      <c r="L84" s="36" t="str">
        <f aca="false">IFERROR(__xludf.dummyfunction("CONCATENATE(ArrayFormula(""; ""&amp;QUERY(Hallazgos!A:F,""SELECT B WHERE E CONTAINS '""&amp;A84&amp;""' LABEL B ''"")))"),"#N/A")</f>
        <v>#N/A</v>
      </c>
    </row>
    <row r="85" customFormat="false" ht="15.75" hidden="false" customHeight="true" outlineLevel="0" collapsed="false">
      <c r="A85" s="37" t="s">
        <v>220</v>
      </c>
      <c r="B85" s="37" t="s">
        <v>809</v>
      </c>
      <c r="C85" s="42" t="s">
        <v>41</v>
      </c>
      <c r="D85" s="39" t="s">
        <v>784</v>
      </c>
      <c r="E85" s="39" t="s">
        <v>81</v>
      </c>
      <c r="F85" s="39" t="s">
        <v>55</v>
      </c>
      <c r="G85" s="40" t="s">
        <v>17</v>
      </c>
      <c r="H85" s="40" t="s">
        <v>17</v>
      </c>
      <c r="I85" s="40" t="s">
        <v>17</v>
      </c>
      <c r="J85" s="40" t="str">
        <f aca="false">IF(G85="Sí", IF(H85="Sí", "DP", "SP"), IF(H85="Sí", "SD", "-"))</f>
        <v>-</v>
      </c>
      <c r="K85" s="36" t="str">
        <f aca="false">IF(IFERROR(L85,7)=7,"",RIGHT(L85,LEN(L85)-2)&amp;".")</f>
        <v>/A.</v>
      </c>
      <c r="L85" s="36" t="str">
        <f aca="false">IFERROR(__xludf.dummyfunction("CONCATENATE(ArrayFormula(""; ""&amp;QUERY(Hallazgos!A:F,""SELECT B WHERE E CONTAINS '""&amp;A85&amp;""' LABEL B ''"")))"),"#N/A")</f>
        <v>#N/A</v>
      </c>
    </row>
    <row r="86" customFormat="false" ht="15.75" hidden="false" customHeight="true" outlineLevel="0" collapsed="false">
      <c r="A86" s="37" t="s">
        <v>224</v>
      </c>
      <c r="B86" s="37" t="s">
        <v>810</v>
      </c>
      <c r="C86" s="42" t="s">
        <v>13</v>
      </c>
      <c r="D86" s="39" t="s">
        <v>784</v>
      </c>
      <c r="E86" s="39" t="s">
        <v>15</v>
      </c>
      <c r="F86" s="39" t="s">
        <v>55</v>
      </c>
      <c r="G86" s="40" t="s">
        <v>17</v>
      </c>
      <c r="H86" s="40" t="s">
        <v>17</v>
      </c>
      <c r="I86" s="40" t="s">
        <v>17</v>
      </c>
      <c r="J86" s="40" t="str">
        <f aca="false">IF(G86="Sí", IF(H86="Sí", "DP", "SP"), IF(H86="Sí", "SD", "-"))</f>
        <v>-</v>
      </c>
      <c r="K86" s="36" t="str">
        <f aca="false">IF(IFERROR(L86,7)=7,"",RIGHT(L86,LEN(L86)-2)&amp;".")</f>
        <v>/A.</v>
      </c>
      <c r="L86" s="36" t="str">
        <f aca="false">IFERROR(__xludf.dummyfunction("CONCATENATE(ArrayFormula(""; ""&amp;QUERY(Hallazgos!A:F,""SELECT B WHERE E CONTAINS '""&amp;A86&amp;""' LABEL B ''"")))"),"#N/A")</f>
        <v>#N/A</v>
      </c>
    </row>
    <row r="87" customFormat="false" ht="15.75" hidden="false" customHeight="true" outlineLevel="0" collapsed="false">
      <c r="A87" s="37" t="s">
        <v>226</v>
      </c>
      <c r="B87" s="37" t="s">
        <v>811</v>
      </c>
      <c r="C87" s="42" t="s">
        <v>13</v>
      </c>
      <c r="D87" s="39" t="s">
        <v>784</v>
      </c>
      <c r="E87" s="39" t="s">
        <v>15</v>
      </c>
      <c r="F87" s="39" t="s">
        <v>55</v>
      </c>
      <c r="G87" s="40" t="s">
        <v>17</v>
      </c>
      <c r="H87" s="40" t="s">
        <v>17</v>
      </c>
      <c r="I87" s="40" t="s">
        <v>17</v>
      </c>
      <c r="J87" s="40" t="str">
        <f aca="false">IF(G87="Sí", IF(H87="Sí", "DP", "SP"), IF(H87="Sí", "SD", "-"))</f>
        <v>-</v>
      </c>
      <c r="K87" s="36" t="str">
        <f aca="false">IF(IFERROR(L87,7)=7,"",RIGHT(L87,LEN(L87)-2)&amp;".")</f>
        <v>/A.</v>
      </c>
      <c r="L87" s="36" t="str">
        <f aca="false">IFERROR(__xludf.dummyfunction("CONCATENATE(ArrayFormula(""; ""&amp;QUERY(Hallazgos!A:F,""SELECT B WHERE E CONTAINS '""&amp;A87&amp;""' LABEL B ''"")))"),"#N/A")</f>
        <v>#N/A</v>
      </c>
    </row>
    <row r="88" customFormat="false" ht="15.75" hidden="false" customHeight="true" outlineLevel="0" collapsed="false">
      <c r="A88" s="37" t="s">
        <v>228</v>
      </c>
      <c r="B88" s="37" t="s">
        <v>812</v>
      </c>
      <c r="C88" s="42" t="s">
        <v>13</v>
      </c>
      <c r="D88" s="39" t="s">
        <v>784</v>
      </c>
      <c r="E88" s="39" t="s">
        <v>15</v>
      </c>
      <c r="F88" s="39" t="s">
        <v>55</v>
      </c>
      <c r="G88" s="40" t="s">
        <v>17</v>
      </c>
      <c r="H88" s="40" t="s">
        <v>17</v>
      </c>
      <c r="I88" s="40" t="s">
        <v>17</v>
      </c>
      <c r="J88" s="40" t="str">
        <f aca="false">IF(G88="Sí", IF(H88="Sí", "DP", "SP"), IF(H88="Sí", "SD", "-"))</f>
        <v>-</v>
      </c>
      <c r="K88" s="36" t="str">
        <f aca="false">IF(IFERROR(L88,7)=7,"",RIGHT(L88,LEN(L88)-2)&amp;".")</f>
        <v>/A.</v>
      </c>
      <c r="L88" s="36" t="str">
        <f aca="false">IFERROR(__xludf.dummyfunction("CONCATENATE(ArrayFormula(""; ""&amp;QUERY(Hallazgos!A:F,""SELECT B WHERE E CONTAINS '""&amp;A88&amp;""' LABEL B ''"")))"),"#N/A")</f>
        <v>#N/A</v>
      </c>
    </row>
    <row r="89" customFormat="false" ht="15.75" hidden="false" customHeight="true" outlineLevel="0" collapsed="false">
      <c r="A89" s="37" t="s">
        <v>231</v>
      </c>
      <c r="B89" s="37" t="s">
        <v>813</v>
      </c>
      <c r="C89" s="38" t="s">
        <v>13</v>
      </c>
      <c r="D89" s="39" t="s">
        <v>784</v>
      </c>
      <c r="E89" s="39" t="s">
        <v>15</v>
      </c>
      <c r="F89" s="39" t="s">
        <v>55</v>
      </c>
      <c r="G89" s="40" t="s">
        <v>17</v>
      </c>
      <c r="H89" s="40" t="s">
        <v>17</v>
      </c>
      <c r="I89" s="40" t="s">
        <v>17</v>
      </c>
      <c r="J89" s="40" t="str">
        <f aca="false">IF(G89="Sí", IF(H89="Sí", "DP", "SP"), IF(H89="Sí", "SD", "-"))</f>
        <v>-</v>
      </c>
      <c r="K89" s="36" t="str">
        <f aca="false">IF(IFERROR(L89,7)=7,"",RIGHT(L89,LEN(L89)-2)&amp;".")</f>
        <v>/A.</v>
      </c>
      <c r="L89" s="36" t="str">
        <f aca="false">IFERROR(__xludf.dummyfunction("CONCATENATE(ArrayFormula(""; ""&amp;QUERY(Hallazgos!A:F,""SELECT B WHERE E CONTAINS '""&amp;A89&amp;""' LABEL B ''"")))"),"#N/A")</f>
        <v>#N/A</v>
      </c>
    </row>
    <row r="90" customFormat="false" ht="15.75" hidden="false" customHeight="true" outlineLevel="0" collapsed="false">
      <c r="A90" s="37" t="s">
        <v>233</v>
      </c>
      <c r="B90" s="37" t="s">
        <v>814</v>
      </c>
      <c r="C90" s="38" t="s">
        <v>13</v>
      </c>
      <c r="D90" s="39" t="s">
        <v>784</v>
      </c>
      <c r="E90" s="39" t="s">
        <v>15</v>
      </c>
      <c r="F90" s="39" t="s">
        <v>55</v>
      </c>
      <c r="G90" s="40" t="s">
        <v>17</v>
      </c>
      <c r="H90" s="40" t="s">
        <v>17</v>
      </c>
      <c r="I90" s="40" t="s">
        <v>17</v>
      </c>
      <c r="J90" s="40" t="str">
        <f aca="false">IF(G90="Sí", IF(H90="Sí", "DP", "SP"), IF(H90="Sí", "SD", "-"))</f>
        <v>-</v>
      </c>
      <c r="K90" s="36" t="str">
        <f aca="false">IF(IFERROR(L90,7)=7,"",RIGHT(L90,LEN(L90)-2)&amp;".")</f>
        <v>/A.</v>
      </c>
      <c r="L90" s="36" t="str">
        <f aca="false">IFERROR(__xludf.dummyfunction("CONCATENATE(ArrayFormula(""; ""&amp;QUERY(Hallazgos!A:F,""SELECT B WHERE E CONTAINS '""&amp;A90&amp;""' LABEL B ''"")))"),"#N/A")</f>
        <v>#N/A</v>
      </c>
    </row>
    <row r="91" customFormat="false" ht="15.75" hidden="false" customHeight="true" outlineLevel="0" collapsed="false">
      <c r="A91" s="37" t="s">
        <v>237</v>
      </c>
      <c r="B91" s="37" t="s">
        <v>815</v>
      </c>
      <c r="C91" s="38" t="s">
        <v>38</v>
      </c>
      <c r="D91" s="39" t="s">
        <v>294</v>
      </c>
      <c r="E91" s="39" t="s">
        <v>81</v>
      </c>
      <c r="F91" s="39" t="s">
        <v>104</v>
      </c>
      <c r="G91" s="40" t="s">
        <v>17</v>
      </c>
      <c r="H91" s="40" t="s">
        <v>17</v>
      </c>
      <c r="I91" s="40" t="s">
        <v>17</v>
      </c>
      <c r="J91" s="40" t="str">
        <f aca="false">IF(G91="Sí", IF(H91="Sí", "DP", "SP"), IF(H91="Sí", "SD", "-"))</f>
        <v>-</v>
      </c>
      <c r="K91" s="36" t="str">
        <f aca="false">IF(IFERROR(L91,7)=7,"",RIGHT(L91,LEN(L91)-2)&amp;".")</f>
        <v>/A.</v>
      </c>
      <c r="L91" s="36" t="str">
        <f aca="false">IFERROR(__xludf.dummyfunction("CONCATENATE(ArrayFormula(""; ""&amp;QUERY(Hallazgos!A:F,""SELECT B WHERE E CONTAINS '""&amp;A91&amp;""' LABEL B ''"")))"),"#N/A")</f>
        <v>#N/A</v>
      </c>
    </row>
    <row r="92" customFormat="false" ht="15.75" hidden="false" customHeight="true" outlineLevel="0" collapsed="false">
      <c r="A92" s="41" t="s">
        <v>240</v>
      </c>
      <c r="B92" s="41" t="s">
        <v>314</v>
      </c>
      <c r="C92" s="42" t="s">
        <v>13</v>
      </c>
      <c r="D92" s="39" t="s">
        <v>784</v>
      </c>
      <c r="E92" s="39" t="s">
        <v>15</v>
      </c>
      <c r="F92" s="39" t="s">
        <v>55</v>
      </c>
      <c r="G92" s="40" t="s">
        <v>17</v>
      </c>
      <c r="H92" s="40" t="s">
        <v>17</v>
      </c>
      <c r="I92" s="40" t="s">
        <v>17</v>
      </c>
      <c r="J92" s="40" t="str">
        <f aca="false">IF(G92="Sí", IF(H92="Sí", "DP", "SP"), IF(H92="Sí", "SD", "-"))</f>
        <v>-</v>
      </c>
      <c r="K92" s="36" t="str">
        <f aca="false">IF(IFERROR(L92,7)=7,"",RIGHT(L92,LEN(L92)-2)&amp;".")</f>
        <v>/A.</v>
      </c>
      <c r="L92" s="36" t="str">
        <f aca="false">IFERROR(__xludf.dummyfunction("CONCATENATE(ArrayFormula(""; ""&amp;QUERY(Hallazgos!A:F,""SELECT B WHERE E CONTAINS '""&amp;A92&amp;""' LABEL B ''"")))"),"#N/A")</f>
        <v>#N/A</v>
      </c>
    </row>
    <row r="93" customFormat="false" ht="15.75" hidden="false" customHeight="true" outlineLevel="0" collapsed="false">
      <c r="A93" s="37" t="s">
        <v>242</v>
      </c>
      <c r="B93" s="37" t="s">
        <v>816</v>
      </c>
      <c r="C93" s="38" t="s">
        <v>41</v>
      </c>
      <c r="D93" s="39" t="s">
        <v>784</v>
      </c>
      <c r="E93" s="39" t="s">
        <v>81</v>
      </c>
      <c r="F93" s="39" t="s">
        <v>55</v>
      </c>
      <c r="G93" s="40" t="s">
        <v>17</v>
      </c>
      <c r="H93" s="40" t="s">
        <v>17</v>
      </c>
      <c r="I93" s="40" t="s">
        <v>17</v>
      </c>
      <c r="J93" s="40" t="str">
        <f aca="false">IF(G93="Sí", IF(H93="Sí", "DP", "SP"), IF(H93="Sí", "SD", "-"))</f>
        <v>-</v>
      </c>
      <c r="K93" s="36" t="str">
        <f aca="false">IF(IFERROR(L93,7)=7,"",RIGHT(L93,LEN(L93)-2)&amp;".")</f>
        <v>/A.</v>
      </c>
      <c r="L93" s="36" t="str">
        <f aca="false">IFERROR(__xludf.dummyfunction("CONCATENATE(ArrayFormula(""; ""&amp;QUERY(Hallazgos!A:F,""SELECT B WHERE E CONTAINS '""&amp;A93&amp;""' LABEL B ''"")))"),"#N/A")</f>
        <v>#N/A</v>
      </c>
    </row>
    <row r="94" customFormat="false" ht="15.75" hidden="false" customHeight="true" outlineLevel="0" collapsed="false">
      <c r="A94" s="37" t="s">
        <v>244</v>
      </c>
      <c r="B94" s="37" t="s">
        <v>817</v>
      </c>
      <c r="C94" s="38" t="s">
        <v>13</v>
      </c>
      <c r="D94" s="39" t="s">
        <v>784</v>
      </c>
      <c r="E94" s="39" t="s">
        <v>15</v>
      </c>
      <c r="F94" s="39" t="s">
        <v>55</v>
      </c>
      <c r="G94" s="40" t="s">
        <v>17</v>
      </c>
      <c r="H94" s="40" t="s">
        <v>17</v>
      </c>
      <c r="I94" s="40" t="s">
        <v>17</v>
      </c>
      <c r="J94" s="40" t="str">
        <f aca="false">IF(G94="Sí", IF(H94="Sí", "DP", "SP"), IF(H94="Sí", "SD", "-"))</f>
        <v>-</v>
      </c>
      <c r="K94" s="36" t="str">
        <f aca="false">IF(IFERROR(L94,7)=7,"",RIGHT(L94,LEN(L94)-2)&amp;".")</f>
        <v>/A.</v>
      </c>
      <c r="L94" s="36" t="str">
        <f aca="false">IFERROR(__xludf.dummyfunction("CONCATENATE(ArrayFormula(""; ""&amp;QUERY(Hallazgos!A:F,""SELECT B WHERE E CONTAINS '""&amp;A94&amp;""' LABEL B ''"")))"),"#N/A")</f>
        <v>#N/A</v>
      </c>
    </row>
    <row r="95" customFormat="false" ht="15.75" hidden="false" customHeight="true" outlineLevel="0" collapsed="false">
      <c r="A95" s="37" t="s">
        <v>246</v>
      </c>
      <c r="B95" s="37" t="s">
        <v>318</v>
      </c>
      <c r="C95" s="38" t="s">
        <v>41</v>
      </c>
      <c r="D95" s="39" t="s">
        <v>784</v>
      </c>
      <c r="E95" s="39" t="s">
        <v>88</v>
      </c>
      <c r="F95" s="39" t="s">
        <v>55</v>
      </c>
      <c r="G95" s="40" t="s">
        <v>17</v>
      </c>
      <c r="H95" s="40" t="s">
        <v>17</v>
      </c>
      <c r="I95" s="40" t="s">
        <v>17</v>
      </c>
      <c r="J95" s="40" t="str">
        <f aca="false">IF(G95="Sí", IF(H95="Sí", "DP", "SP"), IF(H95="Sí", "SD", "-"))</f>
        <v>-</v>
      </c>
      <c r="K95" s="36" t="str">
        <f aca="false">IF(IFERROR(L95,7)=7,"",RIGHT(L95,LEN(L95)-2)&amp;".")</f>
        <v>/A.</v>
      </c>
      <c r="L95" s="36" t="str">
        <f aca="false">IFERROR(__xludf.dummyfunction("CONCATENATE(ArrayFormula(""; ""&amp;QUERY(Hallazgos!A:F,""SELECT B WHERE E CONTAINS '""&amp;A95&amp;""' LABEL B ''"")))"),"#N/A")</f>
        <v>#N/A</v>
      </c>
    </row>
    <row r="96" customFormat="false" ht="15.75" hidden="false" customHeight="true" outlineLevel="0" collapsed="false">
      <c r="A96" s="37" t="s">
        <v>248</v>
      </c>
      <c r="B96" s="37" t="s">
        <v>320</v>
      </c>
      <c r="C96" s="38" t="s">
        <v>41</v>
      </c>
      <c r="D96" s="39" t="s">
        <v>784</v>
      </c>
      <c r="E96" s="39" t="s">
        <v>88</v>
      </c>
      <c r="F96" s="39" t="s">
        <v>55</v>
      </c>
      <c r="G96" s="40" t="s">
        <v>17</v>
      </c>
      <c r="H96" s="40" t="s">
        <v>17</v>
      </c>
      <c r="I96" s="40" t="s">
        <v>17</v>
      </c>
      <c r="J96" s="40" t="str">
        <f aca="false">IF(G96="Sí", IF(H96="Sí", "DP", "SP"), IF(H96="Sí", "SD", "-"))</f>
        <v>-</v>
      </c>
      <c r="K96" s="36" t="str">
        <f aca="false">IF(IFERROR(L96,7)=7,"",RIGHT(L96,LEN(L96)-2)&amp;".")</f>
        <v>/A.</v>
      </c>
      <c r="L96" s="36" t="str">
        <f aca="false">IFERROR(__xludf.dummyfunction("CONCATENATE(ArrayFormula(""; ""&amp;QUERY(Hallazgos!A:F,""SELECT B WHERE E CONTAINS '""&amp;A96&amp;""' LABEL B ''"")))"),"#N/A")</f>
        <v>#N/A</v>
      </c>
    </row>
    <row r="97" customFormat="false" ht="15.75" hidden="false" customHeight="true" outlineLevel="0" collapsed="false">
      <c r="A97" s="37" t="s">
        <v>250</v>
      </c>
      <c r="B97" s="37" t="s">
        <v>818</v>
      </c>
      <c r="C97" s="38" t="s">
        <v>41</v>
      </c>
      <c r="D97" s="39" t="s">
        <v>784</v>
      </c>
      <c r="E97" s="39" t="s">
        <v>88</v>
      </c>
      <c r="F97" s="39" t="s">
        <v>55</v>
      </c>
      <c r="G97" s="40" t="s">
        <v>17</v>
      </c>
      <c r="H97" s="40" t="s">
        <v>17</v>
      </c>
      <c r="I97" s="40" t="s">
        <v>17</v>
      </c>
      <c r="J97" s="40" t="str">
        <f aca="false">IF(G97="Sí", IF(H97="Sí", "DP", "SP"), IF(H97="Sí", "SD", "-"))</f>
        <v>-</v>
      </c>
      <c r="K97" s="36" t="str">
        <f aca="false">IF(IFERROR(L97,7)=7,"",RIGHT(L97,LEN(L97)-2)&amp;".")</f>
        <v>/A.</v>
      </c>
      <c r="L97" s="36" t="str">
        <f aca="false">IFERROR(__xludf.dummyfunction("CONCATENATE(ArrayFormula(""; ""&amp;QUERY(Hallazgos!A:F,""SELECT B WHERE E CONTAINS '""&amp;A97&amp;""' LABEL B ''"")))"),"#N/A")</f>
        <v>#N/A</v>
      </c>
    </row>
    <row r="98" customFormat="false" ht="15.75" hidden="false" customHeight="true" outlineLevel="0" collapsed="false">
      <c r="A98" s="37" t="s">
        <v>252</v>
      </c>
      <c r="B98" s="37" t="s">
        <v>819</v>
      </c>
      <c r="C98" s="38" t="s">
        <v>13</v>
      </c>
      <c r="D98" s="39" t="s">
        <v>784</v>
      </c>
      <c r="E98" s="39" t="s">
        <v>15</v>
      </c>
      <c r="F98" s="39" t="s">
        <v>55</v>
      </c>
      <c r="G98" s="40" t="s">
        <v>17</v>
      </c>
      <c r="H98" s="40" t="s">
        <v>17</v>
      </c>
      <c r="I98" s="40" t="s">
        <v>17</v>
      </c>
      <c r="J98" s="40" t="str">
        <f aca="false">IF(G98="Sí", IF(H98="Sí", "DP", "SP"), IF(H98="Sí", "SD", "-"))</f>
        <v>-</v>
      </c>
      <c r="K98" s="36" t="str">
        <f aca="false">IF(IFERROR(L98,7)=7,"",RIGHT(L98,LEN(L98)-2)&amp;".")</f>
        <v>/A.</v>
      </c>
      <c r="L98" s="36" t="str">
        <f aca="false">IFERROR(__xludf.dummyfunction("CONCATENATE(ArrayFormula(""; ""&amp;QUERY(Hallazgos!A:F,""SELECT B WHERE E CONTAINS '""&amp;A98&amp;""' LABEL B ''"")))"),"#N/A")</f>
        <v>#N/A</v>
      </c>
    </row>
    <row r="99" customFormat="false" ht="15.75" hidden="false" customHeight="true" outlineLevel="0" collapsed="false">
      <c r="A99" s="37" t="s">
        <v>254</v>
      </c>
      <c r="B99" s="37" t="s">
        <v>820</v>
      </c>
      <c r="C99" s="38" t="s">
        <v>13</v>
      </c>
      <c r="D99" s="39" t="s">
        <v>784</v>
      </c>
      <c r="E99" s="39" t="s">
        <v>15</v>
      </c>
      <c r="F99" s="39" t="s">
        <v>55</v>
      </c>
      <c r="G99" s="40" t="s">
        <v>17</v>
      </c>
      <c r="H99" s="40" t="s">
        <v>17</v>
      </c>
      <c r="I99" s="40" t="s">
        <v>17</v>
      </c>
      <c r="J99" s="40" t="str">
        <f aca="false">IF(G99="Sí", IF(H99="Sí", "DP", "SP"), IF(H99="Sí", "SD", "-"))</f>
        <v>-</v>
      </c>
      <c r="K99" s="36" t="str">
        <f aca="false">IF(IFERROR(L99,7)=7,"",RIGHT(L99,LEN(L99)-2)&amp;".")</f>
        <v>/A.</v>
      </c>
      <c r="L99" s="36" t="str">
        <f aca="false">IFERROR(__xludf.dummyfunction("CONCATENATE(ArrayFormula(""; ""&amp;QUERY(Hallazgos!A:F,""SELECT B WHERE E CONTAINS '""&amp;A99&amp;""' LABEL B ''"")))"),"#N/A")</f>
        <v>#N/A</v>
      </c>
    </row>
    <row r="100" customFormat="false" ht="15.75" hidden="false" customHeight="true" outlineLevel="0" collapsed="false">
      <c r="A100" s="37" t="s">
        <v>256</v>
      </c>
      <c r="B100" s="37" t="s">
        <v>332</v>
      </c>
      <c r="C100" s="42" t="s">
        <v>41</v>
      </c>
      <c r="D100" s="39" t="s">
        <v>294</v>
      </c>
      <c r="E100" s="39" t="s">
        <v>88</v>
      </c>
      <c r="F100" s="39" t="s">
        <v>55</v>
      </c>
      <c r="G100" s="40" t="s">
        <v>17</v>
      </c>
      <c r="H100" s="40" t="s">
        <v>17</v>
      </c>
      <c r="I100" s="40" t="s">
        <v>17</v>
      </c>
      <c r="J100" s="40" t="str">
        <f aca="false">IF(G100="Sí", IF(H100="Sí", "DP", "SP"), IF(H100="Sí", "SD", "-"))</f>
        <v>-</v>
      </c>
      <c r="K100" s="36" t="str">
        <f aca="false">IF(IFERROR(L100,7)=7,"",RIGHT(L100,LEN(L100)-2)&amp;".")</f>
        <v>/A.</v>
      </c>
      <c r="L100" s="36" t="str">
        <f aca="false">IFERROR(__xludf.dummyfunction("CONCATENATE(ArrayFormula(""; ""&amp;QUERY(Hallazgos!A:F,""SELECT B WHERE E CONTAINS '""&amp;A100&amp;""' LABEL B ''"")))"),"#N/A")</f>
        <v>#N/A</v>
      </c>
    </row>
    <row r="101" customFormat="false" ht="15.75" hidden="false" customHeight="true" outlineLevel="0" collapsed="false">
      <c r="A101" s="37" t="s">
        <v>258</v>
      </c>
      <c r="B101" s="37" t="s">
        <v>821</v>
      </c>
      <c r="C101" s="38" t="s">
        <v>41</v>
      </c>
      <c r="D101" s="39" t="s">
        <v>784</v>
      </c>
      <c r="E101" s="39" t="s">
        <v>88</v>
      </c>
      <c r="F101" s="39" t="s">
        <v>55</v>
      </c>
      <c r="G101" s="40" t="s">
        <v>17</v>
      </c>
      <c r="H101" s="40" t="s">
        <v>17</v>
      </c>
      <c r="I101" s="40" t="s">
        <v>17</v>
      </c>
      <c r="J101" s="40" t="str">
        <f aca="false">IF(G101="Sí", IF(H101="Sí", "DP", "SP"), IF(H101="Sí", "SD", "-"))</f>
        <v>-</v>
      </c>
      <c r="K101" s="36" t="str">
        <f aca="false">IF(IFERROR(L101,7)=7,"",RIGHT(L101,LEN(L101)-2)&amp;".")</f>
        <v>/A.</v>
      </c>
      <c r="L101" s="36" t="str">
        <f aca="false">IFERROR(__xludf.dummyfunction("CONCATENATE(ArrayFormula(""; ""&amp;QUERY(Hallazgos!A:F,""SELECT B WHERE E CONTAINS '""&amp;A101&amp;""' LABEL B ''"")))"),"#N/A")</f>
        <v>#N/A</v>
      </c>
    </row>
    <row r="102" customFormat="false" ht="15.75" hidden="false" customHeight="true" outlineLevel="0" collapsed="false">
      <c r="A102" s="37" t="s">
        <v>260</v>
      </c>
      <c r="B102" s="37" t="s">
        <v>822</v>
      </c>
      <c r="C102" s="38" t="s">
        <v>41</v>
      </c>
      <c r="D102" s="39" t="s">
        <v>337</v>
      </c>
      <c r="E102" s="39" t="s">
        <v>15</v>
      </c>
      <c r="F102" s="39" t="s">
        <v>73</v>
      </c>
      <c r="G102" s="40" t="s">
        <v>17</v>
      </c>
      <c r="H102" s="40" t="s">
        <v>17</v>
      </c>
      <c r="I102" s="40" t="s">
        <v>17</v>
      </c>
      <c r="J102" s="40" t="str">
        <f aca="false">IF(G102="Sí", IF(H102="Sí", "DP", "SP"), IF(H102="Sí", "SD", "-"))</f>
        <v>-</v>
      </c>
      <c r="K102" s="36" t="str">
        <f aca="false">IF(IFERROR(L102,7)=7,"",RIGHT(L102,LEN(L102)-2)&amp;".")</f>
        <v>/A.</v>
      </c>
      <c r="L102" s="36" t="str">
        <f aca="false">IFERROR(__xludf.dummyfunction("CONCATENATE(ArrayFormula(""; ""&amp;QUERY(Hallazgos!A:F,""SELECT B WHERE E CONTAINS '""&amp;A102&amp;""' LABEL B ''"")))"),"#N/A")</f>
        <v>#N/A</v>
      </c>
    </row>
    <row r="103" customFormat="false" ht="15.75" hidden="false" customHeight="true" outlineLevel="0" collapsed="false">
      <c r="A103" s="37" t="s">
        <v>262</v>
      </c>
      <c r="B103" s="37" t="s">
        <v>823</v>
      </c>
      <c r="C103" s="38" t="s">
        <v>38</v>
      </c>
      <c r="D103" s="39" t="s">
        <v>217</v>
      </c>
      <c r="E103" s="39" t="s">
        <v>81</v>
      </c>
      <c r="F103" s="39" t="s">
        <v>55</v>
      </c>
      <c r="G103" s="40" t="s">
        <v>17</v>
      </c>
      <c r="H103" s="40" t="s">
        <v>17</v>
      </c>
      <c r="I103" s="40" t="s">
        <v>17</v>
      </c>
      <c r="J103" s="40" t="str">
        <f aca="false">IF(G103="Sí", IF(H103="Sí", "DP", "SP"), IF(H103="Sí", "SD", "-"))</f>
        <v>-</v>
      </c>
      <c r="K103" s="36" t="str">
        <f aca="false">IF(IFERROR(L103,7)=7,"",RIGHT(L103,LEN(L103)-2)&amp;".")</f>
        <v>/A.</v>
      </c>
      <c r="L103" s="36" t="str">
        <f aca="false">IFERROR(__xludf.dummyfunction("CONCATENATE(ArrayFormula(""; ""&amp;QUERY(Hallazgos!A:F,""SELECT B WHERE E CONTAINS '""&amp;A103&amp;""' LABEL B ''"")))"),"#N/A")</f>
        <v>#N/A</v>
      </c>
    </row>
    <row r="104" customFormat="false" ht="15.75" hidden="false" customHeight="true" outlineLevel="0" collapsed="false">
      <c r="A104" s="37" t="s">
        <v>264</v>
      </c>
      <c r="B104" s="37" t="s">
        <v>221</v>
      </c>
      <c r="C104" s="38" t="s">
        <v>41</v>
      </c>
      <c r="D104" s="39" t="s">
        <v>217</v>
      </c>
      <c r="E104" s="39" t="s">
        <v>88</v>
      </c>
      <c r="F104" s="39" t="s">
        <v>55</v>
      </c>
      <c r="G104" s="40" t="s">
        <v>17</v>
      </c>
      <c r="H104" s="40" t="s">
        <v>17</v>
      </c>
      <c r="I104" s="40" t="s">
        <v>17</v>
      </c>
      <c r="J104" s="40" t="str">
        <f aca="false">IF(G104="Sí", IF(H104="Sí", "DP", "SP"), IF(H104="Sí", "SD", "-"))</f>
        <v>-</v>
      </c>
      <c r="K104" s="36" t="str">
        <f aca="false">IF(IFERROR(L104,7)=7,"",RIGHT(L104,LEN(L104)-2)&amp;".")</f>
        <v>/A.</v>
      </c>
      <c r="L104" s="36" t="str">
        <f aca="false">IFERROR(__xludf.dummyfunction("CONCATENATE(ArrayFormula(""; ""&amp;QUERY(Hallazgos!A:F,""SELECT B WHERE E CONTAINS '""&amp;A104&amp;""' LABEL B ''"")))"),"#N/A")</f>
        <v>#N/A</v>
      </c>
    </row>
    <row r="105" customFormat="false" ht="15.75" hidden="false" customHeight="true" outlineLevel="0" collapsed="false">
      <c r="A105" s="41" t="s">
        <v>266</v>
      </c>
      <c r="B105" s="41" t="s">
        <v>824</v>
      </c>
      <c r="C105" s="42" t="s">
        <v>41</v>
      </c>
      <c r="D105" s="39" t="s">
        <v>217</v>
      </c>
      <c r="E105" s="39" t="s">
        <v>88</v>
      </c>
      <c r="F105" s="39" t="s">
        <v>55</v>
      </c>
      <c r="G105" s="40" t="s">
        <v>17</v>
      </c>
      <c r="H105" s="40" t="s">
        <v>17</v>
      </c>
      <c r="I105" s="40" t="s">
        <v>17</v>
      </c>
      <c r="J105" s="40" t="str">
        <f aca="false">IF(G105="Sí", IF(H105="Sí", "DP", "SP"), IF(H105="Sí", "SD", "-"))</f>
        <v>-</v>
      </c>
      <c r="K105" s="36" t="str">
        <f aca="false">IF(IFERROR(L105,7)=7,"",RIGHT(L105,LEN(L105)-2)&amp;".")</f>
        <v>/A.</v>
      </c>
      <c r="L105" s="36" t="str">
        <f aca="false">IFERROR(__xludf.dummyfunction("CONCATENATE(ArrayFormula(""; ""&amp;QUERY(Hallazgos!A:F,""SELECT B WHERE E CONTAINS '""&amp;A105&amp;""' LABEL B ''"")))"),"#N/A")</f>
        <v>#N/A</v>
      </c>
    </row>
    <row r="106" customFormat="false" ht="15.75" hidden="false" customHeight="true" outlineLevel="0" collapsed="false">
      <c r="A106" s="37" t="s">
        <v>268</v>
      </c>
      <c r="B106" s="37" t="s">
        <v>825</v>
      </c>
      <c r="C106" s="38" t="s">
        <v>41</v>
      </c>
      <c r="D106" s="39" t="s">
        <v>217</v>
      </c>
      <c r="E106" s="39" t="s">
        <v>88</v>
      </c>
      <c r="F106" s="39" t="s">
        <v>55</v>
      </c>
      <c r="G106" s="40" t="s">
        <v>17</v>
      </c>
      <c r="H106" s="40" t="s">
        <v>17</v>
      </c>
      <c r="I106" s="40" t="s">
        <v>17</v>
      </c>
      <c r="J106" s="40" t="str">
        <f aca="false">IF(G106="Sí", IF(H106="Sí", "DP", "SP"), IF(H106="Sí", "SD", "-"))</f>
        <v>-</v>
      </c>
      <c r="K106" s="36" t="str">
        <f aca="false">IF(IFERROR(L106,7)=7,"",RIGHT(L106,LEN(L106)-2)&amp;".")</f>
        <v>/A.</v>
      </c>
      <c r="L106" s="36" t="str">
        <f aca="false">IFERROR(__xludf.dummyfunction("CONCATENATE(ArrayFormula(""; ""&amp;QUERY(Hallazgos!A:F,""SELECT B WHERE E CONTAINS '""&amp;A106&amp;""' LABEL B ''"")))"),"#N/A")</f>
        <v>#N/A</v>
      </c>
    </row>
    <row r="107" customFormat="false" ht="15.75" hidden="false" customHeight="true" outlineLevel="0" collapsed="false">
      <c r="A107" s="37" t="s">
        <v>270</v>
      </c>
      <c r="B107" s="37" t="s">
        <v>826</v>
      </c>
      <c r="C107" s="38" t="s">
        <v>41</v>
      </c>
      <c r="D107" s="39" t="s">
        <v>217</v>
      </c>
      <c r="E107" s="39" t="s">
        <v>88</v>
      </c>
      <c r="F107" s="39" t="s">
        <v>55</v>
      </c>
      <c r="G107" s="40" t="s">
        <v>17</v>
      </c>
      <c r="H107" s="40" t="s">
        <v>17</v>
      </c>
      <c r="I107" s="40" t="s">
        <v>17</v>
      </c>
      <c r="J107" s="40" t="str">
        <f aca="false">IF(G107="Sí", IF(H107="Sí", "DP", "SP"), IF(H107="Sí", "SD", "-"))</f>
        <v>-</v>
      </c>
      <c r="K107" s="36" t="str">
        <f aca="false">IF(IFERROR(L107,7)=7,"",RIGHT(L107,LEN(L107)-2)&amp;".")</f>
        <v>/A.</v>
      </c>
      <c r="L107" s="36" t="str">
        <f aca="false">IFERROR(__xludf.dummyfunction("CONCATENATE(ArrayFormula(""; ""&amp;QUERY(Hallazgos!A:F,""SELECT B WHERE E CONTAINS '""&amp;A107&amp;""' LABEL B ''"")))"),"#N/A")</f>
        <v>#N/A</v>
      </c>
    </row>
    <row r="108" customFormat="false" ht="15.75" hidden="false" customHeight="true" outlineLevel="0" collapsed="false">
      <c r="A108" s="37" t="s">
        <v>272</v>
      </c>
      <c r="B108" s="37" t="s">
        <v>343</v>
      </c>
      <c r="C108" s="38" t="s">
        <v>41</v>
      </c>
      <c r="D108" s="39" t="s">
        <v>337</v>
      </c>
      <c r="E108" s="39" t="s">
        <v>81</v>
      </c>
      <c r="F108" s="39" t="s">
        <v>55</v>
      </c>
      <c r="G108" s="40" t="s">
        <v>17</v>
      </c>
      <c r="H108" s="40" t="s">
        <v>17</v>
      </c>
      <c r="I108" s="40" t="s">
        <v>17</v>
      </c>
      <c r="J108" s="40" t="str">
        <f aca="false">IF(G108="Sí", IF(H108="Sí", "DP", "SP"), IF(H108="Sí", "SD", "-"))</f>
        <v>-</v>
      </c>
      <c r="K108" s="36" t="str">
        <f aca="false">IF(IFERROR(L108,7)=7,"",RIGHT(L108,LEN(L108)-2)&amp;".")</f>
        <v>/A.</v>
      </c>
      <c r="L108" s="36" t="str">
        <f aca="false">IFERROR(__xludf.dummyfunction("CONCATENATE(ArrayFormula(""; ""&amp;QUERY(Hallazgos!A:F,""SELECT B WHERE E CONTAINS '""&amp;A108&amp;""' LABEL B ''"")))"),"#N/A")</f>
        <v>#N/A</v>
      </c>
    </row>
    <row r="109" customFormat="false" ht="15.75" hidden="false" customHeight="true" outlineLevel="0" collapsed="false">
      <c r="A109" s="37" t="s">
        <v>275</v>
      </c>
      <c r="B109" s="37" t="s">
        <v>827</v>
      </c>
      <c r="C109" s="38" t="s">
        <v>41</v>
      </c>
      <c r="D109" s="39" t="s">
        <v>337</v>
      </c>
      <c r="E109" s="39" t="s">
        <v>81</v>
      </c>
      <c r="F109" s="39" t="s">
        <v>55</v>
      </c>
      <c r="G109" s="40" t="s">
        <v>17</v>
      </c>
      <c r="H109" s="40" t="s">
        <v>17</v>
      </c>
      <c r="I109" s="40" t="s">
        <v>17</v>
      </c>
      <c r="J109" s="40" t="str">
        <f aca="false">IF(G109="Sí", IF(H109="Sí", "DP", "SP"), IF(H109="Sí", "SD", "-"))</f>
        <v>-</v>
      </c>
      <c r="K109" s="36" t="str">
        <f aca="false">IF(IFERROR(L109,7)=7,"",RIGHT(L109,LEN(L109)-2)&amp;".")</f>
        <v>/A.</v>
      </c>
      <c r="L109" s="36" t="str">
        <f aca="false">IFERROR(__xludf.dummyfunction("CONCATENATE(ArrayFormula(""; ""&amp;QUERY(Hallazgos!A:F,""SELECT B WHERE E CONTAINS '""&amp;A109&amp;""' LABEL B ''"")))"),"#N/A")</f>
        <v>#N/A</v>
      </c>
    </row>
    <row r="110" customFormat="false" ht="15.75" hidden="false" customHeight="true" outlineLevel="0" collapsed="false">
      <c r="A110" s="37" t="s">
        <v>277</v>
      </c>
      <c r="B110" s="37" t="s">
        <v>828</v>
      </c>
      <c r="C110" s="38" t="s">
        <v>41</v>
      </c>
      <c r="D110" s="39" t="s">
        <v>337</v>
      </c>
      <c r="E110" s="39" t="s">
        <v>76</v>
      </c>
      <c r="F110" s="39" t="s">
        <v>55</v>
      </c>
      <c r="G110" s="40" t="s">
        <v>17</v>
      </c>
      <c r="H110" s="40" t="s">
        <v>17</v>
      </c>
      <c r="I110" s="40" t="s">
        <v>17</v>
      </c>
      <c r="J110" s="40" t="str">
        <f aca="false">IF(G110="Sí", IF(H110="Sí", "DP", "SP"), IF(H110="Sí", "SD", "-"))</f>
        <v>-</v>
      </c>
      <c r="K110" s="36" t="str">
        <f aca="false">IF(IFERROR(L110,7)=7,"",RIGHT(L110,LEN(L110)-2)&amp;".")</f>
        <v>/A.</v>
      </c>
      <c r="L110" s="36" t="str">
        <f aca="false">IFERROR(__xludf.dummyfunction("CONCATENATE(ArrayFormula(""; ""&amp;QUERY(Hallazgos!A:F,""SELECT B WHERE E CONTAINS '""&amp;A110&amp;""' LABEL B ''"")))"),"#N/A")</f>
        <v>#N/A</v>
      </c>
    </row>
    <row r="111" customFormat="false" ht="15.75" hidden="false" customHeight="true" outlineLevel="0" collapsed="false">
      <c r="A111" s="37" t="s">
        <v>279</v>
      </c>
      <c r="B111" s="37" t="s">
        <v>349</v>
      </c>
      <c r="C111" s="38" t="s">
        <v>41</v>
      </c>
      <c r="D111" s="39" t="s">
        <v>337</v>
      </c>
      <c r="E111" s="39" t="s">
        <v>54</v>
      </c>
      <c r="F111" s="39" t="s">
        <v>55</v>
      </c>
      <c r="G111" s="40" t="s">
        <v>17</v>
      </c>
      <c r="H111" s="40" t="s">
        <v>17</v>
      </c>
      <c r="I111" s="40" t="s">
        <v>17</v>
      </c>
      <c r="J111" s="40" t="str">
        <f aca="false">IF(G111="Sí", IF(H111="Sí", "DP", "SP"), IF(H111="Sí", "SD", "-"))</f>
        <v>-</v>
      </c>
      <c r="K111" s="36" t="str">
        <f aca="false">IF(IFERROR(L111,7)=7,"",RIGHT(L111,LEN(L111)-2)&amp;".")</f>
        <v>/A.</v>
      </c>
      <c r="L111" s="36" t="str">
        <f aca="false">IFERROR(__xludf.dummyfunction("CONCATENATE(ArrayFormula(""; ""&amp;QUERY(Hallazgos!A:F,""SELECT B WHERE E CONTAINS '""&amp;A111&amp;""' LABEL B ''"")))"),"#N/A")</f>
        <v>#N/A</v>
      </c>
    </row>
    <row r="112" customFormat="false" ht="15.75" hidden="false" customHeight="true" outlineLevel="0" collapsed="false">
      <c r="A112" s="41" t="s">
        <v>281</v>
      </c>
      <c r="B112" s="41" t="s">
        <v>403</v>
      </c>
      <c r="C112" s="42" t="s">
        <v>41</v>
      </c>
      <c r="D112" s="39" t="s">
        <v>399</v>
      </c>
      <c r="E112" s="39" t="s">
        <v>88</v>
      </c>
      <c r="F112" s="39" t="s">
        <v>55</v>
      </c>
      <c r="G112" s="40" t="s">
        <v>17</v>
      </c>
      <c r="H112" s="40" t="s">
        <v>17</v>
      </c>
      <c r="I112" s="40" t="s">
        <v>17</v>
      </c>
      <c r="J112" s="40" t="str">
        <f aca="false">IF(G112="Sí", IF(H112="Sí", "DP", "SP"), IF(H112="Sí", "SD", "-"))</f>
        <v>-</v>
      </c>
      <c r="K112" s="36" t="str">
        <f aca="false">IF(IFERROR(L112,7)=7,"",RIGHT(L112,LEN(L112)-2)&amp;".")</f>
        <v>/A.</v>
      </c>
      <c r="L112" s="36" t="str">
        <f aca="false">IFERROR(__xludf.dummyfunction("CONCATENATE(ArrayFormula(""; ""&amp;QUERY(Hallazgos!A:F,""SELECT B WHERE E CONTAINS '""&amp;A112&amp;""' LABEL B ''"")))"),"#N/A")</f>
        <v>#N/A</v>
      </c>
    </row>
    <row r="113" customFormat="false" ht="15.75" hidden="false" customHeight="true" outlineLevel="0" collapsed="false">
      <c r="A113" s="37" t="s">
        <v>283</v>
      </c>
      <c r="B113" s="37" t="s">
        <v>500</v>
      </c>
      <c r="C113" s="38" t="s">
        <v>41</v>
      </c>
      <c r="D113" s="39" t="s">
        <v>501</v>
      </c>
      <c r="E113" s="39" t="s">
        <v>15</v>
      </c>
      <c r="F113" s="39" t="s">
        <v>73</v>
      </c>
      <c r="G113" s="40" t="s">
        <v>17</v>
      </c>
      <c r="H113" s="40" t="s">
        <v>17</v>
      </c>
      <c r="I113" s="40" t="s">
        <v>17</v>
      </c>
      <c r="J113" s="40" t="str">
        <f aca="false">IF(G113="Sí", IF(H113="Sí", "DP", "SP"), IF(H113="Sí", "SD", "-"))</f>
        <v>-</v>
      </c>
      <c r="K113" s="36" t="str">
        <f aca="false">IF(IFERROR(L113,7)=7,"",RIGHT(L113,LEN(L113)-2)&amp;".")</f>
        <v>/A.</v>
      </c>
      <c r="L113" s="36" t="str">
        <f aca="false">IFERROR(__xludf.dummyfunction("CONCATENATE(ArrayFormula(""; ""&amp;QUERY(Hallazgos!A:F,""SELECT B WHERE E CONTAINS '""&amp;A113&amp;""' LABEL B ''"")))"),"#N/A")</f>
        <v>#N/A</v>
      </c>
    </row>
    <row r="114" customFormat="false" ht="15.75" hidden="false" customHeight="true" outlineLevel="0" collapsed="false">
      <c r="A114" s="37" t="s">
        <v>286</v>
      </c>
      <c r="B114" s="37" t="s">
        <v>503</v>
      </c>
      <c r="C114" s="38" t="s">
        <v>41</v>
      </c>
      <c r="D114" s="39" t="s">
        <v>501</v>
      </c>
      <c r="E114" s="39" t="s">
        <v>15</v>
      </c>
      <c r="F114" s="39" t="s">
        <v>73</v>
      </c>
      <c r="G114" s="40" t="s">
        <v>17</v>
      </c>
      <c r="H114" s="40" t="s">
        <v>17</v>
      </c>
      <c r="I114" s="40" t="s">
        <v>17</v>
      </c>
      <c r="J114" s="40" t="str">
        <f aca="false">IF(G114="Sí", IF(H114="Sí", "DP", "SP"), IF(H114="Sí", "SD", "-"))</f>
        <v>-</v>
      </c>
      <c r="K114" s="36" t="str">
        <f aca="false">IF(IFERROR(L114,7)=7,"",RIGHT(L114,LEN(L114)-2)&amp;".")</f>
        <v>/A.</v>
      </c>
      <c r="L114" s="36" t="str">
        <f aca="false">IFERROR(__xludf.dummyfunction("CONCATENATE(ArrayFormula(""; ""&amp;QUERY(Hallazgos!A:F,""SELECT B WHERE E CONTAINS '""&amp;A114&amp;""' LABEL B ''"")))"),"#N/A")</f>
        <v>#N/A</v>
      </c>
    </row>
    <row r="115" customFormat="false" ht="15.75" hidden="false" customHeight="true" outlineLevel="0" collapsed="false">
      <c r="A115" s="37" t="s">
        <v>288</v>
      </c>
      <c r="B115" s="37" t="s">
        <v>829</v>
      </c>
      <c r="C115" s="42" t="s">
        <v>41</v>
      </c>
      <c r="D115" s="39" t="s">
        <v>830</v>
      </c>
      <c r="E115" s="39" t="s">
        <v>81</v>
      </c>
      <c r="F115" s="39" t="s">
        <v>55</v>
      </c>
      <c r="G115" s="40" t="s">
        <v>17</v>
      </c>
      <c r="H115" s="40" t="s">
        <v>17</v>
      </c>
      <c r="I115" s="40" t="s">
        <v>17</v>
      </c>
      <c r="J115" s="40" t="str">
        <f aca="false">IF(G115="Sí", IF(H115="Sí", "DP", "SP"), IF(H115="Sí", "SD", "-"))</f>
        <v>-</v>
      </c>
      <c r="K115" s="36" t="str">
        <f aca="false">IF(IFERROR(L115,7)=7,"",RIGHT(L115,LEN(L115)-2)&amp;".")</f>
        <v>/A.</v>
      </c>
      <c r="L115" s="36" t="str">
        <f aca="false">IFERROR(__xludf.dummyfunction("CONCATENATE(ArrayFormula(""; ""&amp;QUERY(Hallazgos!A:F,""SELECT B WHERE E CONTAINS '""&amp;A115&amp;""' LABEL B ''"")))"),"#N/A")</f>
        <v>#N/A</v>
      </c>
    </row>
    <row r="116" customFormat="false" ht="15.75" hidden="false" customHeight="true" outlineLevel="0" collapsed="false">
      <c r="A116" s="37" t="s">
        <v>290</v>
      </c>
      <c r="B116" s="37" t="s">
        <v>831</v>
      </c>
      <c r="C116" s="42" t="s">
        <v>41</v>
      </c>
      <c r="D116" s="39" t="s">
        <v>830</v>
      </c>
      <c r="E116" s="39" t="s">
        <v>406</v>
      </c>
      <c r="F116" s="39" t="s">
        <v>55</v>
      </c>
      <c r="G116" s="40" t="s">
        <v>17</v>
      </c>
      <c r="H116" s="40" t="s">
        <v>17</v>
      </c>
      <c r="I116" s="40" t="s">
        <v>17</v>
      </c>
      <c r="J116" s="40" t="str">
        <f aca="false">IF(G116="Sí", IF(H116="Sí", "DP", "SP"), IF(H116="Sí", "SD", "-"))</f>
        <v>-</v>
      </c>
      <c r="K116" s="36" t="str">
        <f aca="false">IF(IFERROR(L116,7)=7,"",RIGHT(L116,LEN(L116)-2)&amp;".")</f>
        <v>/A.</v>
      </c>
      <c r="L116" s="36" t="str">
        <f aca="false">IFERROR(__xludf.dummyfunction("CONCATENATE(ArrayFormula(""; ""&amp;QUERY(Hallazgos!A:F,""SELECT B WHERE E CONTAINS '""&amp;A116&amp;""' LABEL B ''"")))"),"#N/A")</f>
        <v>#N/A</v>
      </c>
    </row>
    <row r="117" customFormat="false" ht="15.75" hidden="false" customHeight="true" outlineLevel="0" collapsed="false">
      <c r="A117" s="37" t="s">
        <v>292</v>
      </c>
      <c r="B117" s="37" t="s">
        <v>832</v>
      </c>
      <c r="C117" s="38" t="s">
        <v>13</v>
      </c>
      <c r="D117" s="39" t="s">
        <v>399</v>
      </c>
      <c r="E117" s="39" t="s">
        <v>406</v>
      </c>
      <c r="F117" s="39" t="s">
        <v>55</v>
      </c>
      <c r="G117" s="40" t="s">
        <v>17</v>
      </c>
      <c r="H117" s="40" t="s">
        <v>17</v>
      </c>
      <c r="I117" s="40" t="s">
        <v>17</v>
      </c>
      <c r="J117" s="40" t="str">
        <f aca="false">IF(G117="Sí", IF(H117="Sí", "DP", "SP"), IF(H117="Sí", "SD", "-"))</f>
        <v>-</v>
      </c>
      <c r="K117" s="36" t="str">
        <f aca="false">IF(IFERROR(L117,7)=7,"",RIGHT(L117,LEN(L117)-2)&amp;".")</f>
        <v>/A.</v>
      </c>
      <c r="L117" s="36" t="str">
        <f aca="false">IFERROR(__xludf.dummyfunction("CONCATENATE(ArrayFormula(""; ""&amp;QUERY(Hallazgos!A:F,""SELECT B WHERE E CONTAINS '""&amp;A117&amp;""' LABEL B ''"")))"),"#N/A")</f>
        <v>#N/A</v>
      </c>
    </row>
    <row r="118" customFormat="false" ht="15.75" hidden="false" customHeight="true" outlineLevel="0" collapsed="false">
      <c r="A118" s="37" t="s">
        <v>295</v>
      </c>
      <c r="B118" s="37" t="s">
        <v>833</v>
      </c>
      <c r="C118" s="38" t="s">
        <v>13</v>
      </c>
      <c r="D118" s="39" t="s">
        <v>399</v>
      </c>
      <c r="E118" s="39" t="s">
        <v>81</v>
      </c>
      <c r="F118" s="39" t="s">
        <v>55</v>
      </c>
      <c r="G118" s="40" t="s">
        <v>17</v>
      </c>
      <c r="H118" s="40" t="s">
        <v>17</v>
      </c>
      <c r="I118" s="40" t="s">
        <v>17</v>
      </c>
      <c r="J118" s="40" t="str">
        <f aca="false">IF(G118="Sí", IF(H118="Sí", "DP", "SP"), IF(H118="Sí", "SD", "-"))</f>
        <v>-</v>
      </c>
      <c r="K118" s="36" t="str">
        <f aca="false">IF(IFERROR(L118,7)=7,"",RIGHT(L118,LEN(L118)-2)&amp;".")</f>
        <v>/A.</v>
      </c>
      <c r="L118" s="36" t="str">
        <f aca="false">IFERROR(__xludf.dummyfunction("CONCATENATE(ArrayFormula(""; ""&amp;QUERY(Hallazgos!A:F,""SELECT B WHERE E CONTAINS '""&amp;A118&amp;""' LABEL B ''"")))"),"#N/A")</f>
        <v>#N/A</v>
      </c>
    </row>
    <row r="119" customFormat="false" ht="15.75" hidden="false" customHeight="true" outlineLevel="0" collapsed="false">
      <c r="A119" s="37" t="s">
        <v>297</v>
      </c>
      <c r="B119" s="37" t="s">
        <v>834</v>
      </c>
      <c r="C119" s="38" t="s">
        <v>13</v>
      </c>
      <c r="D119" s="39" t="s">
        <v>399</v>
      </c>
      <c r="E119" s="39" t="s">
        <v>81</v>
      </c>
      <c r="F119" s="39" t="s">
        <v>55</v>
      </c>
      <c r="G119" s="40" t="s">
        <v>17</v>
      </c>
      <c r="H119" s="40" t="s">
        <v>17</v>
      </c>
      <c r="I119" s="40" t="s">
        <v>17</v>
      </c>
      <c r="J119" s="40" t="str">
        <f aca="false">IF(G119="Sí", IF(H119="Sí", "DP", "SP"), IF(H119="Sí", "SD", "-"))</f>
        <v>-</v>
      </c>
      <c r="K119" s="36" t="str">
        <f aca="false">IF(IFERROR(L119,7)=7,"",RIGHT(L119,LEN(L119)-2)&amp;".")</f>
        <v>/A.</v>
      </c>
      <c r="L119" s="36" t="str">
        <f aca="false">IFERROR(__xludf.dummyfunction("CONCATENATE(ArrayFormula(""; ""&amp;QUERY(Hallazgos!A:F,""SELECT B WHERE E CONTAINS '""&amp;A119&amp;""' LABEL B ''"")))"),"#N/A")</f>
        <v>#N/A</v>
      </c>
    </row>
    <row r="120" customFormat="false" ht="15.75" hidden="false" customHeight="true" outlineLevel="0" collapsed="false">
      <c r="A120" s="37" t="s">
        <v>299</v>
      </c>
      <c r="B120" s="37" t="s">
        <v>412</v>
      </c>
      <c r="C120" s="38" t="s">
        <v>13</v>
      </c>
      <c r="D120" s="39" t="s">
        <v>399</v>
      </c>
      <c r="E120" s="39" t="s">
        <v>406</v>
      </c>
      <c r="F120" s="39" t="s">
        <v>55</v>
      </c>
      <c r="G120" s="40" t="s">
        <v>17</v>
      </c>
      <c r="H120" s="40" t="s">
        <v>17</v>
      </c>
      <c r="I120" s="40" t="s">
        <v>17</v>
      </c>
      <c r="J120" s="40" t="str">
        <f aca="false">IF(G120="Sí", IF(H120="Sí", "DP", "SP"), IF(H120="Sí", "SD", "-"))</f>
        <v>-</v>
      </c>
      <c r="K120" s="36" t="str">
        <f aca="false">IF(IFERROR(L120,7)=7,"",RIGHT(L120,LEN(L120)-2)&amp;".")</f>
        <v>/A.</v>
      </c>
      <c r="L120" s="36" t="str">
        <f aca="false">IFERROR(__xludf.dummyfunction("CONCATENATE(ArrayFormula(""; ""&amp;QUERY(Hallazgos!A:F,""SELECT B WHERE E CONTAINS '""&amp;A120&amp;""' LABEL B ''"")))"),"#N/A")</f>
        <v>#N/A</v>
      </c>
    </row>
    <row r="121" customFormat="false" ht="15.75" hidden="false" customHeight="true" outlineLevel="0" collapsed="false">
      <c r="A121" s="37" t="s">
        <v>303</v>
      </c>
      <c r="B121" s="37" t="s">
        <v>414</v>
      </c>
      <c r="C121" s="38" t="s">
        <v>41</v>
      </c>
      <c r="D121" s="39" t="s">
        <v>399</v>
      </c>
      <c r="E121" s="39" t="s">
        <v>81</v>
      </c>
      <c r="F121" s="39" t="s">
        <v>55</v>
      </c>
      <c r="G121" s="40" t="s">
        <v>17</v>
      </c>
      <c r="H121" s="40" t="s">
        <v>17</v>
      </c>
      <c r="I121" s="40" t="s">
        <v>17</v>
      </c>
      <c r="J121" s="40" t="str">
        <f aca="false">IF(G121="Sí", IF(H121="Sí", "DP", "SP"), IF(H121="Sí", "SD", "-"))</f>
        <v>-</v>
      </c>
      <c r="K121" s="36" t="str">
        <f aca="false">IF(IFERROR(L121,7)=7,"",RIGHT(L121,LEN(L121)-2)&amp;".")</f>
        <v>/A.</v>
      </c>
      <c r="L121" s="36" t="str">
        <f aca="false">IFERROR(__xludf.dummyfunction("CONCATENATE(ArrayFormula(""; ""&amp;QUERY(Hallazgos!A:F,""SELECT B WHERE E CONTAINS '""&amp;A121&amp;""' LABEL B ''"")))"),"#N/A")</f>
        <v>#N/A</v>
      </c>
    </row>
    <row r="122" customFormat="false" ht="15.75" hidden="false" customHeight="true" outlineLevel="0" collapsed="false">
      <c r="A122" s="37" t="s">
        <v>309</v>
      </c>
      <c r="B122" s="37" t="s">
        <v>418</v>
      </c>
      <c r="C122" s="38" t="s">
        <v>13</v>
      </c>
      <c r="D122" s="39" t="s">
        <v>399</v>
      </c>
      <c r="E122" s="39" t="s">
        <v>81</v>
      </c>
      <c r="F122" s="39" t="s">
        <v>55</v>
      </c>
      <c r="G122" s="40" t="s">
        <v>17</v>
      </c>
      <c r="H122" s="40" t="s">
        <v>17</v>
      </c>
      <c r="I122" s="40" t="s">
        <v>17</v>
      </c>
      <c r="J122" s="40" t="str">
        <f aca="false">IF(G122="Sí", IF(H122="Sí", "DP", "SP"), IF(H122="Sí", "SD", "-"))</f>
        <v>-</v>
      </c>
      <c r="K122" s="36" t="str">
        <f aca="false">IF(IFERROR(L122,7)=7,"",RIGHT(L122,LEN(L122)-2)&amp;".")</f>
        <v>/A.</v>
      </c>
      <c r="L122" s="36" t="str">
        <f aca="false">IFERROR(__xludf.dummyfunction("CONCATENATE(ArrayFormula(""; ""&amp;QUERY(Hallazgos!A:F,""SELECT B WHERE E CONTAINS '""&amp;A122&amp;""' LABEL B ''"")))"),"#N/A")</f>
        <v>#N/A</v>
      </c>
    </row>
    <row r="123" customFormat="false" ht="15.75" hidden="false" customHeight="true" outlineLevel="0" collapsed="false">
      <c r="A123" s="37" t="s">
        <v>311</v>
      </c>
      <c r="B123" s="37" t="s">
        <v>420</v>
      </c>
      <c r="C123" s="38" t="s">
        <v>13</v>
      </c>
      <c r="D123" s="39" t="s">
        <v>399</v>
      </c>
      <c r="E123" s="39" t="s">
        <v>81</v>
      </c>
      <c r="F123" s="39" t="s">
        <v>55</v>
      </c>
      <c r="G123" s="40" t="s">
        <v>17</v>
      </c>
      <c r="H123" s="40" t="s">
        <v>17</v>
      </c>
      <c r="I123" s="40" t="s">
        <v>17</v>
      </c>
      <c r="J123" s="40" t="str">
        <f aca="false">IF(G123="Sí", IF(H123="Sí", "DP", "SP"), IF(H123="Sí", "SD", "-"))</f>
        <v>-</v>
      </c>
      <c r="K123" s="36" t="str">
        <f aca="false">IF(IFERROR(L123,7)=7,"",RIGHT(L123,LEN(L123)-2)&amp;".")</f>
        <v>/A.</v>
      </c>
      <c r="L123" s="36" t="str">
        <f aca="false">IFERROR(__xludf.dummyfunction("CONCATENATE(ArrayFormula(""; ""&amp;QUERY(Hallazgos!A:F,""SELECT B WHERE E CONTAINS '""&amp;A123&amp;""' LABEL B ''"")))"),"#N/A")</f>
        <v>#N/A</v>
      </c>
    </row>
    <row r="124" customFormat="false" ht="15.75" hidden="false" customHeight="true" outlineLevel="0" collapsed="false">
      <c r="A124" s="37" t="s">
        <v>313</v>
      </c>
      <c r="B124" s="37" t="s">
        <v>390</v>
      </c>
      <c r="C124" s="38" t="s">
        <v>41</v>
      </c>
      <c r="D124" s="39" t="s">
        <v>352</v>
      </c>
      <c r="E124" s="39" t="s">
        <v>81</v>
      </c>
      <c r="F124" s="39" t="s">
        <v>73</v>
      </c>
      <c r="G124" s="40" t="s">
        <v>17</v>
      </c>
      <c r="H124" s="40" t="s">
        <v>17</v>
      </c>
      <c r="I124" s="40" t="s">
        <v>17</v>
      </c>
      <c r="J124" s="40" t="str">
        <f aca="false">IF(G124="Sí", IF(H124="Sí", "DP", "SP"), IF(H124="Sí", "SD", "-"))</f>
        <v>-</v>
      </c>
      <c r="K124" s="36" t="str">
        <f aca="false">IF(IFERROR(L124,7)=7,"",RIGHT(L124,LEN(L124)-2)&amp;".")</f>
        <v>/A.</v>
      </c>
      <c r="L124" s="36" t="str">
        <f aca="false">IFERROR(__xludf.dummyfunction("CONCATENATE(ArrayFormula(""; ""&amp;QUERY(Hallazgos!A:F,""SELECT B WHERE E CONTAINS '""&amp;A124&amp;""' LABEL B ''"")))"),"#N/A")</f>
        <v>#N/A</v>
      </c>
    </row>
    <row r="125" customFormat="false" ht="15.75" hidden="false" customHeight="true" outlineLevel="0" collapsed="false">
      <c r="A125" s="37" t="s">
        <v>315</v>
      </c>
      <c r="B125" s="37" t="s">
        <v>835</v>
      </c>
      <c r="C125" s="38" t="s">
        <v>41</v>
      </c>
      <c r="D125" s="39" t="s">
        <v>836</v>
      </c>
      <c r="E125" s="39" t="s">
        <v>184</v>
      </c>
      <c r="F125" s="39" t="s">
        <v>55</v>
      </c>
      <c r="G125" s="40" t="s">
        <v>17</v>
      </c>
      <c r="H125" s="40" t="s">
        <v>17</v>
      </c>
      <c r="I125" s="40" t="s">
        <v>17</v>
      </c>
      <c r="J125" s="40" t="str">
        <f aca="false">IF(G125="Sí", IF(H125="Sí", "DP", "SP"), IF(H125="Sí", "SD", "-"))</f>
        <v>-</v>
      </c>
      <c r="K125" s="36" t="str">
        <f aca="false">IF(IFERROR(L125,7)=7,"",RIGHT(L125,LEN(L125)-2)&amp;".")</f>
        <v>/A.</v>
      </c>
      <c r="L125" s="36" t="str">
        <f aca="false">IFERROR(__xludf.dummyfunction("CONCATENATE(ArrayFormula(""; ""&amp;QUERY(Hallazgos!A:F,""SELECT B WHERE E CONTAINS '""&amp;A125&amp;""' LABEL B ''"")))"),"#N/A")</f>
        <v>#N/A</v>
      </c>
    </row>
    <row r="126" customFormat="false" ht="15.75" hidden="false" customHeight="true" outlineLevel="0" collapsed="false">
      <c r="A126" s="37" t="s">
        <v>317</v>
      </c>
      <c r="B126" s="37" t="s">
        <v>837</v>
      </c>
      <c r="C126" s="38" t="s">
        <v>41</v>
      </c>
      <c r="D126" s="39" t="s">
        <v>352</v>
      </c>
      <c r="E126" s="39" t="s">
        <v>116</v>
      </c>
      <c r="F126" s="39" t="s">
        <v>49</v>
      </c>
      <c r="G126" s="40" t="s">
        <v>17</v>
      </c>
      <c r="H126" s="40" t="s">
        <v>17</v>
      </c>
      <c r="I126" s="40" t="s">
        <v>17</v>
      </c>
      <c r="J126" s="40" t="str">
        <f aca="false">IF(G126="Sí", IF(H126="Sí", "DP", "SP"), IF(H126="Sí", "SD", "-"))</f>
        <v>-</v>
      </c>
      <c r="K126" s="36" t="str">
        <f aca="false">IF(IFERROR(L126,7)=7,"",RIGHT(L126,LEN(L126)-2)&amp;".")</f>
        <v>/A.</v>
      </c>
      <c r="L126" s="36" t="str">
        <f aca="false">IFERROR(__xludf.dummyfunction("CONCATENATE(ArrayFormula(""; ""&amp;QUERY(Hallazgos!A:F,""SELECT B WHERE E CONTAINS '""&amp;A126&amp;""' LABEL B ''"")))"),"#N/A")</f>
        <v>#N/A</v>
      </c>
    </row>
    <row r="127" customFormat="false" ht="15.75" hidden="false" customHeight="true" outlineLevel="0" collapsed="false">
      <c r="A127" s="37" t="s">
        <v>321</v>
      </c>
      <c r="B127" s="37" t="s">
        <v>838</v>
      </c>
      <c r="C127" s="38" t="s">
        <v>38</v>
      </c>
      <c r="D127" s="39" t="s">
        <v>535</v>
      </c>
      <c r="E127" s="39" t="s">
        <v>15</v>
      </c>
      <c r="F127" s="39" t="s">
        <v>44</v>
      </c>
      <c r="G127" s="40" t="s">
        <v>17</v>
      </c>
      <c r="H127" s="40" t="s">
        <v>17</v>
      </c>
      <c r="I127" s="40" t="s">
        <v>17</v>
      </c>
      <c r="J127" s="40" t="str">
        <f aca="false">IF(G127="Sí", IF(H127="Sí", "DP", "SP"), IF(H127="Sí", "SD", "-"))</f>
        <v>-</v>
      </c>
      <c r="K127" s="36" t="str">
        <f aca="false">IF(IFERROR(L127,7)=7,"",RIGHT(L127,LEN(L127)-2)&amp;".")</f>
        <v>/A.</v>
      </c>
      <c r="L127" s="36" t="str">
        <f aca="false">IFERROR(__xludf.dummyfunction("CONCATENATE(ArrayFormula(""; ""&amp;QUERY(Hallazgos!A:F,""SELECT B WHERE E CONTAINS '""&amp;A127&amp;""' LABEL B ''"")))"),"#N/A")</f>
        <v>#N/A</v>
      </c>
    </row>
    <row r="128" customFormat="false" ht="15.75" hidden="false" customHeight="true" outlineLevel="0" collapsed="false">
      <c r="A128" s="37" t="s">
        <v>323</v>
      </c>
      <c r="B128" s="37" t="s">
        <v>46</v>
      </c>
      <c r="C128" s="38" t="s">
        <v>13</v>
      </c>
      <c r="D128" s="39" t="s">
        <v>14</v>
      </c>
      <c r="E128" s="39" t="s">
        <v>15</v>
      </c>
      <c r="F128" s="39" t="s">
        <v>44</v>
      </c>
      <c r="G128" s="40" t="s">
        <v>17</v>
      </c>
      <c r="H128" s="40" t="s">
        <v>17</v>
      </c>
      <c r="I128" s="40" t="s">
        <v>17</v>
      </c>
      <c r="J128" s="40" t="str">
        <f aca="false">IF(G128="Sí", IF(H128="Sí", "DP", "SP"), IF(H128="Sí", "SD", "-"))</f>
        <v>-</v>
      </c>
      <c r="K128" s="36" t="str">
        <f aca="false">IF(IFERROR(L128,7)=7,"",RIGHT(L128,LEN(L128)-2)&amp;".")</f>
        <v>/A.</v>
      </c>
      <c r="L128" s="36" t="str">
        <f aca="false">IFERROR(__xludf.dummyfunction("CONCATENATE(ArrayFormula(""; ""&amp;QUERY(Hallazgos!A:F,""SELECT B WHERE E CONTAINS '""&amp;A128&amp;""' LABEL B ''"")))"),"#N/A")</f>
        <v>#N/A</v>
      </c>
    </row>
    <row r="129" customFormat="false" ht="15.75" hidden="false" customHeight="true" outlineLevel="0" collapsed="false">
      <c r="A129" s="37" t="s">
        <v>325</v>
      </c>
      <c r="B129" s="37" t="s">
        <v>839</v>
      </c>
      <c r="C129" s="38" t="s">
        <v>38</v>
      </c>
      <c r="D129" s="39" t="s">
        <v>230</v>
      </c>
      <c r="E129" s="39" t="s">
        <v>88</v>
      </c>
      <c r="F129" s="39" t="s">
        <v>44</v>
      </c>
      <c r="G129" s="40" t="s">
        <v>17</v>
      </c>
      <c r="H129" s="40" t="s">
        <v>17</v>
      </c>
      <c r="I129" s="40" t="s">
        <v>17</v>
      </c>
      <c r="J129" s="40" t="str">
        <f aca="false">IF(G129="Sí", IF(H129="Sí", "DP", "SP"), IF(H129="Sí", "SD", "-"))</f>
        <v>-</v>
      </c>
      <c r="K129" s="36" t="str">
        <f aca="false">IF(IFERROR(L129,7)=7,"",RIGHT(L129,LEN(L129)-2)&amp;".")</f>
        <v>/A.</v>
      </c>
      <c r="L129" s="36" t="str">
        <f aca="false">IFERROR(__xludf.dummyfunction("CONCATENATE(ArrayFormula(""; ""&amp;QUERY(Hallazgos!A:F,""SELECT B WHERE E CONTAINS '""&amp;A129&amp;""' LABEL B ''"")))"),"#N/A")</f>
        <v>#N/A</v>
      </c>
    </row>
    <row r="130" customFormat="false" ht="15.75" hidden="false" customHeight="true" outlineLevel="0" collapsed="false">
      <c r="A130" s="37" t="s">
        <v>327</v>
      </c>
      <c r="B130" s="37" t="s">
        <v>840</v>
      </c>
      <c r="C130" s="38" t="s">
        <v>38</v>
      </c>
      <c r="D130" s="39" t="s">
        <v>230</v>
      </c>
      <c r="E130" s="39" t="s">
        <v>98</v>
      </c>
      <c r="F130" s="39" t="s">
        <v>44</v>
      </c>
      <c r="G130" s="40" t="s">
        <v>17</v>
      </c>
      <c r="H130" s="40" t="s">
        <v>17</v>
      </c>
      <c r="I130" s="40" t="s">
        <v>17</v>
      </c>
      <c r="J130" s="40" t="str">
        <f aca="false">IF(G130="Sí", IF(H130="Sí", "DP", "SP"), IF(H130="Sí", "SD", "-"))</f>
        <v>-</v>
      </c>
      <c r="K130" s="36" t="str">
        <f aca="false">IF(IFERROR(L130,7)=7,"",RIGHT(L130,LEN(L130)-2)&amp;".")</f>
        <v>/A.</v>
      </c>
      <c r="L130" s="36" t="str">
        <f aca="false">IFERROR(__xludf.dummyfunction("CONCATENATE(ArrayFormula(""; ""&amp;QUERY(Hallazgos!A:F,""SELECT B WHERE E CONTAINS '""&amp;A130&amp;""' LABEL B ''"")))"),"#N/A")</f>
        <v>#N/A</v>
      </c>
    </row>
    <row r="131" customFormat="false" ht="15.75" hidden="false" customHeight="true" outlineLevel="0" collapsed="false">
      <c r="A131" s="37" t="s">
        <v>329</v>
      </c>
      <c r="B131" s="37" t="s">
        <v>236</v>
      </c>
      <c r="C131" s="38" t="s">
        <v>13</v>
      </c>
      <c r="D131" s="39" t="s">
        <v>230</v>
      </c>
      <c r="E131" s="39" t="s">
        <v>15</v>
      </c>
      <c r="F131" s="39" t="s">
        <v>44</v>
      </c>
      <c r="G131" s="40" t="s">
        <v>17</v>
      </c>
      <c r="H131" s="40" t="s">
        <v>17</v>
      </c>
      <c r="I131" s="40" t="s">
        <v>17</v>
      </c>
      <c r="J131" s="40" t="str">
        <f aca="false">IF(G131="Sí", IF(H131="Sí", "DP", "SP"), IF(H131="Sí", "SD", "-"))</f>
        <v>-</v>
      </c>
      <c r="K131" s="36" t="str">
        <f aca="false">IF(IFERROR(L131,7)=7,"",RIGHT(L131,LEN(L131)-2)&amp;".")</f>
        <v>/A.</v>
      </c>
      <c r="L131" s="36" t="str">
        <f aca="false">IFERROR(__xludf.dummyfunction("CONCATENATE(ArrayFormula(""; ""&amp;QUERY(Hallazgos!A:F,""SELECT B WHERE E CONTAINS '""&amp;A131&amp;""' LABEL B ''"")))"),"#N/A")</f>
        <v>#N/A</v>
      </c>
    </row>
    <row r="132" customFormat="false" ht="15.75" hidden="false" customHeight="true" outlineLevel="0" collapsed="false">
      <c r="A132" s="37" t="s">
        <v>333</v>
      </c>
      <c r="B132" s="37" t="s">
        <v>841</v>
      </c>
      <c r="C132" s="38" t="s">
        <v>38</v>
      </c>
      <c r="D132" s="39" t="s">
        <v>535</v>
      </c>
      <c r="E132" s="39" t="s">
        <v>15</v>
      </c>
      <c r="F132" s="39" t="s">
        <v>44</v>
      </c>
      <c r="G132" s="40" t="s">
        <v>17</v>
      </c>
      <c r="H132" s="40" t="s">
        <v>17</v>
      </c>
      <c r="I132" s="40" t="s">
        <v>17</v>
      </c>
      <c r="J132" s="40" t="str">
        <f aca="false">IF(G132="Sí", IF(H132="Sí", "DP", "SP"), IF(H132="Sí", "SD", "-"))</f>
        <v>-</v>
      </c>
      <c r="K132" s="36" t="str">
        <f aca="false">IF(IFERROR(L132,7)=7,"",RIGHT(L132,LEN(L132)-2)&amp;".")</f>
        <v>/A.</v>
      </c>
      <c r="L132" s="36" t="str">
        <f aca="false">IFERROR(__xludf.dummyfunction("CONCATENATE(ArrayFormula(""; ""&amp;QUERY(Hallazgos!A:F,""SELECT B WHERE E CONTAINS '""&amp;A132&amp;""' LABEL B ''"")))"),"#N/A")</f>
        <v>#N/A</v>
      </c>
    </row>
    <row r="133" customFormat="false" ht="15.75" hidden="false" customHeight="true" outlineLevel="0" collapsed="false">
      <c r="A133" s="37" t="s">
        <v>335</v>
      </c>
      <c r="B133" s="37" t="s">
        <v>842</v>
      </c>
      <c r="C133" s="38" t="s">
        <v>38</v>
      </c>
      <c r="D133" s="39" t="s">
        <v>535</v>
      </c>
      <c r="E133" s="39" t="s">
        <v>15</v>
      </c>
      <c r="F133" s="39" t="s">
        <v>44</v>
      </c>
      <c r="G133" s="40" t="s">
        <v>17</v>
      </c>
      <c r="H133" s="40" t="s">
        <v>17</v>
      </c>
      <c r="I133" s="40" t="s">
        <v>17</v>
      </c>
      <c r="J133" s="40" t="str">
        <f aca="false">IF(G133="Sí", IF(H133="Sí", "DP", "SP"), IF(H133="Sí", "SD", "-"))</f>
        <v>-</v>
      </c>
      <c r="K133" s="36" t="str">
        <f aca="false">IF(IFERROR(L133,7)=7,"",RIGHT(L133,LEN(L133)-2)&amp;".")</f>
        <v>/A.</v>
      </c>
      <c r="L133" s="36" t="str">
        <f aca="false">IFERROR(__xludf.dummyfunction("CONCATENATE(ArrayFormula(""; ""&amp;QUERY(Hallazgos!A:F,""SELECT B WHERE E CONTAINS '""&amp;A133&amp;""' LABEL B ''"")))"),"#N/A")</f>
        <v>#N/A</v>
      </c>
    </row>
    <row r="134" customFormat="false" ht="15.75" hidden="false" customHeight="true" outlineLevel="0" collapsed="false">
      <c r="A134" s="37" t="s">
        <v>338</v>
      </c>
      <c r="B134" s="37" t="s">
        <v>146</v>
      </c>
      <c r="C134" s="38" t="s">
        <v>38</v>
      </c>
      <c r="D134" s="39" t="s">
        <v>535</v>
      </c>
      <c r="E134" s="39" t="s">
        <v>15</v>
      </c>
      <c r="F134" s="39" t="s">
        <v>44</v>
      </c>
      <c r="G134" s="40" t="s">
        <v>17</v>
      </c>
      <c r="H134" s="40" t="s">
        <v>17</v>
      </c>
      <c r="I134" s="40" t="s">
        <v>17</v>
      </c>
      <c r="J134" s="40" t="str">
        <f aca="false">IF(G134="Sí", IF(H134="Sí", "DP", "SP"), IF(H134="Sí", "SD", "-"))</f>
        <v>-</v>
      </c>
      <c r="K134" s="36" t="str">
        <f aca="false">IF(IFERROR(L134,7)=7,"",RIGHT(L134,LEN(L134)-2)&amp;".")</f>
        <v>/A.</v>
      </c>
      <c r="L134" s="36" t="str">
        <f aca="false">IFERROR(__xludf.dummyfunction("CONCATENATE(ArrayFormula(""; ""&amp;QUERY(Hallazgos!A:F,""SELECT B WHERE E CONTAINS '""&amp;A134&amp;""' LABEL B ''"")))"),"#N/A")</f>
        <v>#N/A</v>
      </c>
    </row>
    <row r="135" customFormat="false" ht="15.75" hidden="false" customHeight="true" outlineLevel="0" collapsed="false">
      <c r="A135" s="37" t="s">
        <v>340</v>
      </c>
      <c r="B135" s="37" t="s">
        <v>843</v>
      </c>
      <c r="C135" s="38" t="s">
        <v>38</v>
      </c>
      <c r="D135" s="39" t="s">
        <v>535</v>
      </c>
      <c r="E135" s="39" t="s">
        <v>15</v>
      </c>
      <c r="F135" s="39" t="s">
        <v>44</v>
      </c>
      <c r="G135" s="40" t="s">
        <v>17</v>
      </c>
      <c r="H135" s="40" t="s">
        <v>17</v>
      </c>
      <c r="I135" s="40" t="s">
        <v>17</v>
      </c>
      <c r="J135" s="40" t="str">
        <f aca="false">IF(G135="Sí", IF(H135="Sí", "DP", "SP"), IF(H135="Sí", "SD", "-"))</f>
        <v>-</v>
      </c>
      <c r="K135" s="36" t="str">
        <f aca="false">IF(IFERROR(L135,7)=7,"",RIGHT(L135,LEN(L135)-2)&amp;".")</f>
        <v>/A.</v>
      </c>
      <c r="L135" s="36" t="str">
        <f aca="false">IFERROR(__xludf.dummyfunction("CONCATENATE(ArrayFormula(""; ""&amp;QUERY(Hallazgos!A:F,""SELECT B WHERE E CONTAINS '""&amp;A135&amp;""' LABEL B ''"")))"),"#N/A")</f>
        <v>#N/A</v>
      </c>
    </row>
    <row r="136" customFormat="false" ht="15.75" hidden="false" customHeight="true" outlineLevel="0" collapsed="false">
      <c r="A136" s="37" t="s">
        <v>342</v>
      </c>
      <c r="B136" s="37" t="s">
        <v>844</v>
      </c>
      <c r="C136" s="38" t="s">
        <v>41</v>
      </c>
      <c r="D136" s="39" t="s">
        <v>535</v>
      </c>
      <c r="E136" s="39" t="s">
        <v>15</v>
      </c>
      <c r="F136" s="39" t="s">
        <v>44</v>
      </c>
      <c r="G136" s="40" t="s">
        <v>17</v>
      </c>
      <c r="H136" s="40" t="s">
        <v>17</v>
      </c>
      <c r="I136" s="40" t="s">
        <v>17</v>
      </c>
      <c r="J136" s="40" t="str">
        <f aca="false">IF(G136="Sí", IF(H136="Sí", "DP", "SP"), IF(H136="Sí", "SD", "-"))</f>
        <v>-</v>
      </c>
      <c r="K136" s="36" t="str">
        <f aca="false">IF(IFERROR(L136,7)=7,"",RIGHT(L136,LEN(L136)-2)&amp;".")</f>
        <v>/A.</v>
      </c>
      <c r="L136" s="36" t="str">
        <f aca="false">IFERROR(__xludf.dummyfunction("CONCATENATE(ArrayFormula(""; ""&amp;QUERY(Hallazgos!A:F,""SELECT B WHERE E CONTAINS '""&amp;A136&amp;""' LABEL B ''"")))"),"#N/A")</f>
        <v>#N/A</v>
      </c>
    </row>
    <row r="137" customFormat="false" ht="15.75" hidden="false" customHeight="true" outlineLevel="0" collapsed="false">
      <c r="A137" s="37" t="s">
        <v>344</v>
      </c>
      <c r="B137" s="37" t="s">
        <v>845</v>
      </c>
      <c r="C137" s="42" t="s">
        <v>38</v>
      </c>
      <c r="D137" s="39" t="s">
        <v>535</v>
      </c>
      <c r="E137" s="39" t="s">
        <v>15</v>
      </c>
      <c r="F137" s="39" t="s">
        <v>44</v>
      </c>
      <c r="G137" s="40" t="s">
        <v>17</v>
      </c>
      <c r="H137" s="40" t="s">
        <v>17</v>
      </c>
      <c r="I137" s="40" t="s">
        <v>17</v>
      </c>
      <c r="J137" s="40" t="str">
        <f aca="false">IF(G137="Sí", IF(H137="Sí", "DP", "SP"), IF(H137="Sí", "SD", "-"))</f>
        <v>-</v>
      </c>
      <c r="K137" s="36" t="str">
        <f aca="false">IF(IFERROR(L137,7)=7,"",RIGHT(L137,LEN(L137)-2)&amp;".")</f>
        <v>/A.</v>
      </c>
      <c r="L137" s="36" t="str">
        <f aca="false">IFERROR(__xludf.dummyfunction("CONCATENATE(ArrayFormula(""; ""&amp;QUERY(Hallazgos!A:F,""SELECT B WHERE E CONTAINS '""&amp;A137&amp;""' LABEL B ''"")))"),"#N/A")</f>
        <v>#N/A</v>
      </c>
    </row>
    <row r="138" customFormat="false" ht="15.75" hidden="false" customHeight="true" outlineLevel="0" collapsed="false">
      <c r="A138" s="37" t="s">
        <v>346</v>
      </c>
      <c r="B138" s="37" t="s">
        <v>154</v>
      </c>
      <c r="C138" s="42" t="s">
        <v>38</v>
      </c>
      <c r="D138" s="39" t="s">
        <v>535</v>
      </c>
      <c r="E138" s="39" t="s">
        <v>15</v>
      </c>
      <c r="F138" s="39" t="s">
        <v>44</v>
      </c>
      <c r="G138" s="40" t="s">
        <v>17</v>
      </c>
      <c r="H138" s="40" t="s">
        <v>17</v>
      </c>
      <c r="I138" s="40" t="s">
        <v>17</v>
      </c>
      <c r="J138" s="40" t="str">
        <f aca="false">IF(G138="Sí", IF(H138="Sí", "DP", "SP"), IF(H138="Sí", "SD", "-"))</f>
        <v>-</v>
      </c>
      <c r="K138" s="36" t="str">
        <f aca="false">IF(IFERROR(L138,7)=7,"",RIGHT(L138,LEN(L138)-2)&amp;".")</f>
        <v>/A.</v>
      </c>
      <c r="L138" s="36" t="str">
        <f aca="false">IFERROR(__xludf.dummyfunction("CONCATENATE(ArrayFormula(""; ""&amp;QUERY(Hallazgos!A:F,""SELECT B WHERE E CONTAINS '""&amp;A138&amp;""' LABEL B ''"")))"),"#N/A")</f>
        <v>#N/A</v>
      </c>
    </row>
    <row r="139" customFormat="false" ht="15.75" hidden="false" customHeight="true" outlineLevel="0" collapsed="false">
      <c r="A139" s="37" t="s">
        <v>353</v>
      </c>
      <c r="B139" s="37" t="s">
        <v>451</v>
      </c>
      <c r="C139" s="38" t="s">
        <v>13</v>
      </c>
      <c r="D139" s="39" t="s">
        <v>846</v>
      </c>
      <c r="E139" s="39" t="s">
        <v>76</v>
      </c>
      <c r="F139" s="39" t="s">
        <v>55</v>
      </c>
      <c r="G139" s="40" t="s">
        <v>17</v>
      </c>
      <c r="H139" s="40" t="s">
        <v>17</v>
      </c>
      <c r="I139" s="40" t="s">
        <v>17</v>
      </c>
      <c r="J139" s="40" t="str">
        <f aca="false">IF(G139="Sí", IF(H139="Sí", "DP", "SP"), IF(H139="Sí", "SD", "-"))</f>
        <v>-</v>
      </c>
      <c r="K139" s="36" t="str">
        <f aca="false">IF(IFERROR(L139,7)=7,"",RIGHT(L139,LEN(L139)-2)&amp;".")</f>
        <v>/A.</v>
      </c>
      <c r="L139" s="36" t="str">
        <f aca="false">IFERROR(__xludf.dummyfunction("CONCATENATE(ArrayFormula(""; ""&amp;QUERY(Hallazgos!A:F,""SELECT B WHERE E CONTAINS '""&amp;A139&amp;""' LABEL B ''"")))"),"#N/A")</f>
        <v>#N/A</v>
      </c>
    </row>
    <row r="140" customFormat="false" ht="15.75" hidden="false" customHeight="true" outlineLevel="0" collapsed="false">
      <c r="A140" s="41" t="s">
        <v>355</v>
      </c>
      <c r="B140" s="41" t="s">
        <v>454</v>
      </c>
      <c r="C140" s="42" t="s">
        <v>13</v>
      </c>
      <c r="D140" s="39" t="s">
        <v>846</v>
      </c>
      <c r="E140" s="39" t="s">
        <v>76</v>
      </c>
      <c r="F140" s="39" t="s">
        <v>55</v>
      </c>
      <c r="G140" s="40" t="s">
        <v>17</v>
      </c>
      <c r="H140" s="40" t="s">
        <v>17</v>
      </c>
      <c r="I140" s="40" t="s">
        <v>17</v>
      </c>
      <c r="J140" s="40" t="str">
        <f aca="false">IF(G140="Sí", IF(H140="Sí", "DP", "SP"), IF(H140="Sí", "SD", "-"))</f>
        <v>-</v>
      </c>
      <c r="K140" s="36" t="str">
        <f aca="false">IF(IFERROR(L140,7)=7,"",RIGHT(L140,LEN(L140)-2)&amp;".")</f>
        <v>/A.</v>
      </c>
      <c r="L140" s="36" t="str">
        <f aca="false">IFERROR(__xludf.dummyfunction("CONCATENATE(ArrayFormula(""; ""&amp;QUERY(Hallazgos!A:F,""SELECT B WHERE E CONTAINS '""&amp;A140&amp;""' LABEL B ''"")))"),"#N/A")</f>
        <v>#N/A</v>
      </c>
    </row>
    <row r="141" customFormat="false" ht="15.75" hidden="false" customHeight="true" outlineLevel="0" collapsed="false">
      <c r="A141" s="41" t="s">
        <v>357</v>
      </c>
      <c r="B141" s="41" t="s">
        <v>847</v>
      </c>
      <c r="C141" s="42" t="s">
        <v>13</v>
      </c>
      <c r="D141" s="39" t="s">
        <v>846</v>
      </c>
      <c r="E141" s="39" t="s">
        <v>81</v>
      </c>
      <c r="F141" s="39" t="s">
        <v>55</v>
      </c>
      <c r="G141" s="40" t="s">
        <v>17</v>
      </c>
      <c r="H141" s="40" t="s">
        <v>17</v>
      </c>
      <c r="I141" s="40" t="s">
        <v>17</v>
      </c>
      <c r="J141" s="40" t="str">
        <f aca="false">IF(G141="Sí", IF(H141="Sí", "DP", "SP"), IF(H141="Sí", "SD", "-"))</f>
        <v>-</v>
      </c>
      <c r="K141" s="36" t="str">
        <f aca="false">IF(IFERROR(L141,7)=7,"",RIGHT(L141,LEN(L141)-2)&amp;".")</f>
        <v>/A.</v>
      </c>
      <c r="L141" s="36" t="str">
        <f aca="false">IFERROR(__xludf.dummyfunction("CONCATENATE(ArrayFormula(""; ""&amp;QUERY(Hallazgos!A:F,""SELECT B WHERE E CONTAINS '""&amp;A141&amp;""' LABEL B ''"")))"),"#N/A")</f>
        <v>#N/A</v>
      </c>
    </row>
    <row r="142" customFormat="false" ht="15.75" hidden="false" customHeight="true" outlineLevel="0" collapsed="false">
      <c r="A142" s="37" t="s">
        <v>363</v>
      </c>
      <c r="B142" s="37" t="s">
        <v>555</v>
      </c>
      <c r="C142" s="38" t="s">
        <v>13</v>
      </c>
      <c r="D142" s="39" t="s">
        <v>570</v>
      </c>
      <c r="E142" s="39" t="s">
        <v>81</v>
      </c>
      <c r="F142" s="39" t="s">
        <v>55</v>
      </c>
      <c r="G142" s="40" t="s">
        <v>17</v>
      </c>
      <c r="H142" s="40" t="s">
        <v>17</v>
      </c>
      <c r="I142" s="40" t="s">
        <v>17</v>
      </c>
      <c r="J142" s="40" t="str">
        <f aca="false">IF(G142="Sí", IF(H142="Sí", "DP", "SP"), IF(H142="Sí", "SD", "-"))</f>
        <v>-</v>
      </c>
      <c r="K142" s="36" t="str">
        <f aca="false">IF(IFERROR(L142,7)=7,"",RIGHT(L142,LEN(L142)-2)&amp;".")</f>
        <v>/A.</v>
      </c>
      <c r="L142" s="36" t="str">
        <f aca="false">IFERROR(__xludf.dummyfunction("CONCATENATE(ArrayFormula(""; ""&amp;QUERY(Hallazgos!A:F,""SELECT B WHERE E CONTAINS '""&amp;A142&amp;""' LABEL B ''"")))"),"#N/A")</f>
        <v>#N/A</v>
      </c>
    </row>
    <row r="143" customFormat="false" ht="15.75" hidden="false" customHeight="true" outlineLevel="0" collapsed="false">
      <c r="A143" s="44" t="s">
        <v>365</v>
      </c>
      <c r="B143" s="44" t="s">
        <v>848</v>
      </c>
      <c r="C143" s="38" t="s">
        <v>13</v>
      </c>
      <c r="D143" s="39" t="s">
        <v>553</v>
      </c>
      <c r="E143" s="39" t="s">
        <v>81</v>
      </c>
      <c r="F143" s="39" t="s">
        <v>55</v>
      </c>
      <c r="G143" s="40" t="s">
        <v>17</v>
      </c>
      <c r="H143" s="40" t="s">
        <v>17</v>
      </c>
      <c r="I143" s="40" t="s">
        <v>17</v>
      </c>
      <c r="J143" s="40" t="str">
        <f aca="false">IF(G143="Sí", IF(H143="Sí", "DP", "SP"), IF(H143="Sí", "SD", "-"))</f>
        <v>-</v>
      </c>
      <c r="K143" s="36" t="str">
        <f aca="false">IF(IFERROR(L143,7)=7,"",RIGHT(L143,LEN(L143)-2)&amp;".")</f>
        <v>/A.</v>
      </c>
      <c r="L143" s="36" t="str">
        <f aca="false">IFERROR(__xludf.dummyfunction("CONCATENATE(ArrayFormula(""; ""&amp;QUERY(Hallazgos!A:F,""SELECT B WHERE E CONTAINS '""&amp;A143&amp;""' LABEL B ''"")))"),"#N/A")</f>
        <v>#N/A</v>
      </c>
    </row>
    <row r="144" customFormat="false" ht="15.75" hidden="false" customHeight="true" outlineLevel="0" collapsed="false">
      <c r="A144" s="37" t="s">
        <v>367</v>
      </c>
      <c r="B144" s="37" t="s">
        <v>849</v>
      </c>
      <c r="C144" s="38" t="s">
        <v>13</v>
      </c>
      <c r="D144" s="39" t="s">
        <v>553</v>
      </c>
      <c r="E144" s="39" t="s">
        <v>98</v>
      </c>
      <c r="F144" s="39" t="s">
        <v>55</v>
      </c>
      <c r="G144" s="40" t="s">
        <v>17</v>
      </c>
      <c r="H144" s="40" t="s">
        <v>17</v>
      </c>
      <c r="I144" s="40" t="s">
        <v>17</v>
      </c>
      <c r="J144" s="40" t="str">
        <f aca="false">IF(G144="Sí", IF(H144="Sí", "DP", "SP"), IF(H144="Sí", "SD", "-"))</f>
        <v>-</v>
      </c>
      <c r="K144" s="36" t="str">
        <f aca="false">IF(IFERROR(L144,7)=7,"",RIGHT(L144,LEN(L144)-2)&amp;".")</f>
        <v>/A.</v>
      </c>
      <c r="L144" s="36" t="str">
        <f aca="false">IFERROR(__xludf.dummyfunction("CONCATENATE(ArrayFormula(""; ""&amp;QUERY(Hallazgos!A:F,""SELECT B WHERE E CONTAINS '""&amp;A144&amp;""' LABEL B ''"")))"),"#N/A")</f>
        <v>#N/A</v>
      </c>
    </row>
    <row r="145" customFormat="false" ht="15.75" hidden="false" customHeight="true" outlineLevel="0" collapsed="false">
      <c r="A145" s="37" t="s">
        <v>369</v>
      </c>
      <c r="B145" s="37" t="s">
        <v>561</v>
      </c>
      <c r="C145" s="38" t="s">
        <v>13</v>
      </c>
      <c r="D145" s="39" t="s">
        <v>553</v>
      </c>
      <c r="E145" s="39" t="s">
        <v>72</v>
      </c>
      <c r="F145" s="39" t="s">
        <v>55</v>
      </c>
      <c r="G145" s="40" t="s">
        <v>17</v>
      </c>
      <c r="H145" s="40" t="s">
        <v>17</v>
      </c>
      <c r="I145" s="40" t="s">
        <v>17</v>
      </c>
      <c r="J145" s="40" t="str">
        <f aca="false">IF(G145="Sí", IF(H145="Sí", "DP", "SP"), IF(H145="Sí", "SD", "-"))</f>
        <v>-</v>
      </c>
      <c r="K145" s="36" t="str">
        <f aca="false">IF(IFERROR(L145,7)=7,"",RIGHT(L145,LEN(L145)-2)&amp;".")</f>
        <v>/A.</v>
      </c>
      <c r="L145" s="36" t="str">
        <f aca="false">IFERROR(__xludf.dummyfunction("CONCATENATE(ArrayFormula(""; ""&amp;QUERY(Hallazgos!A:F,""SELECT B WHERE E CONTAINS '""&amp;A145&amp;""' LABEL B ''"")))"),"#N/A")</f>
        <v>#N/A</v>
      </c>
    </row>
    <row r="146" customFormat="false" ht="15.75" hidden="false" customHeight="true" outlineLevel="0" collapsed="false">
      <c r="A146" s="37" t="s">
        <v>371</v>
      </c>
      <c r="B146" s="37" t="s">
        <v>563</v>
      </c>
      <c r="C146" s="38" t="s">
        <v>13</v>
      </c>
      <c r="D146" s="39" t="s">
        <v>553</v>
      </c>
      <c r="E146" s="39" t="s">
        <v>15</v>
      </c>
      <c r="F146" s="39" t="s">
        <v>55</v>
      </c>
      <c r="G146" s="40" t="s">
        <v>17</v>
      </c>
      <c r="H146" s="40" t="s">
        <v>17</v>
      </c>
      <c r="I146" s="40" t="s">
        <v>17</v>
      </c>
      <c r="J146" s="40" t="str">
        <f aca="false">IF(G146="Sí", IF(H146="Sí", "DP", "SP"), IF(H146="Sí", "SD", "-"))</f>
        <v>-</v>
      </c>
      <c r="K146" s="36" t="str">
        <f aca="false">IF(IFERROR(L146,7)=7,"",RIGHT(L146,LEN(L146)-2)&amp;".")</f>
        <v>/A.</v>
      </c>
      <c r="L146" s="36" t="str">
        <f aca="false">IFERROR(__xludf.dummyfunction("CONCATENATE(ArrayFormula(""; ""&amp;QUERY(Hallazgos!A:F,""SELECT B WHERE E CONTAINS '""&amp;A146&amp;""' LABEL B ''"")))"),"#N/A")</f>
        <v>#N/A</v>
      </c>
    </row>
    <row r="147" customFormat="false" ht="15.75" hidden="false" customHeight="true" outlineLevel="0" collapsed="false">
      <c r="A147" s="37" t="s">
        <v>373</v>
      </c>
      <c r="B147" s="37" t="s">
        <v>850</v>
      </c>
      <c r="C147" s="38" t="s">
        <v>13</v>
      </c>
      <c r="D147" s="39" t="s">
        <v>570</v>
      </c>
      <c r="E147" s="39" t="s">
        <v>88</v>
      </c>
      <c r="F147" s="39" t="s">
        <v>55</v>
      </c>
      <c r="G147" s="40" t="s">
        <v>17</v>
      </c>
      <c r="H147" s="40" t="s">
        <v>17</v>
      </c>
      <c r="I147" s="40" t="s">
        <v>17</v>
      </c>
      <c r="J147" s="40" t="str">
        <f aca="false">IF(G147="Sí", IF(H147="Sí", "DP", "SP"), IF(H147="Sí", "SD", "-"))</f>
        <v>-</v>
      </c>
      <c r="K147" s="36" t="str">
        <f aca="false">IF(IFERROR(L147,7)=7,"",RIGHT(L147,LEN(L147)-2)&amp;".")</f>
        <v>/A.</v>
      </c>
      <c r="L147" s="36" t="str">
        <f aca="false">IFERROR(__xludf.dummyfunction("CONCATENATE(ArrayFormula(""; ""&amp;QUERY(Hallazgos!A:F,""SELECT B WHERE E CONTAINS '""&amp;A147&amp;""' LABEL B ''"")))"),"#N/A")</f>
        <v>#N/A</v>
      </c>
    </row>
    <row r="148" customFormat="false" ht="15.75" hidden="false" customHeight="true" outlineLevel="0" collapsed="false">
      <c r="A148" s="37" t="s">
        <v>851</v>
      </c>
      <c r="B148" s="37" t="s">
        <v>567</v>
      </c>
      <c r="C148" s="38" t="s">
        <v>13</v>
      </c>
      <c r="D148" s="39" t="s">
        <v>553</v>
      </c>
      <c r="E148" s="39" t="s">
        <v>81</v>
      </c>
      <c r="F148" s="39" t="s">
        <v>55</v>
      </c>
      <c r="G148" s="40" t="s">
        <v>17</v>
      </c>
      <c r="H148" s="40" t="s">
        <v>17</v>
      </c>
      <c r="I148" s="40" t="s">
        <v>17</v>
      </c>
      <c r="J148" s="40" t="str">
        <f aca="false">IF(G148="Sí", IF(H148="Sí", "DP", "SP"), IF(H148="Sí", "SD", "-"))</f>
        <v>-</v>
      </c>
      <c r="K148" s="36" t="str">
        <f aca="false">IF(IFERROR(L148,7)=7,"",RIGHT(L148,LEN(L148)-2)&amp;".")</f>
        <v>/A.</v>
      </c>
      <c r="L148" s="36" t="str">
        <f aca="false">IFERROR(__xludf.dummyfunction("CONCATENATE(ArrayFormula(""; ""&amp;QUERY(Hallazgos!A:F,""SELECT B WHERE E CONTAINS '""&amp;A148&amp;""' LABEL B ''"")))"),"#N/A")</f>
        <v>#N/A</v>
      </c>
    </row>
    <row r="149" customFormat="false" ht="15.75" hidden="false" customHeight="true" outlineLevel="0" collapsed="false">
      <c r="A149" s="37" t="s">
        <v>377</v>
      </c>
      <c r="B149" s="37" t="s">
        <v>852</v>
      </c>
      <c r="C149" s="38" t="s">
        <v>13</v>
      </c>
      <c r="D149" s="39" t="s">
        <v>461</v>
      </c>
      <c r="E149" s="39" t="s">
        <v>81</v>
      </c>
      <c r="F149" s="39" t="s">
        <v>55</v>
      </c>
      <c r="G149" s="40" t="s">
        <v>17</v>
      </c>
      <c r="H149" s="40" t="s">
        <v>17</v>
      </c>
      <c r="I149" s="40" t="s">
        <v>17</v>
      </c>
      <c r="J149" s="40" t="str">
        <f aca="false">IF(G149="Sí", IF(H149="Sí", "DP", "SP"), IF(H149="Sí", "SD", "-"))</f>
        <v>-</v>
      </c>
      <c r="K149" s="36" t="str">
        <f aca="false">IF(IFERROR(L149,7)=7,"",RIGHT(L149,LEN(L149)-2)&amp;".")</f>
        <v>/A.</v>
      </c>
      <c r="L149" s="36" t="str">
        <f aca="false">IFERROR(__xludf.dummyfunction("CONCATENATE(ArrayFormula(""; ""&amp;QUERY(Hallazgos!A:F,""SELECT B WHERE E CONTAINS '""&amp;A149&amp;""' LABEL B ''"")))"),"#N/A")</f>
        <v>#N/A</v>
      </c>
    </row>
    <row r="150" customFormat="false" ht="15.75" hidden="false" customHeight="true" outlineLevel="0" collapsed="false">
      <c r="A150" s="41" t="s">
        <v>381</v>
      </c>
      <c r="B150" s="41" t="s">
        <v>853</v>
      </c>
      <c r="C150" s="42" t="s">
        <v>13</v>
      </c>
      <c r="D150" s="39" t="s">
        <v>461</v>
      </c>
      <c r="E150" s="39" t="s">
        <v>81</v>
      </c>
      <c r="F150" s="39" t="s">
        <v>55</v>
      </c>
      <c r="G150" s="40" t="s">
        <v>17</v>
      </c>
      <c r="H150" s="40" t="s">
        <v>17</v>
      </c>
      <c r="I150" s="40" t="s">
        <v>17</v>
      </c>
      <c r="J150" s="40" t="str">
        <f aca="false">IF(G150="Sí", IF(H150="Sí", "DP", "SP"), IF(H150="Sí", "SD", "-"))</f>
        <v>-</v>
      </c>
      <c r="K150" s="36" t="str">
        <f aca="false">IF(IFERROR(L150,7)=7,"",RIGHT(L150,LEN(L150)-2)&amp;".")</f>
        <v>/A.</v>
      </c>
      <c r="L150" s="36" t="str">
        <f aca="false">IFERROR(__xludf.dummyfunction("CONCATENATE(ArrayFormula(""; ""&amp;QUERY(Hallazgos!A:F,""SELECT B WHERE E CONTAINS '""&amp;A150&amp;""' LABEL B ''"")))"),"#N/A")</f>
        <v>#N/A</v>
      </c>
    </row>
    <row r="151" customFormat="false" ht="15.75" hidden="false" customHeight="true" outlineLevel="0" collapsed="false">
      <c r="A151" s="41" t="s">
        <v>389</v>
      </c>
      <c r="B151" s="41" t="s">
        <v>471</v>
      </c>
      <c r="C151" s="42" t="s">
        <v>13</v>
      </c>
      <c r="D151" s="39" t="s">
        <v>461</v>
      </c>
      <c r="E151" s="39" t="s">
        <v>81</v>
      </c>
      <c r="F151" s="39" t="s">
        <v>55</v>
      </c>
      <c r="G151" s="40" t="s">
        <v>17</v>
      </c>
      <c r="H151" s="40" t="s">
        <v>17</v>
      </c>
      <c r="I151" s="40" t="s">
        <v>17</v>
      </c>
      <c r="J151" s="40" t="str">
        <f aca="false">IF(G151="Sí", IF(H151="Sí", "DP", "SP"), IF(H151="Sí", "SD", "-"))</f>
        <v>-</v>
      </c>
      <c r="K151" s="36" t="str">
        <f aca="false">IF(IFERROR(L151,7)=7,"",RIGHT(L151,LEN(L151)-2)&amp;".")</f>
        <v>/A.</v>
      </c>
      <c r="L151" s="36" t="str">
        <f aca="false">IFERROR(__xludf.dummyfunction("CONCATENATE(ArrayFormula(""; ""&amp;QUERY(Hallazgos!A:F,""SELECT B WHERE E CONTAINS '""&amp;A151&amp;""' LABEL B ''"")))"),"#N/A")</f>
        <v>#N/A</v>
      </c>
    </row>
    <row r="152" customFormat="false" ht="15.75" hidden="false" customHeight="true" outlineLevel="0" collapsed="false">
      <c r="A152" s="41" t="s">
        <v>391</v>
      </c>
      <c r="B152" s="41" t="s">
        <v>854</v>
      </c>
      <c r="C152" s="42" t="s">
        <v>13</v>
      </c>
      <c r="D152" s="39" t="s">
        <v>461</v>
      </c>
      <c r="E152" s="39" t="s">
        <v>98</v>
      </c>
      <c r="F152" s="39" t="s">
        <v>55</v>
      </c>
      <c r="G152" s="40" t="s">
        <v>17</v>
      </c>
      <c r="H152" s="40" t="s">
        <v>17</v>
      </c>
      <c r="I152" s="40" t="s">
        <v>17</v>
      </c>
      <c r="J152" s="40" t="str">
        <f aca="false">IF(G152="Sí", IF(H152="Sí", "DP", "SP"), IF(H152="Sí", "SD", "-"))</f>
        <v>-</v>
      </c>
      <c r="K152" s="36" t="str">
        <f aca="false">IF(IFERROR(L152,7)=7,"",RIGHT(L152,LEN(L152)-2)&amp;".")</f>
        <v>/A.</v>
      </c>
      <c r="L152" s="36" t="str">
        <f aca="false">IFERROR(__xludf.dummyfunction("CONCATENATE(ArrayFormula(""; ""&amp;QUERY(Hallazgos!A:F,""SELECT B WHERE E CONTAINS '""&amp;A152&amp;""' LABEL B ''"")))"),"#N/A")</f>
        <v>#N/A</v>
      </c>
    </row>
    <row r="153" customFormat="false" ht="15.75" hidden="false" customHeight="true" outlineLevel="0" collapsed="false">
      <c r="A153" s="41" t="s">
        <v>393</v>
      </c>
      <c r="B153" s="41" t="s">
        <v>855</v>
      </c>
      <c r="C153" s="42" t="s">
        <v>13</v>
      </c>
      <c r="D153" s="39" t="s">
        <v>461</v>
      </c>
      <c r="E153" s="39" t="s">
        <v>15</v>
      </c>
      <c r="F153" s="39" t="s">
        <v>55</v>
      </c>
      <c r="G153" s="40" t="s">
        <v>17</v>
      </c>
      <c r="H153" s="40" t="s">
        <v>17</v>
      </c>
      <c r="I153" s="40" t="s">
        <v>17</v>
      </c>
      <c r="J153" s="40" t="str">
        <f aca="false">IF(G153="Sí", IF(H153="Sí", "DP", "SP"), IF(H153="Sí", "SD", "-"))</f>
        <v>-</v>
      </c>
      <c r="K153" s="36" t="str">
        <f aca="false">IF(IFERROR(L153,7)=7,"",RIGHT(L153,LEN(L153)-2)&amp;".")</f>
        <v>/A.</v>
      </c>
      <c r="L153" s="36" t="str">
        <f aca="false">IFERROR(__xludf.dummyfunction("CONCATENATE(ArrayFormula(""; ""&amp;QUERY(Hallazgos!A:F,""SELECT B WHERE E CONTAINS '""&amp;A153&amp;""' LABEL B ''"")))"),"#N/A")</f>
        <v>#N/A</v>
      </c>
    </row>
    <row r="154" customFormat="false" ht="15.75" hidden="false" customHeight="true" outlineLevel="0" collapsed="false">
      <c r="A154" s="41" t="s">
        <v>395</v>
      </c>
      <c r="B154" s="41" t="s">
        <v>856</v>
      </c>
      <c r="C154" s="42" t="s">
        <v>13</v>
      </c>
      <c r="D154" s="39" t="s">
        <v>461</v>
      </c>
      <c r="E154" s="39" t="s">
        <v>81</v>
      </c>
      <c r="F154" s="39" t="s">
        <v>55</v>
      </c>
      <c r="G154" s="40" t="s">
        <v>17</v>
      </c>
      <c r="H154" s="40" t="s">
        <v>17</v>
      </c>
      <c r="I154" s="40" t="s">
        <v>17</v>
      </c>
      <c r="J154" s="40" t="str">
        <f aca="false">IF(G154="Sí", IF(H154="Sí", "DP", "SP"), IF(H154="Sí", "SD", "-"))</f>
        <v>-</v>
      </c>
      <c r="K154" s="36" t="str">
        <f aca="false">IF(IFERROR(L154,7)=7,"",RIGHT(L154,LEN(L154)-2)&amp;".")</f>
        <v>/A.</v>
      </c>
      <c r="L154" s="36" t="str">
        <f aca="false">IFERROR(__xludf.dummyfunction("CONCATENATE(ArrayFormula(""; ""&amp;QUERY(Hallazgos!A:F,""SELECT B WHERE E CONTAINS '""&amp;A154&amp;""' LABEL B ''"")))"),"#N/A")</f>
        <v>#N/A</v>
      </c>
    </row>
    <row r="155" customFormat="false" ht="15.75" hidden="false" customHeight="true" outlineLevel="0" collapsed="false">
      <c r="A155" s="37" t="s">
        <v>397</v>
      </c>
      <c r="B155" s="37" t="s">
        <v>477</v>
      </c>
      <c r="C155" s="42" t="s">
        <v>13</v>
      </c>
      <c r="D155" s="39" t="s">
        <v>461</v>
      </c>
      <c r="E155" s="39" t="s">
        <v>406</v>
      </c>
      <c r="F155" s="39" t="s">
        <v>55</v>
      </c>
      <c r="G155" s="40" t="s">
        <v>17</v>
      </c>
      <c r="H155" s="40" t="s">
        <v>17</v>
      </c>
      <c r="I155" s="40" t="s">
        <v>17</v>
      </c>
      <c r="J155" s="40" t="str">
        <f aca="false">IF(G155="Sí", IF(H155="Sí", "DP", "SP"), IF(H155="Sí", "SD", "-"))</f>
        <v>-</v>
      </c>
      <c r="K155" s="36" t="str">
        <f aca="false">IF(IFERROR(L155,7)=7,"",RIGHT(L155,LEN(L155)-2)&amp;".")</f>
        <v>/A.</v>
      </c>
      <c r="L155" s="36" t="str">
        <f aca="false">IFERROR(__xludf.dummyfunction("CONCATENATE(ArrayFormula(""; ""&amp;QUERY(Hallazgos!A:F,""SELECT B WHERE E CONTAINS '""&amp;A155&amp;""' LABEL B ''"")))"),"#N/A")</f>
        <v>#N/A</v>
      </c>
    </row>
    <row r="156" customFormat="false" ht="15.75" hidden="false" customHeight="true" outlineLevel="0" collapsed="false">
      <c r="A156" s="37" t="s">
        <v>400</v>
      </c>
      <c r="B156" s="37" t="s">
        <v>479</v>
      </c>
      <c r="C156" s="42" t="s">
        <v>13</v>
      </c>
      <c r="D156" s="39" t="s">
        <v>461</v>
      </c>
      <c r="E156" s="39" t="s">
        <v>116</v>
      </c>
      <c r="F156" s="39" t="s">
        <v>55</v>
      </c>
      <c r="G156" s="40" t="s">
        <v>17</v>
      </c>
      <c r="H156" s="40" t="s">
        <v>17</v>
      </c>
      <c r="I156" s="40" t="s">
        <v>17</v>
      </c>
      <c r="J156" s="40" t="str">
        <f aca="false">IF(G156="Sí", IF(H156="Sí", "DP", "SP"), IF(H156="Sí", "SD", "-"))</f>
        <v>-</v>
      </c>
      <c r="K156" s="36" t="str">
        <f aca="false">IF(IFERROR(L156,7)=7,"",RIGHT(L156,LEN(L156)-2)&amp;".")</f>
        <v>/A.</v>
      </c>
      <c r="L156" s="36" t="str">
        <f aca="false">IFERROR(__xludf.dummyfunction("CONCATENATE(ArrayFormula(""; ""&amp;QUERY(Hallazgos!A:F,""SELECT B WHERE E CONTAINS '""&amp;A156&amp;""' LABEL B ''"")))"),"#N/A")</f>
        <v>#N/A</v>
      </c>
    </row>
    <row r="157" customFormat="false" ht="15.75" hidden="false" customHeight="true" outlineLevel="0" collapsed="false">
      <c r="A157" s="37" t="s">
        <v>402</v>
      </c>
      <c r="B157" s="37" t="s">
        <v>857</v>
      </c>
      <c r="C157" s="42" t="s">
        <v>38</v>
      </c>
      <c r="D157" s="39" t="s">
        <v>544</v>
      </c>
      <c r="E157" s="39" t="s">
        <v>15</v>
      </c>
      <c r="F157" s="39" t="s">
        <v>44</v>
      </c>
      <c r="G157" s="40" t="s">
        <v>17</v>
      </c>
      <c r="H157" s="40" t="s">
        <v>17</v>
      </c>
      <c r="I157" s="40" t="s">
        <v>17</v>
      </c>
      <c r="J157" s="40" t="str">
        <f aca="false">IF(G157="Sí", IF(H157="Sí", "DP", "SP"), IF(H157="Sí", "SD", "-"))</f>
        <v>-</v>
      </c>
      <c r="K157" s="36" t="str">
        <f aca="false">IF(IFERROR(L157,7)=7,"",RIGHT(L157,LEN(L157)-2)&amp;".")</f>
        <v>/A.</v>
      </c>
      <c r="L157" s="36" t="str">
        <f aca="false">IFERROR(__xludf.dummyfunction("CONCATENATE(ArrayFormula(""; ""&amp;QUERY(Hallazgos!A:F,""SELECT B WHERE E CONTAINS '""&amp;A157&amp;""' LABEL B ''"")))"),"#N/A")</f>
        <v>#N/A</v>
      </c>
    </row>
    <row r="158" customFormat="false" ht="15.75" hidden="false" customHeight="true" outlineLevel="0" collapsed="false">
      <c r="A158" s="37" t="s">
        <v>407</v>
      </c>
      <c r="B158" s="37" t="s">
        <v>548</v>
      </c>
      <c r="C158" s="42" t="s">
        <v>38</v>
      </c>
      <c r="D158" s="39" t="s">
        <v>544</v>
      </c>
      <c r="E158" s="39" t="s">
        <v>15</v>
      </c>
      <c r="F158" s="39" t="s">
        <v>44</v>
      </c>
      <c r="G158" s="40" t="s">
        <v>17</v>
      </c>
      <c r="H158" s="40" t="s">
        <v>17</v>
      </c>
      <c r="I158" s="40" t="s">
        <v>17</v>
      </c>
      <c r="J158" s="40" t="str">
        <f aca="false">IF(G158="Sí", IF(H158="Sí", "DP", "SP"), IF(H158="Sí", "SD", "-"))</f>
        <v>-</v>
      </c>
      <c r="K158" s="36" t="str">
        <f aca="false">IF(IFERROR(L158,7)=7,"",RIGHT(L158,LEN(L158)-2)&amp;".")</f>
        <v>/A.</v>
      </c>
      <c r="L158" s="36" t="str">
        <f aca="false">IFERROR(__xludf.dummyfunction("CONCATENATE(ArrayFormula(""; ""&amp;QUERY(Hallazgos!A:F,""SELECT B WHERE E CONTAINS '""&amp;A158&amp;""' LABEL B ''"")))"),"#N/A")</f>
        <v>#N/A</v>
      </c>
    </row>
    <row r="159" customFormat="false" ht="15.75" hidden="false" customHeight="true" outlineLevel="0" collapsed="false">
      <c r="A159" s="37" t="s">
        <v>409</v>
      </c>
      <c r="B159" s="37" t="s">
        <v>158</v>
      </c>
      <c r="C159" s="42" t="s">
        <v>38</v>
      </c>
      <c r="D159" s="39" t="s">
        <v>535</v>
      </c>
      <c r="E159" s="39" t="s">
        <v>132</v>
      </c>
      <c r="F159" s="39" t="s">
        <v>55</v>
      </c>
      <c r="G159" s="40" t="s">
        <v>17</v>
      </c>
      <c r="H159" s="40" t="s">
        <v>17</v>
      </c>
      <c r="I159" s="40" t="s">
        <v>17</v>
      </c>
      <c r="J159" s="40" t="str">
        <f aca="false">IF(G159="Sí", IF(H159="Sí", "DP", "SP"), IF(H159="Sí", "SD", "-"))</f>
        <v>-</v>
      </c>
      <c r="K159" s="36" t="str">
        <f aca="false">IF(IFERROR(L159,7)=7,"",RIGHT(L159,LEN(L159)-2)&amp;".")</f>
        <v>/A.</v>
      </c>
      <c r="L159" s="36" t="str">
        <f aca="false">IFERROR(__xludf.dummyfunction("CONCATENATE(ArrayFormula(""; ""&amp;QUERY(Hallazgos!A:F,""SELECT B WHERE E CONTAINS '""&amp;A159&amp;""' LABEL B ''"")))"),"#N/A")</f>
        <v>#N/A</v>
      </c>
    </row>
    <row r="160" customFormat="false" ht="15.75" hidden="false" customHeight="true" outlineLevel="0" collapsed="false">
      <c r="A160" s="37" t="s">
        <v>411</v>
      </c>
      <c r="B160" s="37" t="s">
        <v>160</v>
      </c>
      <c r="C160" s="42" t="s">
        <v>38</v>
      </c>
      <c r="D160" s="39" t="s">
        <v>535</v>
      </c>
      <c r="E160" s="39" t="s">
        <v>15</v>
      </c>
      <c r="F160" s="39" t="s">
        <v>73</v>
      </c>
      <c r="G160" s="40" t="s">
        <v>17</v>
      </c>
      <c r="H160" s="40" t="s">
        <v>17</v>
      </c>
      <c r="I160" s="40" t="s">
        <v>17</v>
      </c>
      <c r="J160" s="40" t="str">
        <f aca="false">IF(G160="Sí", IF(H160="Sí", "DP", "SP"), IF(H160="Sí", "SD", "-"))</f>
        <v>-</v>
      </c>
      <c r="K160" s="36" t="str">
        <f aca="false">IF(IFERROR(L160,7)=7,"",RIGHT(L160,LEN(L160)-2)&amp;".")</f>
        <v>/A.</v>
      </c>
      <c r="L160" s="36" t="str">
        <f aca="false">IFERROR(__xludf.dummyfunction("CONCATENATE(ArrayFormula(""; ""&amp;QUERY(Hallazgos!A:F,""SELECT B WHERE E CONTAINS '""&amp;A160&amp;""' LABEL B ''"")))"),"#N/A")</f>
        <v>#N/A</v>
      </c>
    </row>
    <row r="161" customFormat="false" ht="15.75" hidden="false" customHeight="true" outlineLevel="0" collapsed="false">
      <c r="A161" s="37" t="s">
        <v>413</v>
      </c>
      <c r="B161" s="37" t="s">
        <v>858</v>
      </c>
      <c r="C161" s="38" t="s">
        <v>38</v>
      </c>
      <c r="D161" s="39" t="s">
        <v>544</v>
      </c>
      <c r="E161" s="39" t="s">
        <v>15</v>
      </c>
      <c r="F161" s="39" t="s">
        <v>44</v>
      </c>
      <c r="G161" s="40" t="s">
        <v>17</v>
      </c>
      <c r="H161" s="40" t="s">
        <v>17</v>
      </c>
      <c r="I161" s="40" t="s">
        <v>17</v>
      </c>
      <c r="J161" s="40" t="str">
        <f aca="false">IF(G161="Sí", IF(H161="Sí", "DP", "SP"), IF(H161="Sí", "SD", "-"))</f>
        <v>-</v>
      </c>
      <c r="K161" s="36" t="str">
        <f aca="false">IF(IFERROR(L161,7)=7,"",RIGHT(L161,LEN(L161)-2)&amp;".")</f>
        <v>/A.</v>
      </c>
      <c r="L161" s="36" t="str">
        <f aca="false">IFERROR(__xludf.dummyfunction("CONCATENATE(ArrayFormula(""; ""&amp;QUERY(Hallazgos!A:F,""SELECT B WHERE E CONTAINS '""&amp;A161&amp;""' LABEL B ''"")))"),"#N/A")</f>
        <v>#N/A</v>
      </c>
    </row>
    <row r="162" customFormat="false" ht="15.75" hidden="false" customHeight="true" outlineLevel="0" collapsed="false">
      <c r="A162" s="43" t="s">
        <v>415</v>
      </c>
      <c r="B162" s="43" t="s">
        <v>580</v>
      </c>
      <c r="C162" s="42" t="s">
        <v>38</v>
      </c>
      <c r="D162" s="39" t="s">
        <v>581</v>
      </c>
      <c r="E162" s="39" t="s">
        <v>81</v>
      </c>
      <c r="F162" s="39" t="s">
        <v>55</v>
      </c>
      <c r="G162" s="40" t="s">
        <v>17</v>
      </c>
      <c r="H162" s="40" t="s">
        <v>17</v>
      </c>
      <c r="I162" s="40" t="s">
        <v>17</v>
      </c>
      <c r="J162" s="40" t="str">
        <f aca="false">IF(G162="Sí", IF(H162="Sí", "DP", "SP"), IF(H162="Sí", "SD", "-"))</f>
        <v>-</v>
      </c>
      <c r="K162" s="36" t="str">
        <f aca="false">IF(IFERROR(L162,7)=7,"",RIGHT(L162,LEN(L162)-2)&amp;".")</f>
        <v>/A.</v>
      </c>
      <c r="L162" s="36" t="str">
        <f aca="false">IFERROR(__xludf.dummyfunction("CONCATENATE(ArrayFormula(""; ""&amp;QUERY(Hallazgos!A:F,""SELECT B WHERE E CONTAINS '""&amp;A162&amp;""' LABEL B ''"")))"),"#N/A")</f>
        <v>#N/A</v>
      </c>
    </row>
    <row r="163" customFormat="false" ht="15.75" hidden="false" customHeight="true" outlineLevel="0" collapsed="false">
      <c r="A163" s="44" t="s">
        <v>417</v>
      </c>
      <c r="B163" s="44" t="s">
        <v>859</v>
      </c>
      <c r="C163" s="38" t="s">
        <v>38</v>
      </c>
      <c r="D163" s="39" t="s">
        <v>581</v>
      </c>
      <c r="E163" s="39" t="s">
        <v>81</v>
      </c>
      <c r="F163" s="39" t="s">
        <v>55</v>
      </c>
      <c r="G163" s="40" t="s">
        <v>17</v>
      </c>
      <c r="H163" s="40" t="s">
        <v>17</v>
      </c>
      <c r="I163" s="40" t="s">
        <v>17</v>
      </c>
      <c r="J163" s="40" t="str">
        <f aca="false">IF(G163="Sí", IF(H163="Sí", "DP", "SP"), IF(H163="Sí", "SD", "-"))</f>
        <v>-</v>
      </c>
      <c r="K163" s="36" t="str">
        <f aca="false">IF(IFERROR(L163,7)=7,"",RIGHT(L163,LEN(L163)-2)&amp;".")</f>
        <v>/A.</v>
      </c>
      <c r="L163" s="36" t="str">
        <f aca="false">IFERROR(__xludf.dummyfunction("CONCATENATE(ArrayFormula(""; ""&amp;QUERY(Hallazgos!A:F,""SELECT B WHERE E CONTAINS '""&amp;A163&amp;""' LABEL B ''"")))"),"#N/A")</f>
        <v>#N/A</v>
      </c>
    </row>
    <row r="164" customFormat="false" ht="15.75" hidden="false" customHeight="true" outlineLevel="0" collapsed="false">
      <c r="A164" s="43" t="s">
        <v>442</v>
      </c>
      <c r="B164" s="43" t="s">
        <v>860</v>
      </c>
      <c r="C164" s="42" t="s">
        <v>13</v>
      </c>
      <c r="D164" s="39" t="s">
        <v>570</v>
      </c>
      <c r="E164" s="39" t="s">
        <v>72</v>
      </c>
      <c r="F164" s="39" t="s">
        <v>55</v>
      </c>
      <c r="G164" s="40" t="s">
        <v>17</v>
      </c>
      <c r="H164" s="40" t="s">
        <v>17</v>
      </c>
      <c r="I164" s="40" t="s">
        <v>17</v>
      </c>
      <c r="J164" s="40" t="str">
        <f aca="false">IF(G164="Sí", IF(H164="Sí", "DP", "SP"), IF(H164="Sí", "SD", "-"))</f>
        <v>-</v>
      </c>
      <c r="K164" s="36" t="str">
        <f aca="false">IF(IFERROR(L164,7)=7,"",RIGHT(L164,LEN(L164)-2)&amp;".")</f>
        <v>/A.</v>
      </c>
      <c r="L164" s="36" t="str">
        <f aca="false">IFERROR(__xludf.dummyfunction("CONCATENATE(ArrayFormula(""; ""&amp;QUERY(Hallazgos!A:F,""SELECT B WHERE E CONTAINS '""&amp;A164&amp;""' LABEL B ''"")))"),"#N/A")</f>
        <v>#N/A</v>
      </c>
    </row>
    <row r="165" customFormat="false" ht="15.75" hidden="false" customHeight="true" outlineLevel="0" collapsed="false">
      <c r="A165" s="43" t="s">
        <v>444</v>
      </c>
      <c r="B165" s="43" t="s">
        <v>861</v>
      </c>
      <c r="C165" s="38" t="s">
        <v>13</v>
      </c>
      <c r="D165" s="39" t="s">
        <v>570</v>
      </c>
      <c r="E165" s="39" t="s">
        <v>72</v>
      </c>
      <c r="F165" s="39" t="s">
        <v>55</v>
      </c>
      <c r="G165" s="40" t="s">
        <v>17</v>
      </c>
      <c r="H165" s="40" t="s">
        <v>17</v>
      </c>
      <c r="I165" s="40" t="s">
        <v>17</v>
      </c>
      <c r="J165" s="40" t="str">
        <f aca="false">IF(G165="Sí", IF(H165="Sí", "DP", "SP"), IF(H165="Sí", "SD", "-"))</f>
        <v>-</v>
      </c>
      <c r="K165" s="36" t="str">
        <f aca="false">IF(IFERROR(L165,7)=7,"",RIGHT(L165,LEN(L165)-2)&amp;".")</f>
        <v>/A.</v>
      </c>
      <c r="L165" s="36" t="str">
        <f aca="false">IFERROR(__xludf.dummyfunction("CONCATENATE(ArrayFormula(""; ""&amp;QUERY(Hallazgos!A:F,""SELECT B WHERE E CONTAINS '""&amp;A165&amp;""' LABEL B ''"")))"),"#N/A")</f>
        <v>#N/A</v>
      </c>
    </row>
    <row r="166" customFormat="false" ht="15.75" hidden="false" customHeight="true" outlineLevel="0" collapsed="false">
      <c r="A166" s="43" t="s">
        <v>446</v>
      </c>
      <c r="B166" s="44" t="s">
        <v>862</v>
      </c>
      <c r="C166" s="42" t="s">
        <v>38</v>
      </c>
      <c r="D166" s="39" t="s">
        <v>570</v>
      </c>
      <c r="E166" s="39" t="s">
        <v>98</v>
      </c>
      <c r="F166" s="39" t="s">
        <v>55</v>
      </c>
      <c r="G166" s="40" t="s">
        <v>17</v>
      </c>
      <c r="H166" s="40" t="s">
        <v>17</v>
      </c>
      <c r="I166" s="40" t="s">
        <v>17</v>
      </c>
      <c r="J166" s="40" t="str">
        <f aca="false">IF(G166="Sí", IF(H166="Sí", "DP", "SP"), IF(H166="Sí", "SD", "-"))</f>
        <v>-</v>
      </c>
      <c r="K166" s="36" t="str">
        <f aca="false">IF(IFERROR(L166,7)=7,"",RIGHT(L166,LEN(L166)-2)&amp;".")</f>
        <v>/A.</v>
      </c>
      <c r="L166" s="36" t="str">
        <f aca="false">IFERROR(__xludf.dummyfunction("CONCATENATE(ArrayFormula(""; ""&amp;QUERY(Hallazgos!A:F,""SELECT B WHERE E CONTAINS '""&amp;A166&amp;""' LABEL B ''"")))"),"#N/A")</f>
        <v>#N/A</v>
      </c>
    </row>
    <row r="167" customFormat="false" ht="15.75" hidden="false" customHeight="true" outlineLevel="0" collapsed="false">
      <c r="A167" s="43" t="s">
        <v>448</v>
      </c>
      <c r="B167" s="44" t="s">
        <v>863</v>
      </c>
      <c r="C167" s="38" t="s">
        <v>38</v>
      </c>
      <c r="D167" s="39" t="s">
        <v>570</v>
      </c>
      <c r="E167" s="39" t="s">
        <v>54</v>
      </c>
      <c r="F167" s="39" t="s">
        <v>55</v>
      </c>
      <c r="G167" s="40" t="s">
        <v>17</v>
      </c>
      <c r="H167" s="40" t="s">
        <v>17</v>
      </c>
      <c r="I167" s="40" t="s">
        <v>17</v>
      </c>
      <c r="J167" s="40" t="str">
        <f aca="false">IF(G167="Sí", IF(H167="Sí", "DP", "SP"), IF(H167="Sí", "SD", "-"))</f>
        <v>-</v>
      </c>
      <c r="K167" s="36" t="str">
        <f aca="false">IF(IFERROR(L167,7)=7,"",RIGHT(L167,LEN(L167)-2)&amp;".")</f>
        <v>/A.</v>
      </c>
      <c r="L167" s="36" t="str">
        <f aca="false">IFERROR(__xludf.dummyfunction("CONCATENATE(ArrayFormula(""; ""&amp;QUERY(Hallazgos!A:F,""SELECT B WHERE E CONTAINS '""&amp;A167&amp;""' LABEL B ''"")))"),"#N/A")</f>
        <v>#N/A</v>
      </c>
    </row>
    <row r="168" customFormat="false" ht="15.75" hidden="false" customHeight="true" outlineLevel="0" collapsed="false">
      <c r="A168" s="43" t="s">
        <v>450</v>
      </c>
      <c r="B168" s="43" t="s">
        <v>864</v>
      </c>
      <c r="C168" s="42" t="s">
        <v>13</v>
      </c>
      <c r="D168" s="39" t="s">
        <v>570</v>
      </c>
      <c r="E168" s="39" t="s">
        <v>184</v>
      </c>
      <c r="F168" s="39" t="s">
        <v>55</v>
      </c>
      <c r="G168" s="40" t="s">
        <v>17</v>
      </c>
      <c r="H168" s="40" t="s">
        <v>17</v>
      </c>
      <c r="I168" s="40" t="s">
        <v>17</v>
      </c>
      <c r="J168" s="40" t="str">
        <f aca="false">IF(G168="Sí", IF(H168="Sí", "DP", "SP"), IF(H168="Sí", "SD", "-"))</f>
        <v>-</v>
      </c>
      <c r="K168" s="36" t="str">
        <f aca="false">IF(IFERROR(L168,7)=7,"",RIGHT(L168,LEN(L168)-2)&amp;".")</f>
        <v>/A.</v>
      </c>
      <c r="L168" s="36" t="str">
        <f aca="false">IFERROR(__xludf.dummyfunction("CONCATENATE(ArrayFormula(""; ""&amp;QUERY(Hallazgos!A:F,""SELECT B WHERE E CONTAINS '""&amp;A168&amp;""' LABEL B ''"")))"),"#N/A")</f>
        <v>#N/A</v>
      </c>
    </row>
    <row r="169" customFormat="false" ht="15.75" hidden="false" customHeight="true" outlineLevel="0" collapsed="false">
      <c r="A169" s="43" t="s">
        <v>453</v>
      </c>
      <c r="B169" s="43" t="s">
        <v>865</v>
      </c>
      <c r="C169" s="42" t="s">
        <v>38</v>
      </c>
      <c r="D169" s="39" t="s">
        <v>866</v>
      </c>
      <c r="E169" s="39" t="s">
        <v>116</v>
      </c>
      <c r="F169" s="39" t="s">
        <v>55</v>
      </c>
      <c r="G169" s="40" t="s">
        <v>17</v>
      </c>
      <c r="H169" s="40" t="s">
        <v>17</v>
      </c>
      <c r="I169" s="40" t="s">
        <v>17</v>
      </c>
      <c r="J169" s="40" t="str">
        <f aca="false">IF(G169="Sí", IF(H169="Sí", "DP", "SP"), IF(H169="Sí", "SD", "-"))</f>
        <v>-</v>
      </c>
      <c r="K169" s="36" t="str">
        <f aca="false">IF(IFERROR(L169,7)=7,"",RIGHT(L169,LEN(L169)-2)&amp;".")</f>
        <v>/A.</v>
      </c>
      <c r="L169" s="36" t="str">
        <f aca="false">IFERROR(__xludf.dummyfunction("CONCATENATE(ArrayFormula(""; ""&amp;QUERY(Hallazgos!A:F,""SELECT B WHERE E CONTAINS '""&amp;A169&amp;""' LABEL B ''"")))"),"#N/A")</f>
        <v>#N/A</v>
      </c>
    </row>
    <row r="170" customFormat="false" ht="15.75" hidden="false" customHeight="true" outlineLevel="0" collapsed="false">
      <c r="A170" s="43" t="s">
        <v>455</v>
      </c>
      <c r="B170" s="43" t="s">
        <v>867</v>
      </c>
      <c r="C170" s="42" t="s">
        <v>38</v>
      </c>
      <c r="D170" s="39" t="s">
        <v>866</v>
      </c>
      <c r="E170" s="39" t="s">
        <v>116</v>
      </c>
      <c r="F170" s="39" t="s">
        <v>55</v>
      </c>
      <c r="G170" s="40" t="s">
        <v>17</v>
      </c>
      <c r="H170" s="40" t="s">
        <v>17</v>
      </c>
      <c r="I170" s="40" t="s">
        <v>17</v>
      </c>
      <c r="J170" s="40" t="str">
        <f aca="false">IF(G170="Sí", IF(H170="Sí", "DP", "SP"), IF(H170="Sí", "SD", "-"))</f>
        <v>-</v>
      </c>
      <c r="K170" s="36" t="str">
        <f aca="false">IF(IFERROR(L170,7)=7,"",RIGHT(L170,LEN(L170)-2)&amp;".")</f>
        <v>/A.</v>
      </c>
      <c r="L170" s="36" t="str">
        <f aca="false">IFERROR(__xludf.dummyfunction("CONCATENATE(ArrayFormula(""; ""&amp;QUERY(Hallazgos!A:F,""SELECT B WHERE E CONTAINS '""&amp;A170&amp;""' LABEL B ''"")))"),"#N/A")</f>
        <v>#N/A</v>
      </c>
    </row>
    <row r="171" customFormat="false" ht="15.75" hidden="false" customHeight="true" outlineLevel="0" collapsed="false">
      <c r="A171" s="43" t="s">
        <v>457</v>
      </c>
      <c r="B171" s="43" t="s">
        <v>868</v>
      </c>
      <c r="C171" s="42" t="s">
        <v>41</v>
      </c>
      <c r="D171" s="39" t="s">
        <v>69</v>
      </c>
      <c r="E171" s="39" t="s">
        <v>15</v>
      </c>
      <c r="F171" s="39" t="s">
        <v>55</v>
      </c>
      <c r="G171" s="40" t="s">
        <v>17</v>
      </c>
      <c r="H171" s="40" t="s">
        <v>17</v>
      </c>
      <c r="I171" s="40" t="s">
        <v>17</v>
      </c>
      <c r="J171" s="40" t="str">
        <f aca="false">IF(G171="Sí", IF(H171="Sí", "DP", "SP"), IF(H171="Sí", "SD", "-"))</f>
        <v>-</v>
      </c>
      <c r="K171" s="36" t="str">
        <f aca="false">IF(IFERROR(L171,7)=7,"",RIGHT(L171,LEN(L171)-2)&amp;".")</f>
        <v>/A.</v>
      </c>
      <c r="L171" s="36" t="str">
        <f aca="false">IFERROR(__xludf.dummyfunction("CONCATENATE(ArrayFormula(""; ""&amp;QUERY(Hallazgos!A:F,""SELECT B WHERE E CONTAINS '""&amp;A171&amp;""' LABEL B ''"")))"),"#N/A")</f>
        <v>#N/A</v>
      </c>
    </row>
    <row r="172" customFormat="false" ht="15.75" hidden="false" customHeight="true" outlineLevel="0" collapsed="false">
      <c r="A172" s="43" t="s">
        <v>459</v>
      </c>
      <c r="B172" s="43" t="s">
        <v>869</v>
      </c>
      <c r="C172" s="42" t="s">
        <v>41</v>
      </c>
      <c r="D172" s="39" t="s">
        <v>69</v>
      </c>
      <c r="E172" s="39" t="s">
        <v>72</v>
      </c>
      <c r="F172" s="39" t="s">
        <v>73</v>
      </c>
      <c r="G172" s="40" t="s">
        <v>17</v>
      </c>
      <c r="H172" s="40" t="s">
        <v>17</v>
      </c>
      <c r="I172" s="40" t="s">
        <v>17</v>
      </c>
      <c r="J172" s="40" t="str">
        <f aca="false">IF(G172="Sí", IF(H172="Sí", "DP", "SP"), IF(H172="Sí", "SD", "-"))</f>
        <v>-</v>
      </c>
      <c r="K172" s="36" t="str">
        <f aca="false">IF(IFERROR(L172,7)=7,"",RIGHT(L172,LEN(L172)-2)&amp;".")</f>
        <v>/A.</v>
      </c>
      <c r="L172" s="36" t="str">
        <f aca="false">IFERROR(__xludf.dummyfunction("CONCATENATE(ArrayFormula(""; ""&amp;QUERY(Hallazgos!A:F,""SELECT B WHERE E CONTAINS '""&amp;A172&amp;""' LABEL B ''"")))"),"#N/A")</f>
        <v>#N/A</v>
      </c>
    </row>
    <row r="173" customFormat="false" ht="15.75" hidden="false" customHeight="true" outlineLevel="0" collapsed="false">
      <c r="A173" s="43" t="s">
        <v>462</v>
      </c>
      <c r="B173" s="43" t="s">
        <v>870</v>
      </c>
      <c r="C173" s="42" t="s">
        <v>41</v>
      </c>
      <c r="D173" s="39" t="s">
        <v>69</v>
      </c>
      <c r="E173" s="39" t="s">
        <v>76</v>
      </c>
      <c r="F173" s="39" t="s">
        <v>55</v>
      </c>
      <c r="G173" s="40" t="s">
        <v>17</v>
      </c>
      <c r="H173" s="40" t="s">
        <v>17</v>
      </c>
      <c r="I173" s="40" t="s">
        <v>17</v>
      </c>
      <c r="J173" s="40" t="str">
        <f aca="false">IF(G173="Sí", IF(H173="Sí", "DP", "SP"), IF(H173="Sí", "SD", "-"))</f>
        <v>-</v>
      </c>
      <c r="K173" s="36" t="str">
        <f aca="false">IF(IFERROR(L173,7)=7,"",RIGHT(L173,LEN(L173)-2)&amp;".")</f>
        <v>/A.</v>
      </c>
      <c r="L173" s="36" t="str">
        <f aca="false">IFERROR(__xludf.dummyfunction("CONCATENATE(ArrayFormula(""; ""&amp;QUERY(Hallazgos!A:F,""SELECT B WHERE E CONTAINS '""&amp;A173&amp;""' LABEL B ''"")))"),"#N/A")</f>
        <v>#N/A</v>
      </c>
    </row>
    <row r="174" customFormat="false" ht="15.75" hidden="false" customHeight="true" outlineLevel="0" collapsed="false">
      <c r="A174" s="43" t="s">
        <v>464</v>
      </c>
      <c r="B174" s="43" t="s">
        <v>871</v>
      </c>
      <c r="C174" s="42" t="s">
        <v>41</v>
      </c>
      <c r="D174" s="39" t="s">
        <v>69</v>
      </c>
      <c r="E174" s="39" t="s">
        <v>76</v>
      </c>
      <c r="F174" s="39" t="s">
        <v>73</v>
      </c>
      <c r="G174" s="40" t="s">
        <v>17</v>
      </c>
      <c r="H174" s="40" t="s">
        <v>17</v>
      </c>
      <c r="I174" s="40" t="s">
        <v>17</v>
      </c>
      <c r="J174" s="40" t="str">
        <f aca="false">IF(G174="Sí", IF(H174="Sí", "DP", "SP"), IF(H174="Sí", "SD", "-"))</f>
        <v>-</v>
      </c>
      <c r="K174" s="36" t="str">
        <f aca="false">IF(IFERROR(L174,7)=7,"",RIGHT(L174,LEN(L174)-2)&amp;".")</f>
        <v>/A.</v>
      </c>
      <c r="L174" s="36" t="str">
        <f aca="false">IFERROR(__xludf.dummyfunction("CONCATENATE(ArrayFormula(""; ""&amp;QUERY(Hallazgos!A:F,""SELECT B WHERE E CONTAINS '""&amp;A174&amp;""' LABEL B ''"")))"),"#N/A")</f>
        <v>#N/A</v>
      </c>
    </row>
    <row r="175" customFormat="false" ht="15.75" hidden="false" customHeight="true" outlineLevel="0" collapsed="false">
      <c r="A175" s="43" t="s">
        <v>466</v>
      </c>
      <c r="B175" s="43" t="s">
        <v>872</v>
      </c>
      <c r="C175" s="42" t="s">
        <v>41</v>
      </c>
      <c r="D175" s="39" t="s">
        <v>69</v>
      </c>
      <c r="E175" s="39" t="s">
        <v>81</v>
      </c>
      <c r="F175" s="39" t="s">
        <v>55</v>
      </c>
      <c r="G175" s="40" t="s">
        <v>17</v>
      </c>
      <c r="H175" s="40" t="s">
        <v>17</v>
      </c>
      <c r="I175" s="40" t="s">
        <v>17</v>
      </c>
      <c r="J175" s="40" t="str">
        <f aca="false">IF(G175="Sí", IF(H175="Sí", "DP", "SP"), IF(H175="Sí", "SD", "-"))</f>
        <v>-</v>
      </c>
      <c r="K175" s="36" t="str">
        <f aca="false">IF(IFERROR(L175,7)=7,"",RIGHT(L175,LEN(L175)-2)&amp;".")</f>
        <v>/A.</v>
      </c>
      <c r="L175" s="36" t="str">
        <f aca="false">IFERROR(__xludf.dummyfunction("CONCATENATE(ArrayFormula(""; ""&amp;QUERY(Hallazgos!A:F,""SELECT B WHERE E CONTAINS '""&amp;A175&amp;""' LABEL B ''"")))"),"#N/A")</f>
        <v>#N/A</v>
      </c>
    </row>
    <row r="176" customFormat="false" ht="15.75" hidden="false" customHeight="true" outlineLevel="0" collapsed="false">
      <c r="A176" s="43" t="s">
        <v>468</v>
      </c>
      <c r="B176" s="43" t="s">
        <v>873</v>
      </c>
      <c r="C176" s="42" t="s">
        <v>41</v>
      </c>
      <c r="D176" s="39" t="s">
        <v>69</v>
      </c>
      <c r="E176" s="39" t="s">
        <v>81</v>
      </c>
      <c r="F176" s="39" t="s">
        <v>55</v>
      </c>
      <c r="G176" s="40" t="s">
        <v>17</v>
      </c>
      <c r="H176" s="40" t="s">
        <v>17</v>
      </c>
      <c r="I176" s="40" t="s">
        <v>17</v>
      </c>
      <c r="J176" s="40" t="str">
        <f aca="false">IF(G176="Sí", IF(H176="Sí", "DP", "SP"), IF(H176="Sí", "SD", "-"))</f>
        <v>-</v>
      </c>
      <c r="K176" s="36" t="str">
        <f aca="false">IF(IFERROR(L176,7)=7,"",RIGHT(L176,LEN(L176)-2)&amp;".")</f>
        <v>/A.</v>
      </c>
      <c r="L176" s="36" t="str">
        <f aca="false">IFERROR(__xludf.dummyfunction("CONCATENATE(ArrayFormula(""; ""&amp;QUERY(Hallazgos!A:F,""SELECT B WHERE E CONTAINS '""&amp;A176&amp;""' LABEL B ''"")))"),"#N/A")</f>
        <v>#N/A</v>
      </c>
    </row>
    <row r="177" customFormat="false" ht="15.75" hidden="false" customHeight="true" outlineLevel="0" collapsed="false">
      <c r="A177" s="43" t="s">
        <v>472</v>
      </c>
      <c r="B177" s="43" t="s">
        <v>874</v>
      </c>
      <c r="C177" s="42" t="s">
        <v>41</v>
      </c>
      <c r="D177" s="39" t="s">
        <v>189</v>
      </c>
      <c r="E177" s="39" t="s">
        <v>54</v>
      </c>
      <c r="F177" s="39" t="s">
        <v>55</v>
      </c>
      <c r="G177" s="40" t="s">
        <v>17</v>
      </c>
      <c r="H177" s="40" t="s">
        <v>17</v>
      </c>
      <c r="I177" s="40" t="s">
        <v>17</v>
      </c>
      <c r="J177" s="40" t="str">
        <f aca="false">IF(G177="Sí", IF(H177="Sí", "DP", "SP"), IF(H177="Sí", "SD", "-"))</f>
        <v>-</v>
      </c>
      <c r="K177" s="36" t="str">
        <f aca="false">IF(IFERROR(L177,7)=7,"",RIGHT(L177,LEN(L177)-2)&amp;".")</f>
        <v>/A.</v>
      </c>
      <c r="L177" s="36" t="str">
        <f aca="false">IFERROR(__xludf.dummyfunction("CONCATENATE(ArrayFormula(""; ""&amp;QUERY(Hallazgos!A:F,""SELECT B WHERE E CONTAINS '""&amp;A177&amp;""' LABEL B ''"")))"),"#N/A")</f>
        <v>#N/A</v>
      </c>
    </row>
    <row r="178" customFormat="false" ht="15.75" hidden="false" customHeight="true" outlineLevel="0" collapsed="false">
      <c r="A178" s="43" t="s">
        <v>474</v>
      </c>
      <c r="B178" s="43" t="s">
        <v>875</v>
      </c>
      <c r="C178" s="42" t="s">
        <v>41</v>
      </c>
      <c r="D178" s="39" t="s">
        <v>69</v>
      </c>
      <c r="E178" s="39" t="s">
        <v>81</v>
      </c>
      <c r="F178" s="39" t="s">
        <v>73</v>
      </c>
      <c r="G178" s="40" t="s">
        <v>17</v>
      </c>
      <c r="H178" s="40" t="s">
        <v>17</v>
      </c>
      <c r="I178" s="40" t="s">
        <v>17</v>
      </c>
      <c r="J178" s="40" t="str">
        <f aca="false">IF(G178="Sí", IF(H178="Sí", "DP", "SP"), IF(H178="Sí", "SD", "-"))</f>
        <v>-</v>
      </c>
      <c r="K178" s="36" t="str">
        <f aca="false">IF(IFERROR(L178,7)=7,"",RIGHT(L178,LEN(L178)-2)&amp;".")</f>
        <v>/A.</v>
      </c>
      <c r="L178" s="36" t="str">
        <f aca="false">IFERROR(__xludf.dummyfunction("CONCATENATE(ArrayFormula(""; ""&amp;QUERY(Hallazgos!A:F,""SELECT B WHERE E CONTAINS '""&amp;A178&amp;""' LABEL B ''"")))"),"#N/A")</f>
        <v>#N/A</v>
      </c>
    </row>
    <row r="179" customFormat="false" ht="15.75" hidden="false" customHeight="true" outlineLevel="0" collapsed="false">
      <c r="A179" s="43" t="s">
        <v>476</v>
      </c>
      <c r="B179" s="43" t="s">
        <v>876</v>
      </c>
      <c r="C179" s="42" t="s">
        <v>41</v>
      </c>
      <c r="D179" s="39" t="s">
        <v>69</v>
      </c>
      <c r="E179" s="39" t="s">
        <v>88</v>
      </c>
      <c r="F179" s="39" t="s">
        <v>73</v>
      </c>
      <c r="G179" s="40" t="s">
        <v>17</v>
      </c>
      <c r="H179" s="40" t="s">
        <v>17</v>
      </c>
      <c r="I179" s="40" t="s">
        <v>17</v>
      </c>
      <c r="J179" s="40" t="str">
        <f aca="false">IF(G179="Sí", IF(H179="Sí", "DP", "SP"), IF(H179="Sí", "SD", "-"))</f>
        <v>-</v>
      </c>
      <c r="K179" s="36" t="str">
        <f aca="false">IF(IFERROR(L179,7)=7,"",RIGHT(L179,LEN(L179)-2)&amp;".")</f>
        <v>/A.</v>
      </c>
      <c r="L179" s="36" t="str">
        <f aca="false">IFERROR(__xludf.dummyfunction("CONCATENATE(ArrayFormula(""; ""&amp;QUERY(Hallazgos!A:F,""SELECT B WHERE E CONTAINS '""&amp;A179&amp;""' LABEL B ''"")))"),"#N/A")</f>
        <v>#N/A</v>
      </c>
    </row>
    <row r="180" customFormat="false" ht="15.75" hidden="false" customHeight="true" outlineLevel="0" collapsed="false">
      <c r="A180" s="43" t="s">
        <v>478</v>
      </c>
      <c r="B180" s="43" t="s">
        <v>92</v>
      </c>
      <c r="C180" s="42" t="s">
        <v>41</v>
      </c>
      <c r="D180" s="39" t="s">
        <v>69</v>
      </c>
      <c r="E180" s="39" t="s">
        <v>81</v>
      </c>
      <c r="F180" s="39" t="s">
        <v>73</v>
      </c>
      <c r="G180" s="40" t="s">
        <v>17</v>
      </c>
      <c r="H180" s="40" t="s">
        <v>17</v>
      </c>
      <c r="I180" s="40" t="s">
        <v>17</v>
      </c>
      <c r="J180" s="40" t="str">
        <f aca="false">IF(G180="Sí", IF(H180="Sí", "DP", "SP"), IF(H180="Sí", "SD", "-"))</f>
        <v>-</v>
      </c>
      <c r="K180" s="36" t="str">
        <f aca="false">IF(IFERROR(L180,7)=7,"",RIGHT(L180,LEN(L180)-2)&amp;".")</f>
        <v>/A.</v>
      </c>
      <c r="L180" s="36" t="str">
        <f aca="false">IFERROR(__xludf.dummyfunction("CONCATENATE(ArrayFormula(""; ""&amp;QUERY(Hallazgos!A:F,""SELECT B WHERE E CONTAINS '""&amp;A180&amp;""' LABEL B ''"")))"),"#N/A")</f>
        <v>#N/A</v>
      </c>
    </row>
    <row r="181" customFormat="false" ht="15.75" hidden="false" customHeight="true" outlineLevel="0" collapsed="false">
      <c r="A181" s="43" t="s">
        <v>480</v>
      </c>
      <c r="B181" s="43" t="s">
        <v>877</v>
      </c>
      <c r="C181" s="42" t="s">
        <v>13</v>
      </c>
      <c r="D181" s="39" t="s">
        <v>599</v>
      </c>
      <c r="E181" s="39" t="s">
        <v>54</v>
      </c>
      <c r="F181" s="39" t="s">
        <v>55</v>
      </c>
      <c r="G181" s="40" t="s">
        <v>17</v>
      </c>
      <c r="H181" s="40" t="s">
        <v>17</v>
      </c>
      <c r="I181" s="40" t="s">
        <v>17</v>
      </c>
      <c r="J181" s="40" t="str">
        <f aca="false">IF(G181="Sí", IF(H181="Sí", "DP", "SP"), IF(H181="Sí", "SD", "-"))</f>
        <v>-</v>
      </c>
      <c r="K181" s="36" t="str">
        <f aca="false">IF(IFERROR(L181,7)=7,"",RIGHT(L181,LEN(L181)-2)&amp;".")</f>
        <v>/A.</v>
      </c>
      <c r="L181" s="36" t="str">
        <f aca="false">IFERROR(__xludf.dummyfunction("CONCATENATE(ArrayFormula(""; ""&amp;QUERY(Hallazgos!A:F,""SELECT B WHERE E CONTAINS '""&amp;A181&amp;""' LABEL B ''"")))"),"#N/A")</f>
        <v>#N/A</v>
      </c>
    </row>
    <row r="182" customFormat="false" ht="15.75" hidden="false" customHeight="true" outlineLevel="0" collapsed="false">
      <c r="A182" s="43" t="s">
        <v>483</v>
      </c>
      <c r="B182" s="43" t="s">
        <v>878</v>
      </c>
      <c r="C182" s="42" t="s">
        <v>41</v>
      </c>
      <c r="D182" s="39" t="s">
        <v>103</v>
      </c>
      <c r="E182" s="39" t="s">
        <v>76</v>
      </c>
      <c r="F182" s="39" t="s">
        <v>55</v>
      </c>
      <c r="G182" s="40" t="s">
        <v>17</v>
      </c>
      <c r="H182" s="40" t="s">
        <v>17</v>
      </c>
      <c r="I182" s="40" t="s">
        <v>17</v>
      </c>
      <c r="J182" s="40" t="str">
        <f aca="false">IF(G182="Sí", IF(H182="Sí", "DP", "SP"), IF(H182="Sí", "SD", "-"))</f>
        <v>-</v>
      </c>
      <c r="K182" s="36" t="str">
        <f aca="false">IF(IFERROR(L182,7)=7,"",RIGHT(L182,LEN(L182)-2)&amp;".")</f>
        <v>/A.</v>
      </c>
      <c r="L182" s="36" t="str">
        <f aca="false">IFERROR(__xludf.dummyfunction("CONCATENATE(ArrayFormula(""; ""&amp;QUERY(Hallazgos!A:F,""SELECT B WHERE E CONTAINS '""&amp;A182&amp;""' LABEL B ''"")))"),"#N/A")</f>
        <v>#N/A</v>
      </c>
    </row>
    <row r="183" customFormat="false" ht="15.75" hidden="false" customHeight="true" outlineLevel="0" collapsed="false">
      <c r="A183" s="43" t="s">
        <v>485</v>
      </c>
      <c r="B183" s="43" t="s">
        <v>605</v>
      </c>
      <c r="C183" s="42" t="s">
        <v>41</v>
      </c>
      <c r="D183" s="39" t="s">
        <v>599</v>
      </c>
      <c r="E183" s="39" t="s">
        <v>184</v>
      </c>
      <c r="F183" s="39" t="s">
        <v>55</v>
      </c>
      <c r="G183" s="40" t="s">
        <v>17</v>
      </c>
      <c r="H183" s="40" t="s">
        <v>17</v>
      </c>
      <c r="I183" s="40" t="s">
        <v>17</v>
      </c>
      <c r="J183" s="40" t="str">
        <f aca="false">IF(G183="Sí", IF(H183="Sí", "DP", "SP"), IF(H183="Sí", "SD", "-"))</f>
        <v>-</v>
      </c>
      <c r="K183" s="36" t="str">
        <f aca="false">IF(IFERROR(L183,7)=7,"",RIGHT(L183,LEN(L183)-2)&amp;".")</f>
        <v>/A.</v>
      </c>
      <c r="L183" s="36" t="str">
        <f aca="false">IFERROR(__xludf.dummyfunction("CONCATENATE(ArrayFormula(""; ""&amp;QUERY(Hallazgos!A:F,""SELECT B WHERE E CONTAINS '""&amp;A183&amp;""' LABEL B ''"")))"),"#N/A")</f>
        <v>#N/A</v>
      </c>
    </row>
    <row r="184" customFormat="false" ht="15.75" hidden="false" customHeight="true" outlineLevel="0" collapsed="false">
      <c r="A184" s="43" t="s">
        <v>490</v>
      </c>
      <c r="B184" s="43" t="s">
        <v>609</v>
      </c>
      <c r="C184" s="42" t="s">
        <v>13</v>
      </c>
      <c r="D184" s="39" t="s">
        <v>599</v>
      </c>
      <c r="E184" s="39" t="s">
        <v>15</v>
      </c>
      <c r="F184" s="39" t="s">
        <v>55</v>
      </c>
      <c r="G184" s="40" t="s">
        <v>17</v>
      </c>
      <c r="H184" s="40" t="s">
        <v>17</v>
      </c>
      <c r="I184" s="40" t="s">
        <v>17</v>
      </c>
      <c r="J184" s="40" t="str">
        <f aca="false">IF(G184="Sí", IF(H184="Sí", "DP", "SP"), IF(H184="Sí", "SD", "-"))</f>
        <v>-</v>
      </c>
      <c r="K184" s="36" t="str">
        <f aca="false">IF(IFERROR(L184,7)=7,"",RIGHT(L184,LEN(L184)-2)&amp;".")</f>
        <v>/A.</v>
      </c>
      <c r="L184" s="36" t="str">
        <f aca="false">IFERROR(__xludf.dummyfunction("CONCATENATE(ArrayFormula(""; ""&amp;QUERY(Hallazgos!A:F,""SELECT B WHERE E CONTAINS '""&amp;A184&amp;""' LABEL B ''"")))"),"#N/A")</f>
        <v>#N/A</v>
      </c>
    </row>
    <row r="185" customFormat="false" ht="15.75" hidden="false" customHeight="true" outlineLevel="0" collapsed="false">
      <c r="A185" s="43" t="s">
        <v>492</v>
      </c>
      <c r="B185" s="43" t="s">
        <v>879</v>
      </c>
      <c r="C185" s="42" t="s">
        <v>38</v>
      </c>
      <c r="D185" s="39" t="s">
        <v>599</v>
      </c>
      <c r="E185" s="39" t="s">
        <v>15</v>
      </c>
      <c r="F185" s="39" t="s">
        <v>55</v>
      </c>
      <c r="G185" s="40" t="s">
        <v>17</v>
      </c>
      <c r="H185" s="40" t="s">
        <v>17</v>
      </c>
      <c r="I185" s="40" t="s">
        <v>17</v>
      </c>
      <c r="J185" s="40" t="str">
        <f aca="false">IF(G185="Sí", IF(H185="Sí", "DP", "SP"), IF(H185="Sí", "SD", "-"))</f>
        <v>-</v>
      </c>
      <c r="K185" s="36" t="str">
        <f aca="false">IF(IFERROR(L185,7)=7,"",RIGHT(L185,LEN(L185)-2)&amp;".")</f>
        <v>/A.</v>
      </c>
      <c r="L185" s="36" t="str">
        <f aca="false">IFERROR(__xludf.dummyfunction("CONCATENATE(ArrayFormula(""; ""&amp;QUERY(Hallazgos!A:F,""SELECT B WHERE E CONTAINS '""&amp;A185&amp;""' LABEL B ''"")))"),"#N/A")</f>
        <v>#N/A</v>
      </c>
    </row>
    <row r="186" customFormat="false" ht="15.75" hidden="false" customHeight="true" outlineLevel="0" collapsed="false">
      <c r="A186" s="43" t="s">
        <v>494</v>
      </c>
      <c r="B186" s="43" t="s">
        <v>880</v>
      </c>
      <c r="C186" s="42" t="s">
        <v>13</v>
      </c>
      <c r="D186" s="39" t="s">
        <v>599</v>
      </c>
      <c r="E186" s="39" t="s">
        <v>184</v>
      </c>
      <c r="F186" s="39" t="s">
        <v>55</v>
      </c>
      <c r="G186" s="40" t="s">
        <v>17</v>
      </c>
      <c r="H186" s="40" t="s">
        <v>17</v>
      </c>
      <c r="I186" s="40" t="s">
        <v>17</v>
      </c>
      <c r="J186" s="40" t="str">
        <f aca="false">IF(G186="Sí", IF(H186="Sí", "DP", "SP"), IF(H186="Sí", "SD", "-"))</f>
        <v>-</v>
      </c>
      <c r="K186" s="36" t="str">
        <f aca="false">IF(IFERROR(L186,7)=7,"",RIGHT(L186,LEN(L186)-2)&amp;".")</f>
        <v>/A.</v>
      </c>
      <c r="L186" s="36" t="str">
        <f aca="false">IFERROR(__xludf.dummyfunction("CONCATENATE(ArrayFormula(""; ""&amp;QUERY(Hallazgos!A:F,""SELECT B WHERE E CONTAINS '""&amp;A186&amp;""' LABEL B ''"")))"),"#N/A")</f>
        <v>#N/A</v>
      </c>
    </row>
    <row r="187" customFormat="false" ht="15.75" hidden="false" customHeight="true" outlineLevel="0" collapsed="false">
      <c r="A187" s="43" t="s">
        <v>497</v>
      </c>
      <c r="B187" s="43" t="s">
        <v>881</v>
      </c>
      <c r="C187" s="42" t="s">
        <v>13</v>
      </c>
      <c r="D187" s="39" t="s">
        <v>599</v>
      </c>
      <c r="E187" s="39" t="s">
        <v>184</v>
      </c>
      <c r="F187" s="39" t="s">
        <v>55</v>
      </c>
      <c r="G187" s="40" t="s">
        <v>17</v>
      </c>
      <c r="H187" s="40" t="s">
        <v>17</v>
      </c>
      <c r="I187" s="40" t="s">
        <v>17</v>
      </c>
      <c r="J187" s="40" t="str">
        <f aca="false">IF(G187="Sí", IF(H187="Sí", "DP", "SP"), IF(H187="Sí", "SD", "-"))</f>
        <v>-</v>
      </c>
      <c r="K187" s="36" t="str">
        <f aca="false">IF(IFERROR(L187,7)=7,"",RIGHT(L187,LEN(L187)-2)&amp;".")</f>
        <v>/A.</v>
      </c>
      <c r="L187" s="36" t="str">
        <f aca="false">IFERROR(__xludf.dummyfunction("CONCATENATE(ArrayFormula(""; ""&amp;QUERY(Hallazgos!A:F,""SELECT B WHERE E CONTAINS '""&amp;A187&amp;""' LABEL B ''"")))"),"#N/A")</f>
        <v>#N/A</v>
      </c>
    </row>
    <row r="188" customFormat="false" ht="15.75" hidden="false" customHeight="true" outlineLevel="0" collapsed="false">
      <c r="A188" s="43" t="s">
        <v>499</v>
      </c>
      <c r="B188" s="43" t="s">
        <v>882</v>
      </c>
      <c r="C188" s="42" t="s">
        <v>13</v>
      </c>
      <c r="D188" s="39" t="s">
        <v>599</v>
      </c>
      <c r="E188" s="39" t="s">
        <v>81</v>
      </c>
      <c r="F188" s="39" t="s">
        <v>55</v>
      </c>
      <c r="G188" s="40" t="s">
        <v>17</v>
      </c>
      <c r="H188" s="40" t="s">
        <v>17</v>
      </c>
      <c r="I188" s="40" t="s">
        <v>17</v>
      </c>
      <c r="J188" s="40" t="str">
        <f aca="false">IF(G188="Sí", IF(H188="Sí", "DP", "SP"), IF(H188="Sí", "SD", "-"))</f>
        <v>-</v>
      </c>
      <c r="K188" s="36" t="str">
        <f aca="false">IF(IFERROR(L188,7)=7,"",RIGHT(L188,LEN(L188)-2)&amp;".")</f>
        <v>/A.</v>
      </c>
      <c r="L188" s="36" t="str">
        <f aca="false">IFERROR(__xludf.dummyfunction("CONCATENATE(ArrayFormula(""; ""&amp;QUERY(Hallazgos!A:F,""SELECT B WHERE E CONTAINS '""&amp;A188&amp;""' LABEL B ''"")))"),"#N/A")</f>
        <v>#N/A</v>
      </c>
    </row>
    <row r="189" customFormat="false" ht="15.75" hidden="false" customHeight="true" outlineLevel="0" collapsed="false">
      <c r="A189" s="43" t="s">
        <v>502</v>
      </c>
      <c r="B189" s="43" t="s">
        <v>883</v>
      </c>
      <c r="C189" s="42" t="s">
        <v>13</v>
      </c>
      <c r="D189" s="39" t="s">
        <v>599</v>
      </c>
      <c r="E189" s="39" t="s">
        <v>98</v>
      </c>
      <c r="F189" s="39" t="s">
        <v>55</v>
      </c>
      <c r="G189" s="40" t="s">
        <v>17</v>
      </c>
      <c r="H189" s="40" t="s">
        <v>17</v>
      </c>
      <c r="I189" s="40" t="s">
        <v>17</v>
      </c>
      <c r="J189" s="40" t="str">
        <f aca="false">IF(G189="Sí", IF(H189="Sí", "DP", "SP"), IF(H189="Sí", "SD", "-"))</f>
        <v>-</v>
      </c>
      <c r="K189" s="36" t="str">
        <f aca="false">IF(IFERROR(L189,7)=7,"",RIGHT(L189,LEN(L189)-2)&amp;".")</f>
        <v>/A.</v>
      </c>
      <c r="L189" s="36" t="str">
        <f aca="false">IFERROR(__xludf.dummyfunction("CONCATENATE(ArrayFormula(""; ""&amp;QUERY(Hallazgos!A:F,""SELECT B WHERE E CONTAINS '""&amp;A189&amp;""' LABEL B ''"")))"),"#N/A")</f>
        <v>#N/A</v>
      </c>
    </row>
    <row r="190" customFormat="false" ht="15.75" hidden="false" customHeight="true" outlineLevel="0" collapsed="false">
      <c r="A190" s="43" t="s">
        <v>504</v>
      </c>
      <c r="B190" s="43" t="s">
        <v>884</v>
      </c>
      <c r="C190" s="42" t="s">
        <v>13</v>
      </c>
      <c r="D190" s="39" t="s">
        <v>599</v>
      </c>
      <c r="E190" s="39" t="s">
        <v>98</v>
      </c>
      <c r="F190" s="39" t="s">
        <v>55</v>
      </c>
      <c r="G190" s="40" t="s">
        <v>17</v>
      </c>
      <c r="H190" s="40" t="s">
        <v>17</v>
      </c>
      <c r="I190" s="40" t="s">
        <v>17</v>
      </c>
      <c r="J190" s="40" t="str">
        <f aca="false">IF(G190="Sí", IF(H190="Sí", "DP", "SP"), IF(H190="Sí", "SD", "-"))</f>
        <v>-</v>
      </c>
      <c r="K190" s="36" t="str">
        <f aca="false">IF(IFERROR(L190,7)=7,"",RIGHT(L190,LEN(L190)-2)&amp;".")</f>
        <v>/A.</v>
      </c>
      <c r="L190" s="36" t="str">
        <f aca="false">IFERROR(__xludf.dummyfunction("CONCATENATE(ArrayFormula(""; ""&amp;QUERY(Hallazgos!A:F,""SELECT B WHERE E CONTAINS '""&amp;A190&amp;""' LABEL B ''"")))"),"#N/A")</f>
        <v>#N/A</v>
      </c>
    </row>
    <row r="191" customFormat="false" ht="15.75" hidden="false" customHeight="true" outlineLevel="0" collapsed="false">
      <c r="A191" s="45" t="s">
        <v>509</v>
      </c>
      <c r="B191" s="45" t="s">
        <v>885</v>
      </c>
      <c r="C191" s="39" t="s">
        <v>13</v>
      </c>
      <c r="D191" s="39" t="s">
        <v>599</v>
      </c>
      <c r="E191" s="39" t="s">
        <v>76</v>
      </c>
      <c r="F191" s="39" t="s">
        <v>104</v>
      </c>
      <c r="G191" s="40" t="s">
        <v>17</v>
      </c>
      <c r="H191" s="40" t="s">
        <v>17</v>
      </c>
      <c r="I191" s="40" t="s">
        <v>17</v>
      </c>
      <c r="J191" s="40" t="str">
        <f aca="false">IF(G191="Sí", IF(H191="Sí", "DP", "SP"), IF(H191="Sí", "SD", "-"))</f>
        <v>-</v>
      </c>
      <c r="K191" s="36"/>
      <c r="L191" s="36" t="str">
        <f aca="false">IFERROR(__xludf.dummyfunction("CONCATENATE(ArrayFormula(""; ""&amp;QUERY(Hallazgos!A:F,""SELECT B WHERE E CONTAINS '""&amp;A191&amp;""' LABEL B ''"")))"),"#N/A")</f>
        <v>#N/A</v>
      </c>
    </row>
    <row r="192" customFormat="false" ht="15.75" hidden="false" customHeight="true" outlineLevel="0" collapsed="false">
      <c r="A192" s="45" t="s">
        <v>511</v>
      </c>
      <c r="B192" s="45" t="s">
        <v>886</v>
      </c>
      <c r="C192" s="39" t="s">
        <v>41</v>
      </c>
      <c r="D192" s="39" t="s">
        <v>599</v>
      </c>
      <c r="E192" s="39" t="s">
        <v>184</v>
      </c>
      <c r="F192" s="39" t="s">
        <v>55</v>
      </c>
      <c r="G192" s="40" t="s">
        <v>17</v>
      </c>
      <c r="H192" s="40" t="s">
        <v>17</v>
      </c>
      <c r="I192" s="40" t="s">
        <v>17</v>
      </c>
      <c r="J192" s="40" t="str">
        <f aca="false">IF(G192="Sí", IF(H192="Sí", "DP", "SP"), IF(H192="Sí", "SD", "-"))</f>
        <v>-</v>
      </c>
      <c r="K192" s="36"/>
      <c r="L192" s="36" t="str">
        <f aca="false">IFERROR(__xludf.dummyfunction("CONCATENATE(ArrayFormula(""; ""&amp;QUERY(Hallazgos!A:F,""SELECT B WHERE E CONTAINS '""&amp;A192&amp;""' LABEL B ''"")))"),"#N/A")</f>
        <v>#N/A</v>
      </c>
    </row>
    <row r="193" customFormat="false" ht="15.75" hidden="false" customHeight="true" outlineLevel="0" collapsed="false">
      <c r="A193" s="45" t="s">
        <v>513</v>
      </c>
      <c r="B193" s="45" t="s">
        <v>887</v>
      </c>
      <c r="C193" s="39" t="s">
        <v>13</v>
      </c>
      <c r="D193" s="39" t="s">
        <v>599</v>
      </c>
      <c r="E193" s="39" t="s">
        <v>54</v>
      </c>
      <c r="F193" s="39" t="s">
        <v>55</v>
      </c>
      <c r="G193" s="40" t="s">
        <v>17</v>
      </c>
      <c r="H193" s="40" t="s">
        <v>17</v>
      </c>
      <c r="I193" s="40" t="s">
        <v>17</v>
      </c>
      <c r="J193" s="40" t="str">
        <f aca="false">IF(G193="Sí", IF(H193="Sí", "DP", "SP"), IF(H193="Sí", "SD", "-"))</f>
        <v>-</v>
      </c>
      <c r="K193" s="36"/>
      <c r="L193" s="36" t="str">
        <f aca="false">IFERROR(__xludf.dummyfunction("CONCATENATE(ArrayFormula(""; ""&amp;QUERY(Hallazgos!A:F,""SELECT B WHERE E CONTAINS '""&amp;A193&amp;""' LABEL B ''"")))"),"#N/A")</f>
        <v>#N/A</v>
      </c>
    </row>
    <row r="194" customFormat="false" ht="15.75" hidden="false" customHeight="true" outlineLevel="0" collapsed="false">
      <c r="A194" s="45" t="s">
        <v>515</v>
      </c>
      <c r="B194" s="45" t="s">
        <v>631</v>
      </c>
      <c r="C194" s="39" t="s">
        <v>13</v>
      </c>
      <c r="D194" s="39" t="s">
        <v>599</v>
      </c>
      <c r="E194" s="39" t="s">
        <v>111</v>
      </c>
      <c r="F194" s="39" t="s">
        <v>55</v>
      </c>
      <c r="G194" s="40" t="s">
        <v>17</v>
      </c>
      <c r="H194" s="40" t="s">
        <v>17</v>
      </c>
      <c r="I194" s="40" t="s">
        <v>17</v>
      </c>
      <c r="J194" s="40" t="str">
        <f aca="false">IF(G194="Sí", IF(H194="Sí", "DP", "SP"), IF(H194="Sí", "SD", "-"))</f>
        <v>-</v>
      </c>
      <c r="K194" s="36"/>
      <c r="L194" s="36" t="str">
        <f aca="false">IFERROR(__xludf.dummyfunction("CONCATENATE(ArrayFormula(""; ""&amp;QUERY(Hallazgos!A:F,""SELECT B WHERE E CONTAINS '""&amp;A194&amp;""' LABEL B ''"")))"),"#N/A")</f>
        <v>#N/A</v>
      </c>
    </row>
    <row r="195" customFormat="false" ht="15.75" hidden="false" customHeight="true" outlineLevel="0" collapsed="false">
      <c r="A195" s="45" t="s">
        <v>517</v>
      </c>
      <c r="B195" s="45" t="s">
        <v>888</v>
      </c>
      <c r="C195" s="39" t="s">
        <v>13</v>
      </c>
      <c r="D195" s="39" t="s">
        <v>599</v>
      </c>
      <c r="E195" s="39" t="s">
        <v>181</v>
      </c>
      <c r="F195" s="39" t="s">
        <v>55</v>
      </c>
      <c r="G195" s="40" t="s">
        <v>17</v>
      </c>
      <c r="H195" s="40" t="s">
        <v>17</v>
      </c>
      <c r="I195" s="40" t="s">
        <v>17</v>
      </c>
      <c r="J195" s="40" t="str">
        <f aca="false">IF(G195="Sí", IF(H195="Sí", "DP", "SP"), IF(H195="Sí", "SD", "-"))</f>
        <v>-</v>
      </c>
      <c r="K195" s="36"/>
      <c r="L195" s="36" t="str">
        <f aca="false">IFERROR(__xludf.dummyfunction("CONCATENATE(ArrayFormula(""; ""&amp;QUERY(Hallazgos!A:F,""SELECT B WHERE E CONTAINS '""&amp;A195&amp;""' LABEL B ''"")))"),"#N/A")</f>
        <v>#N/A</v>
      </c>
    </row>
    <row r="196" customFormat="false" ht="15.75" hidden="false" customHeight="true" outlineLevel="0" collapsed="false">
      <c r="A196" s="45" t="s">
        <v>519</v>
      </c>
      <c r="B196" s="45" t="s">
        <v>635</v>
      </c>
      <c r="C196" s="39" t="s">
        <v>38</v>
      </c>
      <c r="D196" s="39" t="s">
        <v>599</v>
      </c>
      <c r="E196" s="39" t="s">
        <v>15</v>
      </c>
      <c r="F196" s="39" t="s">
        <v>44</v>
      </c>
      <c r="G196" s="40" t="s">
        <v>17</v>
      </c>
      <c r="H196" s="40" t="s">
        <v>17</v>
      </c>
      <c r="I196" s="40" t="s">
        <v>17</v>
      </c>
      <c r="J196" s="40" t="str">
        <f aca="false">IF(G196="Sí", IF(H196="Sí", "DP", "SP"), IF(H196="Sí", "SD", "-"))</f>
        <v>-</v>
      </c>
      <c r="K196" s="36"/>
      <c r="L196" s="36" t="str">
        <f aca="false">IFERROR(__xludf.dummyfunction("CONCATENATE(ArrayFormula(""; ""&amp;QUERY(Hallazgos!A:F,""SELECT B WHERE E CONTAINS '""&amp;A196&amp;""' LABEL B ''"")))"),"#N/A")</f>
        <v>#N/A</v>
      </c>
    </row>
    <row r="197" customFormat="false" ht="15.75" hidden="false" customHeight="true" outlineLevel="0" collapsed="false">
      <c r="A197" s="45" t="s">
        <v>521</v>
      </c>
      <c r="B197" s="45" t="s">
        <v>889</v>
      </c>
      <c r="C197" s="39" t="s">
        <v>13</v>
      </c>
      <c r="D197" s="39" t="s">
        <v>599</v>
      </c>
      <c r="E197" s="39" t="s">
        <v>192</v>
      </c>
      <c r="F197" s="39" t="s">
        <v>55</v>
      </c>
      <c r="G197" s="40" t="s">
        <v>17</v>
      </c>
      <c r="H197" s="40" t="s">
        <v>17</v>
      </c>
      <c r="I197" s="40" t="s">
        <v>17</v>
      </c>
      <c r="J197" s="40" t="str">
        <f aca="false">IF(G197="Sí", IF(H197="Sí", "DP", "SP"), IF(H197="Sí", "SD", "-"))</f>
        <v>-</v>
      </c>
      <c r="K197" s="36"/>
      <c r="L197" s="36" t="str">
        <f aca="false">IFERROR(__xludf.dummyfunction("CONCATENATE(ArrayFormula(""; ""&amp;QUERY(Hallazgos!A:F,""SELECT B WHERE E CONTAINS '""&amp;A197&amp;""' LABEL B ''"")))"),"#N/A")</f>
        <v>#N/A</v>
      </c>
    </row>
    <row r="198" customFormat="false" ht="15.75" hidden="false" customHeight="true" outlineLevel="0" collapsed="false">
      <c r="A198" s="45" t="s">
        <v>523</v>
      </c>
      <c r="B198" s="45" t="s">
        <v>890</v>
      </c>
      <c r="C198" s="39" t="s">
        <v>13</v>
      </c>
      <c r="D198" s="39" t="s">
        <v>599</v>
      </c>
      <c r="E198" s="39" t="s">
        <v>81</v>
      </c>
      <c r="F198" s="39" t="s">
        <v>55</v>
      </c>
      <c r="G198" s="40" t="s">
        <v>17</v>
      </c>
      <c r="H198" s="40" t="s">
        <v>17</v>
      </c>
      <c r="I198" s="40" t="s">
        <v>17</v>
      </c>
      <c r="J198" s="40" t="str">
        <f aca="false">IF(G198="Sí", IF(H198="Sí", "DP", "SP"), IF(H198="Sí", "SD", "-"))</f>
        <v>-</v>
      </c>
      <c r="K198" s="36"/>
      <c r="L198" s="36" t="str">
        <f aca="false">IFERROR(__xludf.dummyfunction("CONCATENATE(ArrayFormula(""; ""&amp;QUERY(Hallazgos!A:F,""SELECT B WHERE E CONTAINS '""&amp;A198&amp;""' LABEL B ''"")))"),"#N/A")</f>
        <v>#N/A</v>
      </c>
    </row>
    <row r="199" customFormat="false" ht="15.75" hidden="false" customHeight="true" outlineLevel="0" collapsed="false">
      <c r="A199" s="45" t="s">
        <v>525</v>
      </c>
      <c r="B199" s="45" t="s">
        <v>891</v>
      </c>
      <c r="C199" s="39" t="s">
        <v>13</v>
      </c>
      <c r="D199" s="39" t="s">
        <v>599</v>
      </c>
      <c r="E199" s="39" t="s">
        <v>81</v>
      </c>
      <c r="F199" s="39" t="s">
        <v>55</v>
      </c>
      <c r="G199" s="40" t="s">
        <v>17</v>
      </c>
      <c r="H199" s="40" t="s">
        <v>17</v>
      </c>
      <c r="I199" s="40" t="s">
        <v>17</v>
      </c>
      <c r="J199" s="40" t="str">
        <f aca="false">IF(G199="Sí", IF(H199="Sí", "DP", "SP"), IF(H199="Sí", "SD", "-"))</f>
        <v>-</v>
      </c>
      <c r="K199" s="36"/>
      <c r="L199" s="36" t="str">
        <f aca="false">IFERROR(__xludf.dummyfunction("CONCATENATE(ArrayFormula(""; ""&amp;QUERY(Hallazgos!A:F,""SELECT B WHERE E CONTAINS '""&amp;A199&amp;""' LABEL B ''"")))"),"#N/A")</f>
        <v>#N/A</v>
      </c>
    </row>
    <row r="200" customFormat="false" ht="15.75" hidden="false" customHeight="true" outlineLevel="0" collapsed="false">
      <c r="A200" s="45" t="s">
        <v>527</v>
      </c>
      <c r="B200" s="45" t="s">
        <v>641</v>
      </c>
      <c r="C200" s="39" t="s">
        <v>38</v>
      </c>
      <c r="D200" s="39" t="s">
        <v>599</v>
      </c>
      <c r="E200" s="39" t="s">
        <v>15</v>
      </c>
      <c r="F200" s="39" t="s">
        <v>104</v>
      </c>
      <c r="G200" s="40" t="s">
        <v>17</v>
      </c>
      <c r="H200" s="40" t="s">
        <v>17</v>
      </c>
      <c r="I200" s="40" t="s">
        <v>17</v>
      </c>
      <c r="J200" s="40" t="str">
        <f aca="false">IF(G200="Sí", IF(H200="Sí", "DP", "SP"), IF(H200="Sí", "SD", "-"))</f>
        <v>-</v>
      </c>
      <c r="K200" s="36"/>
      <c r="L200" s="36" t="str">
        <f aca="false">IFERROR(__xludf.dummyfunction("CONCATENATE(ArrayFormula(""; ""&amp;QUERY(Hallazgos!A:F,""SELECT B WHERE E CONTAINS '""&amp;A200&amp;""' LABEL B ''"")))"),"#N/A")</f>
        <v>#N/A</v>
      </c>
    </row>
    <row r="201" customFormat="false" ht="15.75" hidden="false" customHeight="true" outlineLevel="0" collapsed="false">
      <c r="A201" s="45" t="s">
        <v>529</v>
      </c>
      <c r="B201" s="45" t="s">
        <v>892</v>
      </c>
      <c r="C201" s="39" t="s">
        <v>38</v>
      </c>
      <c r="D201" s="39" t="s">
        <v>599</v>
      </c>
      <c r="E201" s="39" t="s">
        <v>15</v>
      </c>
      <c r="F201" s="39" t="s">
        <v>104</v>
      </c>
      <c r="G201" s="40" t="s">
        <v>17</v>
      </c>
      <c r="H201" s="40" t="s">
        <v>17</v>
      </c>
      <c r="I201" s="40" t="s">
        <v>17</v>
      </c>
      <c r="J201" s="40" t="str">
        <f aca="false">IF(G201="Sí", IF(H201="Sí", "DP", "SP"), IF(H201="Sí", "SD", "-"))</f>
        <v>-</v>
      </c>
      <c r="K201" s="36"/>
      <c r="L201" s="36" t="str">
        <f aca="false">IFERROR(__xludf.dummyfunction("CONCATENATE(ArrayFormula(""; ""&amp;QUERY(Hallazgos!A:F,""SELECT B WHERE E CONTAINS '""&amp;A201&amp;""' LABEL B ''"")))"),"#N/A")</f>
        <v>#N/A</v>
      </c>
    </row>
    <row r="202" customFormat="false" ht="15.75" hidden="false" customHeight="true" outlineLevel="0" collapsed="false">
      <c r="A202" s="45" t="s">
        <v>531</v>
      </c>
      <c r="B202" s="45" t="s">
        <v>57</v>
      </c>
      <c r="C202" s="39" t="s">
        <v>38</v>
      </c>
      <c r="D202" s="39" t="s">
        <v>58</v>
      </c>
      <c r="E202" s="39" t="s">
        <v>15</v>
      </c>
      <c r="F202" s="39" t="s">
        <v>55</v>
      </c>
      <c r="G202" s="40" t="s">
        <v>17</v>
      </c>
      <c r="H202" s="40" t="s">
        <v>17</v>
      </c>
      <c r="I202" s="40" t="s">
        <v>17</v>
      </c>
      <c r="J202" s="40" t="str">
        <f aca="false">IF(G202="Sí", IF(H202="Sí", "DP", "SP"), IF(H202="Sí", "SD", "-"))</f>
        <v>-</v>
      </c>
      <c r="K202" s="36"/>
      <c r="L202" s="36" t="str">
        <f aca="false">IFERROR(__xludf.dummyfunction("CONCATENATE(ArrayFormula(""; ""&amp;QUERY(Hallazgos!A:F,""SELECT B WHERE E CONTAINS '""&amp;A202&amp;""' LABEL B ''"")))"),"#N/A")</f>
        <v>#N/A</v>
      </c>
    </row>
    <row r="203" customFormat="false" ht="15.75" hidden="false" customHeight="true" outlineLevel="0" collapsed="false">
      <c r="A203" s="45" t="s">
        <v>533</v>
      </c>
      <c r="B203" s="45" t="s">
        <v>60</v>
      </c>
      <c r="C203" s="39" t="s">
        <v>38</v>
      </c>
      <c r="D203" s="39" t="s">
        <v>58</v>
      </c>
      <c r="E203" s="39" t="s">
        <v>15</v>
      </c>
      <c r="F203" s="39" t="s">
        <v>55</v>
      </c>
      <c r="G203" s="40" t="s">
        <v>17</v>
      </c>
      <c r="H203" s="40" t="s">
        <v>17</v>
      </c>
      <c r="I203" s="40" t="s">
        <v>17</v>
      </c>
      <c r="J203" s="40" t="str">
        <f aca="false">IF(G203="Sí", IF(H203="Sí", "DP", "SP"), IF(H203="Sí", "SD", "-"))</f>
        <v>-</v>
      </c>
      <c r="K203" s="36"/>
      <c r="L203" s="36" t="str">
        <f aca="false">IFERROR(__xludf.dummyfunction("CONCATENATE(ArrayFormula(""; ""&amp;QUERY(Hallazgos!A:F,""SELECT B WHERE E CONTAINS '""&amp;A203&amp;""' LABEL B ''"")))"),"#N/A")</f>
        <v>#N/A</v>
      </c>
    </row>
    <row r="204" customFormat="false" ht="15.75" hidden="false" customHeight="true" outlineLevel="0" collapsed="false">
      <c r="A204" s="45" t="s">
        <v>536</v>
      </c>
      <c r="B204" s="45" t="s">
        <v>62</v>
      </c>
      <c r="C204" s="39" t="s">
        <v>38</v>
      </c>
      <c r="D204" s="39" t="s">
        <v>58</v>
      </c>
      <c r="E204" s="39" t="s">
        <v>15</v>
      </c>
      <c r="F204" s="39" t="s">
        <v>16</v>
      </c>
      <c r="G204" s="40" t="s">
        <v>17</v>
      </c>
      <c r="H204" s="40" t="s">
        <v>17</v>
      </c>
      <c r="I204" s="40" t="s">
        <v>17</v>
      </c>
      <c r="J204" s="40" t="str">
        <f aca="false">IF(G204="Sí", IF(H204="Sí", "DP", "SP"), IF(H204="Sí", "SD", "-"))</f>
        <v>-</v>
      </c>
      <c r="K204" s="36"/>
      <c r="L204" s="36" t="str">
        <f aca="false">IFERROR(__xludf.dummyfunction("CONCATENATE(ArrayFormula(""; ""&amp;QUERY(Hallazgos!A:F,""SELECT B WHERE E CONTAINS '""&amp;A204&amp;""' LABEL B ''"")))"),"#N/A")</f>
        <v>#N/A</v>
      </c>
    </row>
    <row r="205" customFormat="false" ht="15.75" hidden="false" customHeight="true" outlineLevel="0" collapsed="false">
      <c r="A205" s="45" t="s">
        <v>540</v>
      </c>
      <c r="B205" s="45" t="s">
        <v>893</v>
      </c>
      <c r="C205" s="39" t="s">
        <v>38</v>
      </c>
      <c r="D205" s="39" t="s">
        <v>58</v>
      </c>
      <c r="E205" s="39" t="s">
        <v>15</v>
      </c>
      <c r="F205" s="39" t="s">
        <v>55</v>
      </c>
      <c r="G205" s="40" t="s">
        <v>17</v>
      </c>
      <c r="H205" s="40" t="s">
        <v>17</v>
      </c>
      <c r="I205" s="40" t="s">
        <v>17</v>
      </c>
      <c r="J205" s="40" t="str">
        <f aca="false">IF(G205="Sí", IF(H205="Sí", "DP", "SP"), IF(H205="Sí", "SD", "-"))</f>
        <v>-</v>
      </c>
      <c r="K205" s="36"/>
      <c r="L205" s="36" t="str">
        <f aca="false">IFERROR(__xludf.dummyfunction("CONCATENATE(ArrayFormula(""; ""&amp;QUERY(Hallazgos!A:F,""SELECT B WHERE E CONTAINS '""&amp;A205&amp;""' LABEL B ''"")))"),"#N/A")</f>
        <v>#N/A</v>
      </c>
    </row>
    <row r="206" customFormat="false" ht="15.75" hidden="false" customHeight="true" outlineLevel="0" collapsed="false">
      <c r="A206" s="45" t="s">
        <v>542</v>
      </c>
      <c r="B206" s="45" t="s">
        <v>894</v>
      </c>
      <c r="C206" s="39" t="s">
        <v>13</v>
      </c>
      <c r="D206" s="39" t="s">
        <v>599</v>
      </c>
      <c r="E206" s="39" t="s">
        <v>646</v>
      </c>
      <c r="F206" s="39" t="s">
        <v>55</v>
      </c>
      <c r="G206" s="40" t="s">
        <v>17</v>
      </c>
      <c r="H206" s="40" t="s">
        <v>17</v>
      </c>
      <c r="I206" s="40" t="s">
        <v>17</v>
      </c>
      <c r="J206" s="40" t="str">
        <f aca="false">IF(G206="Sí", IF(H206="Sí", "DP", "SP"), IF(H206="Sí", "SD", "-"))</f>
        <v>-</v>
      </c>
      <c r="K206" s="36"/>
      <c r="L206" s="36" t="str">
        <f aca="false">IFERROR(__xludf.dummyfunction("CONCATENATE(ArrayFormula(""; ""&amp;QUERY(Hallazgos!A:F,""SELECT B WHERE E CONTAINS '""&amp;A206&amp;""' LABEL B ''"")))"),"#N/A")</f>
        <v>#N/A</v>
      </c>
    </row>
    <row r="207" customFormat="false" ht="15.75" hidden="false" customHeight="true" outlineLevel="0" collapsed="false">
      <c r="A207" s="45" t="s">
        <v>545</v>
      </c>
      <c r="B207" s="45" t="s">
        <v>895</v>
      </c>
      <c r="C207" s="39" t="s">
        <v>13</v>
      </c>
      <c r="D207" s="39" t="s">
        <v>599</v>
      </c>
      <c r="E207" s="39" t="s">
        <v>646</v>
      </c>
      <c r="F207" s="39" t="s">
        <v>55</v>
      </c>
      <c r="G207" s="40" t="s">
        <v>17</v>
      </c>
      <c r="H207" s="40" t="s">
        <v>17</v>
      </c>
      <c r="I207" s="40" t="s">
        <v>17</v>
      </c>
      <c r="J207" s="40" t="str">
        <f aca="false">IF(G207="Sí", IF(H207="Sí", "DP", "SP"), IF(H207="Sí", "SD", "-"))</f>
        <v>-</v>
      </c>
      <c r="K207" s="36"/>
      <c r="L207" s="36" t="str">
        <f aca="false">IFERROR(__xludf.dummyfunction("CONCATENATE(ArrayFormula(""; ""&amp;QUERY(Hallazgos!A:F,""SELECT B WHERE E CONTAINS '""&amp;A207&amp;""' LABEL B ''"")))"),"#N/A")</f>
        <v>#N/A</v>
      </c>
    </row>
    <row r="208" customFormat="false" ht="15.75" hidden="false" customHeight="true" outlineLevel="0" collapsed="false">
      <c r="A208" s="45" t="s">
        <v>547</v>
      </c>
      <c r="B208" s="45" t="s">
        <v>392</v>
      </c>
      <c r="C208" s="39" t="s">
        <v>41</v>
      </c>
      <c r="D208" s="39" t="s">
        <v>352</v>
      </c>
      <c r="E208" s="39" t="s">
        <v>116</v>
      </c>
      <c r="F208" s="39" t="s">
        <v>73</v>
      </c>
      <c r="G208" s="40" t="s">
        <v>17</v>
      </c>
      <c r="H208" s="40" t="s">
        <v>17</v>
      </c>
      <c r="I208" s="40" t="s">
        <v>17</v>
      </c>
      <c r="J208" s="40" t="str">
        <f aca="false">IF(G208="Sí", IF(H208="Sí", "DP", "SP"), IF(H208="Sí", "SD", "-"))</f>
        <v>-</v>
      </c>
      <c r="K208" s="36"/>
      <c r="L208" s="36" t="str">
        <f aca="false">IFERROR(__xludf.dummyfunction("CONCATENATE(ArrayFormula(""; ""&amp;QUERY(Hallazgos!A:F,""SELECT B WHERE E CONTAINS '""&amp;A208&amp;""' LABEL B ''"")))"),"#N/A")</f>
        <v>#N/A</v>
      </c>
    </row>
    <row r="209" customFormat="false" ht="15.75" hidden="false" customHeight="true" outlineLevel="0" collapsed="false">
      <c r="A209" s="45" t="s">
        <v>549</v>
      </c>
      <c r="B209" s="45" t="s">
        <v>896</v>
      </c>
      <c r="C209" s="39" t="s">
        <v>41</v>
      </c>
      <c r="D209" s="39" t="s">
        <v>274</v>
      </c>
      <c r="E209" s="39" t="s">
        <v>76</v>
      </c>
      <c r="F209" s="39" t="s">
        <v>73</v>
      </c>
      <c r="G209" s="40" t="s">
        <v>17</v>
      </c>
      <c r="H209" s="40" t="s">
        <v>17</v>
      </c>
      <c r="I209" s="40" t="s">
        <v>17</v>
      </c>
      <c r="J209" s="40" t="str">
        <f aca="false">IF(G209="Sí", IF(H209="Sí", "DP", "SP"), IF(H209="Sí", "SD", "-"))</f>
        <v>-</v>
      </c>
      <c r="K209" s="36"/>
      <c r="L209" s="36" t="str">
        <f aca="false">IFERROR(__xludf.dummyfunction("CONCATENATE(ArrayFormula(""; ""&amp;QUERY(Hallazgos!A:F,""SELECT B WHERE E CONTAINS '""&amp;A209&amp;""' LABEL B ''"")))"),"#N/A")</f>
        <v>#N/A</v>
      </c>
    </row>
    <row r="210" customFormat="false" ht="15.75" hidden="false" customHeight="true" outlineLevel="0" collapsed="false">
      <c r="A210" s="45" t="s">
        <v>551</v>
      </c>
      <c r="B210" s="45" t="s">
        <v>289</v>
      </c>
      <c r="C210" s="39" t="s">
        <v>41</v>
      </c>
      <c r="D210" s="39" t="s">
        <v>274</v>
      </c>
      <c r="E210" s="39" t="s">
        <v>54</v>
      </c>
      <c r="F210" s="39" t="s">
        <v>55</v>
      </c>
      <c r="G210" s="40" t="s">
        <v>17</v>
      </c>
      <c r="H210" s="40" t="s">
        <v>17</v>
      </c>
      <c r="I210" s="40" t="s">
        <v>17</v>
      </c>
      <c r="J210" s="40" t="str">
        <f aca="false">IF(G210="Sí", IF(H210="Sí", "DP", "SP"), IF(H210="Sí", "SD", "-"))</f>
        <v>-</v>
      </c>
      <c r="K210" s="36"/>
      <c r="L210" s="36" t="str">
        <f aca="false">IFERROR(__xludf.dummyfunction("CONCATENATE(ArrayFormula(""; ""&amp;QUERY(Hallazgos!A:F,""SELECT B WHERE E CONTAINS '""&amp;A210&amp;""' LABEL B ''"")))"),"#N/A")</f>
        <v>#N/A</v>
      </c>
    </row>
    <row r="211" customFormat="false" ht="15.75" hidden="false" customHeight="true" outlineLevel="0" collapsed="false">
      <c r="A211" s="45" t="s">
        <v>554</v>
      </c>
      <c r="B211" s="45" t="s">
        <v>897</v>
      </c>
      <c r="C211" s="39" t="s">
        <v>41</v>
      </c>
      <c r="D211" s="39" t="s">
        <v>274</v>
      </c>
      <c r="E211" s="39" t="s">
        <v>88</v>
      </c>
      <c r="F211" s="39" t="s">
        <v>55</v>
      </c>
      <c r="G211" s="40" t="s">
        <v>17</v>
      </c>
      <c r="H211" s="40" t="s">
        <v>17</v>
      </c>
      <c r="I211" s="40" t="s">
        <v>17</v>
      </c>
      <c r="J211" s="40" t="str">
        <f aca="false">IF(G211="Sí", IF(H211="Sí", "DP", "SP"), IF(H211="Sí", "SD", "-"))</f>
        <v>-</v>
      </c>
      <c r="K211" s="36"/>
      <c r="L211" s="36" t="str">
        <f aca="false">IFERROR(__xludf.dummyfunction("CONCATENATE(ArrayFormula(""; ""&amp;QUERY(Hallazgos!A:F,""SELECT B WHERE E CONTAINS '""&amp;A211&amp;""' LABEL B ''"")))"),"#N/A")</f>
        <v>#N/A</v>
      </c>
    </row>
    <row r="212" customFormat="false" ht="15.75" hidden="false" customHeight="true" outlineLevel="0" collapsed="false">
      <c r="A212" s="45" t="s">
        <v>556</v>
      </c>
      <c r="B212" s="45" t="s">
        <v>532</v>
      </c>
      <c r="C212" s="39" t="s">
        <v>41</v>
      </c>
      <c r="D212" s="39" t="s">
        <v>506</v>
      </c>
      <c r="E212" s="39" t="s">
        <v>88</v>
      </c>
      <c r="F212" s="39" t="s">
        <v>55</v>
      </c>
      <c r="G212" s="40" t="s">
        <v>17</v>
      </c>
      <c r="H212" s="40" t="s">
        <v>17</v>
      </c>
      <c r="I212" s="40" t="s">
        <v>17</v>
      </c>
      <c r="J212" s="40" t="str">
        <f aca="false">IF(G212="Sí", IF(H212="Sí", "DP", "SP"), IF(H212="Sí", "SD", "-"))</f>
        <v>-</v>
      </c>
      <c r="K212" s="36"/>
      <c r="L212" s="36" t="str">
        <f aca="false">IFERROR(__xludf.dummyfunction("CONCATENATE(ArrayFormula(""; ""&amp;QUERY(Hallazgos!A:F,""SELECT B WHERE E CONTAINS '""&amp;A212&amp;""' LABEL B ''"")))"),"#N/A")</f>
        <v>#N/A</v>
      </c>
    </row>
    <row r="213" customFormat="false" ht="15.75" hidden="false" customHeight="true" outlineLevel="0" collapsed="false">
      <c r="A213" s="45" t="s">
        <v>558</v>
      </c>
      <c r="B213" s="45" t="s">
        <v>898</v>
      </c>
      <c r="C213" s="39" t="s">
        <v>41</v>
      </c>
      <c r="D213" s="39" t="s">
        <v>352</v>
      </c>
      <c r="E213" s="39" t="s">
        <v>116</v>
      </c>
      <c r="F213" s="39" t="s">
        <v>73</v>
      </c>
      <c r="G213" s="40" t="s">
        <v>17</v>
      </c>
      <c r="H213" s="40" t="s">
        <v>17</v>
      </c>
      <c r="I213" s="40" t="s">
        <v>17</v>
      </c>
      <c r="J213" s="40" t="str">
        <f aca="false">IF(G213="Sí", IF(H213="Sí", "DP", "SP"), IF(H213="Sí", "SD", "-"))</f>
        <v>-</v>
      </c>
      <c r="K213" s="36"/>
      <c r="L213" s="36" t="str">
        <f aca="false">IFERROR(__xludf.dummyfunction("CONCATENATE(ArrayFormula(""; ""&amp;QUERY(Hallazgos!A:F,""SELECT B WHERE E CONTAINS '""&amp;A213&amp;""' LABEL B ''"")))"),"#N/A")</f>
        <v>#N/A</v>
      </c>
    </row>
    <row r="214" customFormat="false" ht="15.75" hidden="false" customHeight="true" outlineLevel="0" collapsed="false">
      <c r="A214" s="45" t="s">
        <v>560</v>
      </c>
      <c r="B214" s="45" t="s">
        <v>422</v>
      </c>
      <c r="C214" s="39" t="s">
        <v>13</v>
      </c>
      <c r="D214" s="39" t="s">
        <v>399</v>
      </c>
      <c r="E214" s="39" t="s">
        <v>81</v>
      </c>
      <c r="F214" s="39" t="s">
        <v>16</v>
      </c>
      <c r="G214" s="40" t="s">
        <v>17</v>
      </c>
      <c r="H214" s="40" t="s">
        <v>17</v>
      </c>
      <c r="I214" s="40" t="s">
        <v>17</v>
      </c>
      <c r="J214" s="40" t="str">
        <f aca="false">IF(G214="Sí", IF(H214="Sí", "DP", "SP"), IF(H214="Sí", "SD", "-"))</f>
        <v>-</v>
      </c>
      <c r="K214" s="36"/>
      <c r="L214" s="36" t="str">
        <f aca="false">IFERROR(__xludf.dummyfunction("CONCATENATE(ArrayFormula(""; ""&amp;QUERY(Hallazgos!A:F,""SELECT B WHERE E CONTAINS '""&amp;A214&amp;""' LABEL B ''"")))"),"#N/A")</f>
        <v>#N/A</v>
      </c>
    </row>
    <row r="215" customFormat="false" ht="15.75" hidden="false" customHeight="true" outlineLevel="0" collapsed="false">
      <c r="A215" s="45" t="s">
        <v>562</v>
      </c>
      <c r="B215" s="45" t="s">
        <v>424</v>
      </c>
      <c r="C215" s="39" t="s">
        <v>13</v>
      </c>
      <c r="D215" s="39" t="s">
        <v>399</v>
      </c>
      <c r="E215" s="39" t="s">
        <v>81</v>
      </c>
      <c r="F215" s="39" t="s">
        <v>16</v>
      </c>
      <c r="G215" s="40" t="s">
        <v>17</v>
      </c>
      <c r="H215" s="40" t="s">
        <v>17</v>
      </c>
      <c r="I215" s="40" t="s">
        <v>17</v>
      </c>
      <c r="J215" s="40" t="str">
        <f aca="false">IF(G215="Sí", IF(H215="Sí", "DP", "SP"), IF(H215="Sí", "SD", "-"))</f>
        <v>-</v>
      </c>
      <c r="K215" s="36"/>
      <c r="L215" s="36" t="str">
        <f aca="false">IFERROR(__xludf.dummyfunction("CONCATENATE(ArrayFormula(""; ""&amp;QUERY(Hallazgos!A:F,""SELECT B WHERE E CONTAINS '""&amp;A215&amp;""' LABEL B ''"")))"),"#N/A")</f>
        <v>#N/A</v>
      </c>
    </row>
    <row r="216" customFormat="false" ht="15.75" hidden="false" customHeight="true" outlineLevel="0" collapsed="false">
      <c r="A216" s="45" t="s">
        <v>564</v>
      </c>
      <c r="B216" s="45" t="s">
        <v>426</v>
      </c>
      <c r="C216" s="39" t="s">
        <v>13</v>
      </c>
      <c r="D216" s="39" t="s">
        <v>399</v>
      </c>
      <c r="E216" s="39" t="s">
        <v>81</v>
      </c>
      <c r="F216" s="39" t="s">
        <v>44</v>
      </c>
      <c r="G216" s="40" t="s">
        <v>17</v>
      </c>
      <c r="H216" s="40" t="s">
        <v>17</v>
      </c>
      <c r="I216" s="40" t="s">
        <v>17</v>
      </c>
      <c r="J216" s="40" t="str">
        <f aca="false">IF(G216="Sí", IF(H216="Sí", "DP", "SP"), IF(H216="Sí", "SD", "-"))</f>
        <v>-</v>
      </c>
      <c r="K216" s="36"/>
      <c r="L216" s="36" t="str">
        <f aca="false">IFERROR(__xludf.dummyfunction("CONCATENATE(ArrayFormula(""; ""&amp;QUERY(Hallazgos!A:F,""SELECT B WHERE E CONTAINS '""&amp;A216&amp;""' LABEL B ''"")))"),"#N/A")</f>
        <v>#N/A</v>
      </c>
    </row>
    <row r="217" customFormat="false" ht="15.75" hidden="false" customHeight="true" outlineLevel="0" collapsed="false">
      <c r="A217" s="45" t="s">
        <v>566</v>
      </c>
      <c r="B217" s="45" t="s">
        <v>899</v>
      </c>
      <c r="C217" s="39" t="s">
        <v>13</v>
      </c>
      <c r="D217" s="39" t="s">
        <v>399</v>
      </c>
      <c r="E217" s="39" t="s">
        <v>81</v>
      </c>
      <c r="F217" s="39" t="s">
        <v>73</v>
      </c>
      <c r="G217" s="40" t="s">
        <v>17</v>
      </c>
      <c r="H217" s="40" t="s">
        <v>17</v>
      </c>
      <c r="I217" s="40" t="s">
        <v>17</v>
      </c>
      <c r="J217" s="40" t="str">
        <f aca="false">IF(G217="Sí", IF(H217="Sí", "DP", "SP"), IF(H217="Sí", "SD", "-"))</f>
        <v>-</v>
      </c>
      <c r="K217" s="36"/>
      <c r="L217" s="36" t="str">
        <f aca="false">IFERROR(__xludf.dummyfunction("CONCATENATE(ArrayFormula(""; ""&amp;QUERY(Hallazgos!A:F,""SELECT B WHERE E CONTAINS '""&amp;A217&amp;""' LABEL B ''"")))"),"#N/A")</f>
        <v>#N/A</v>
      </c>
    </row>
    <row r="218" customFormat="false" ht="15.75" hidden="false" customHeight="true" outlineLevel="0" collapsed="false">
      <c r="A218" s="45" t="s">
        <v>568</v>
      </c>
      <c r="B218" s="45" t="s">
        <v>430</v>
      </c>
      <c r="C218" s="39" t="s">
        <v>13</v>
      </c>
      <c r="D218" s="39" t="s">
        <v>399</v>
      </c>
      <c r="E218" s="39" t="s">
        <v>81</v>
      </c>
      <c r="F218" s="39" t="s">
        <v>55</v>
      </c>
      <c r="G218" s="40" t="s">
        <v>17</v>
      </c>
      <c r="H218" s="40" t="s">
        <v>17</v>
      </c>
      <c r="I218" s="40" t="s">
        <v>17</v>
      </c>
      <c r="J218" s="40" t="str">
        <f aca="false">IF(G218="Sí", IF(H218="Sí", "DP", "SP"), IF(H218="Sí", "SD", "-"))</f>
        <v>-</v>
      </c>
      <c r="K218" s="36"/>
      <c r="L218" s="36" t="str">
        <f aca="false">IFERROR(__xludf.dummyfunction("CONCATENATE(ArrayFormula(""; ""&amp;QUERY(Hallazgos!A:F,""SELECT B WHERE E CONTAINS '""&amp;A218&amp;""' LABEL B ''"")))"),"#N/A")</f>
        <v>#N/A</v>
      </c>
    </row>
    <row r="219" customFormat="false" ht="15.75" hidden="false" customHeight="true" outlineLevel="0" collapsed="false">
      <c r="A219" s="45" t="s">
        <v>571</v>
      </c>
      <c r="B219" s="45" t="s">
        <v>648</v>
      </c>
      <c r="C219" s="39" t="s">
        <v>13</v>
      </c>
      <c r="D219" s="39" t="s">
        <v>599</v>
      </c>
      <c r="E219" s="39" t="s">
        <v>116</v>
      </c>
      <c r="F219" s="39" t="s">
        <v>55</v>
      </c>
      <c r="G219" s="40" t="s">
        <v>17</v>
      </c>
      <c r="H219" s="40" t="s">
        <v>17</v>
      </c>
      <c r="I219" s="40" t="s">
        <v>17</v>
      </c>
      <c r="J219" s="40" t="str">
        <f aca="false">IF(G219="Sí", IF(H219="Sí", "DP", "SP"), IF(H219="Sí", "SD", "-"))</f>
        <v>-</v>
      </c>
      <c r="K219" s="36"/>
      <c r="L219" s="36" t="str">
        <f aca="false">IFERROR(__xludf.dummyfunction("CONCATENATE(ArrayFormula(""; ""&amp;QUERY(Hallazgos!A:F,""SELECT B WHERE E CONTAINS '""&amp;A219&amp;""' LABEL B ''"")))"),"#N/A")</f>
        <v>#N/A</v>
      </c>
    </row>
    <row r="220" customFormat="false" ht="15.75" hidden="false" customHeight="true" outlineLevel="0" collapsed="false">
      <c r="A220" s="46"/>
      <c r="B220" s="47"/>
      <c r="C220" s="47"/>
      <c r="D220" s="46"/>
      <c r="E220" s="46"/>
      <c r="F220" s="46"/>
      <c r="G220" s="48"/>
      <c r="H220" s="48"/>
      <c r="I220" s="48"/>
      <c r="J220" s="46"/>
      <c r="K220" s="49"/>
      <c r="L220" s="46"/>
    </row>
    <row r="221" customFormat="false" ht="15.75" hidden="false" customHeight="true" outlineLevel="0" collapsed="false">
      <c r="A221" s="50"/>
      <c r="B221" s="51" t="s">
        <v>900</v>
      </c>
      <c r="C221" s="52" t="s">
        <v>901</v>
      </c>
      <c r="D221" s="53"/>
      <c r="E221" s="54"/>
      <c r="F221" s="54"/>
      <c r="G221" s="55"/>
      <c r="H221" s="56"/>
      <c r="I221" s="56"/>
      <c r="J221" s="57"/>
      <c r="K221" s="58"/>
      <c r="L221" s="57"/>
    </row>
    <row r="222" customFormat="false" ht="15.75" hidden="false" customHeight="true" outlineLevel="0" collapsed="false">
      <c r="A222" s="50"/>
      <c r="B222" s="59" t="s">
        <v>902</v>
      </c>
      <c r="C222" s="40" t="n">
        <f aca="false">COUNTIF(J3:J219,"DP")</f>
        <v>0</v>
      </c>
      <c r="D222" s="60"/>
      <c r="E222" s="57"/>
      <c r="F222" s="57"/>
      <c r="G222" s="61"/>
      <c r="H222" s="56"/>
      <c r="I222" s="56"/>
      <c r="J222" s="57"/>
      <c r="K222" s="58"/>
      <c r="L222" s="57"/>
    </row>
    <row r="223" customFormat="false" ht="15.75" hidden="false" customHeight="true" outlineLevel="0" collapsed="false">
      <c r="A223" s="50"/>
      <c r="B223" s="59" t="s">
        <v>903</v>
      </c>
      <c r="C223" s="40" t="n">
        <f aca="false">COUNTIF(J3:J219,"SP")</f>
        <v>0</v>
      </c>
      <c r="D223" s="60"/>
      <c r="E223" s="57"/>
      <c r="F223" s="57"/>
      <c r="G223" s="61"/>
      <c r="H223" s="56"/>
      <c r="I223" s="56"/>
      <c r="J223" s="57"/>
      <c r="K223" s="58"/>
      <c r="L223" s="57"/>
    </row>
    <row r="224" customFormat="false" ht="15.75" hidden="false" customHeight="true" outlineLevel="0" collapsed="false">
      <c r="A224" s="50"/>
      <c r="B224" s="59" t="s">
        <v>904</v>
      </c>
      <c r="C224" s="40" t="n">
        <f aca="false">COUNTIF(J3:J219,"SD")</f>
        <v>0</v>
      </c>
      <c r="D224" s="60"/>
      <c r="E224" s="57"/>
      <c r="F224" s="57"/>
      <c r="G224" s="61"/>
      <c r="H224" s="56"/>
      <c r="I224" s="56"/>
      <c r="J224" s="57"/>
      <c r="K224" s="58"/>
      <c r="L224" s="57"/>
    </row>
    <row r="225" customFormat="false" ht="15.75" hidden="false" customHeight="true" outlineLevel="0" collapsed="false">
      <c r="A225" s="57"/>
      <c r="B225" s="47"/>
      <c r="C225" s="47"/>
      <c r="D225" s="35"/>
      <c r="E225" s="35"/>
      <c r="F225" s="57"/>
      <c r="G225" s="56"/>
      <c r="H225" s="56"/>
      <c r="I225" s="56"/>
      <c r="J225" s="57"/>
      <c r="K225" s="58"/>
      <c r="L225" s="57"/>
    </row>
    <row r="226" customFormat="false" ht="15.75" hidden="false" customHeight="true" outlineLevel="0" collapsed="false">
      <c r="A226" s="50"/>
      <c r="B226" s="51" t="s">
        <v>684</v>
      </c>
      <c r="C226" s="52" t="s">
        <v>905</v>
      </c>
      <c r="D226" s="52" t="s">
        <v>685</v>
      </c>
      <c r="E226" s="52" t="s">
        <v>686</v>
      </c>
      <c r="F226" s="53"/>
      <c r="G226" s="55"/>
      <c r="H226" s="55"/>
      <c r="I226" s="55"/>
      <c r="J226" s="57"/>
      <c r="K226" s="58"/>
      <c r="L226" s="57"/>
    </row>
    <row r="227" customFormat="false" ht="15.75" hidden="false" customHeight="true" outlineLevel="0" collapsed="false">
      <c r="A227" s="50"/>
      <c r="B227" s="59" t="s">
        <v>687</v>
      </c>
      <c r="C227" s="62" t="str">
        <f aca="false">IFERROR(D227/(D227+E227),"Error")</f>
        <v>Error</v>
      </c>
      <c r="D227" s="63" t="n">
        <f aca="false">COUNTIF(G2:G219,"Sí")</f>
        <v>0</v>
      </c>
      <c r="E227" s="63" t="n">
        <f aca="false">COUNTIF(G2:G219,"No")</f>
        <v>0</v>
      </c>
      <c r="F227" s="60"/>
      <c r="G227" s="64"/>
      <c r="H227" s="56"/>
      <c r="I227" s="56"/>
      <c r="J227" s="57"/>
      <c r="K227" s="58"/>
      <c r="L227" s="57"/>
    </row>
    <row r="228" customFormat="false" ht="15.75" hidden="false" customHeight="true" outlineLevel="0" collapsed="false">
      <c r="A228" s="50"/>
      <c r="B228" s="59" t="s">
        <v>688</v>
      </c>
      <c r="C228" s="62" t="str">
        <f aca="false">IFERROR(D228/D227, "Error")</f>
        <v>Error</v>
      </c>
      <c r="D228" s="63" t="n">
        <f aca="false">COUNTIF(H2:H219,"Sí")</f>
        <v>0</v>
      </c>
      <c r="E228" s="63" t="n">
        <f aca="false">COUNTIF(H2:H219,"No")</f>
        <v>0</v>
      </c>
      <c r="F228" s="60"/>
      <c r="G228" s="64"/>
      <c r="H228" s="56"/>
      <c r="I228" s="56"/>
      <c r="J228" s="57"/>
      <c r="K228" s="58"/>
      <c r="L228" s="57"/>
    </row>
    <row r="229" customFormat="false" ht="15.75" hidden="false" customHeight="true" outlineLevel="0" collapsed="false">
      <c r="A229" s="50"/>
      <c r="B229" s="59" t="s">
        <v>689</v>
      </c>
      <c r="C229" s="62" t="str">
        <f aca="false">IFERROR(D229/D228, "Error")</f>
        <v>Error</v>
      </c>
      <c r="D229" s="63" t="n">
        <f aca="false">COUNTIF(I2:I219,"Sí")</f>
        <v>0</v>
      </c>
      <c r="E229" s="63" t="n">
        <f aca="false">COUNTIF(I2:I219,"No")</f>
        <v>0</v>
      </c>
      <c r="F229" s="60"/>
      <c r="G229" s="64"/>
      <c r="H229" s="56"/>
      <c r="I229" s="56"/>
      <c r="J229" s="57"/>
      <c r="K229" s="58"/>
      <c r="L229" s="57"/>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2:L219"/>
  <mergeCells count="1">
    <mergeCell ref="A1:K1"/>
  </mergeCells>
  <conditionalFormatting sqref="H222">
    <cfRule type="containsText" priority="2" operator="containsText" aboveAverage="0" equalAverage="0" bottom="0" percent="0" rank="0" text="Error" dxfId="2"/>
  </conditionalFormatting>
  <dataValidations count="2">
    <dataValidation allowBlank="true" operator="equal" showDropDown="false" showErrorMessage="false" showInputMessage="false" sqref="G3:I219" type="list">
      <formula1>"Sí,No,-"</formula1>
      <formula2>0</formula2>
    </dataValidation>
    <dataValidation allowBlank="true" operator="equal" showDropDown="false" showErrorMessage="true" showInputMessage="false" sqref="J3:J219" type="list">
      <formula1>"DP,SP,SD,-"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Q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7"/>
    <col collapsed="false" customWidth="true" hidden="false" outlineLevel="0" max="2" min="2" style="0" width="8.79"/>
    <col collapsed="false" customWidth="true" hidden="false" outlineLevel="0" max="6" min="3" style="0" width="16.2"/>
    <col collapsed="false" customWidth="true" hidden="false" outlineLevel="0" max="7" min="7" style="0" width="3.51"/>
    <col collapsed="false" customWidth="true" hidden="false" outlineLevel="0" max="8" min="8" style="0" width="17.28"/>
    <col collapsed="false" customWidth="true" hidden="false" outlineLevel="0" max="10" min="9" style="0" width="16.2"/>
    <col collapsed="false" customWidth="true" hidden="false" outlineLevel="0" max="11" min="11" style="0" width="8.21"/>
    <col collapsed="false" customWidth="true" hidden="false" outlineLevel="0" max="26" min="12" style="0" width="16.2"/>
    <col collapsed="false" customWidth="true" hidden="false" outlineLevel="0" max="1025" min="27" style="0" width="19.44"/>
  </cols>
  <sheetData>
    <row r="1" customFormat="false" ht="15.75" hidden="false" customHeight="true" outlineLevel="0" collapsed="false">
      <c r="A1" s="65" t="s">
        <v>906</v>
      </c>
      <c r="B1" s="66" t="str">
        <f aca="false">HYPERLINK("http://www.ezimba.com/","EZIMBA")</f>
        <v>EZIMBA</v>
      </c>
      <c r="C1" s="65" t="s">
        <v>907</v>
      </c>
      <c r="D1" s="65" t="s">
        <v>908</v>
      </c>
      <c r="E1" s="65" t="s">
        <v>909</v>
      </c>
      <c r="F1" s="67" t="n">
        <v>0.3</v>
      </c>
      <c r="G1" s="57"/>
      <c r="H1" s="57"/>
      <c r="K1" s="57"/>
    </row>
    <row r="2" customFormat="false" ht="15.75" hidden="false" customHeight="true" outlineLevel="0" collapsed="false">
      <c r="A2" s="65" t="s">
        <v>910</v>
      </c>
      <c r="B2" s="65" t="n">
        <v>2</v>
      </c>
      <c r="G2" s="57"/>
      <c r="H2" s="57"/>
      <c r="K2" s="57"/>
    </row>
    <row r="3" customFormat="false" ht="15.75" hidden="false" customHeight="true" outlineLevel="0" collapsed="false">
      <c r="A3" s="65" t="s">
        <v>911</v>
      </c>
      <c r="B3" s="65" t="n">
        <v>10</v>
      </c>
      <c r="G3" s="57"/>
      <c r="H3" s="57"/>
      <c r="K3" s="57"/>
      <c r="L3" s="65" t="s">
        <v>912</v>
      </c>
      <c r="M3" s="65" t="s">
        <v>913</v>
      </c>
      <c r="N3" s="65" t="s">
        <v>914</v>
      </c>
      <c r="O3" s="65" t="s">
        <v>915</v>
      </c>
      <c r="P3" s="65" t="s">
        <v>916</v>
      </c>
    </row>
    <row r="4" customFormat="false" ht="15.75" hidden="false" customHeight="true" outlineLevel="0" collapsed="false">
      <c r="A4" s="57"/>
      <c r="B4" s="57"/>
      <c r="G4" s="57"/>
      <c r="H4" s="57"/>
      <c r="K4" s="57"/>
      <c r="L4" s="68" t="s">
        <v>917</v>
      </c>
      <c r="M4" s="68" t="n">
        <v>0</v>
      </c>
      <c r="N4" s="68" t="n">
        <v>0</v>
      </c>
      <c r="O4" s="68" t="s">
        <v>690</v>
      </c>
      <c r="P4" s="68" t="n">
        <v>0</v>
      </c>
      <c r="Q4" s="68" t="s">
        <v>918</v>
      </c>
    </row>
    <row r="5" customFormat="false" ht="15.75" hidden="false" customHeight="true" outlineLevel="0" collapsed="false">
      <c r="A5" s="69" t="s">
        <v>919</v>
      </c>
      <c r="B5" s="69" t="s">
        <v>920</v>
      </c>
      <c r="C5" s="69" t="str">
        <f aca="false">CVSSv2!A4</f>
        <v>Vector de acceso:</v>
      </c>
      <c r="D5" s="69" t="str">
        <f aca="false">CVSSv2!A5</f>
        <v>Complejidad de acceso:</v>
      </c>
      <c r="E5" s="69" t="str">
        <f aca="false">CVSSv2!A6</f>
        <v>Autenticación:</v>
      </c>
      <c r="F5" s="69" t="str">
        <f aca="false">CVSSv2!A10</f>
        <v>Explotabilidad:</v>
      </c>
      <c r="G5" s="69"/>
      <c r="H5" s="69" t="str">
        <f aca="false">CVSSv2!A7</f>
        <v>Impacto a la confidencialidad:</v>
      </c>
      <c r="I5" s="69" t="str">
        <f aca="false">CVSSv2!A8</f>
        <v>Impacto a la integridad:</v>
      </c>
      <c r="J5" s="69" t="str">
        <f aca="false">CVSSv2!A9</f>
        <v>Impacto a la disponibilidad:</v>
      </c>
      <c r="K5" s="57"/>
      <c r="L5" s="68" t="s">
        <v>917</v>
      </c>
      <c r="M5" s="68" t="n">
        <v>0</v>
      </c>
      <c r="N5" s="68" t="n">
        <v>0</v>
      </c>
      <c r="O5" s="68" t="s">
        <v>917</v>
      </c>
      <c r="P5" s="68" t="n">
        <v>0</v>
      </c>
      <c r="Q5" s="68" t="s">
        <v>918</v>
      </c>
    </row>
    <row r="6" customFormat="false" ht="15.75" hidden="false" customHeight="true" outlineLevel="0" collapsed="false">
      <c r="A6" s="65" t="n">
        <v>1</v>
      </c>
      <c r="B6" s="57" t="n">
        <f aca="false">((A6-1)*$B$3)+$B$2+1</f>
        <v>3</v>
      </c>
      <c r="C6" s="57" t="n">
        <f aca="true">IF(INDIRECT("Hallazgos!G"&amp;B6)=CVSSv2!$C$4,CVSSv2!$C$15,IF(INDIRECT("Hallazgos!G"&amp;B6)=CVSSv2!$D$4,CVSSv2!$D$15,IF(INDIRECT("Hallazgos!G"&amp;B6)=CVSSv2!$E$4,CVSSv2!$E$15,0)))</f>
        <v>0</v>
      </c>
      <c r="D6" s="57" t="n">
        <f aca="true">IF(INDIRECT("Hallazgos!G"&amp;B6+1)=CVSSv2!$C$5,CVSSv2!$C$16,IF(INDIRECT("Hallazgos!G"&amp;B6+1)=CVSSv2!$D$5,CVSSv2!$D$16,IF(INDIRECT("Hallazgos!G"&amp;B6+1)=CVSSv2!$E$5,CVSSv2!$E$16,0)))</f>
        <v>0</v>
      </c>
      <c r="E6" s="57" t="n">
        <f aca="true">IF(INDIRECT("Hallazgos!G"&amp;B6+2)=CVSSv2!$C$6,CVSSv2!$C$17,IF(INDIRECT("Hallazgos!G"&amp;B6+2)=CVSSv2!$D$6,CVSSv2!$D$17,IF(INDIRECT("Hallazgos!G"&amp;B6+2)=CVSSv2!$E$6,CVSSv2!$E$17,0)))</f>
        <v>0</v>
      </c>
      <c r="F6" s="57" t="n">
        <f aca="true">IF(INDIRECT("Hallazgos!G"&amp;B6+6)=CVSSv2!$C$10,CVSSv2!$C$21,IF(INDIRECT("Hallazgos!G"&amp;B6+6)=CVSSv2!$D$10,CVSSv2!$D$21,IF(INDIRECT("Hallazgos!G"&amp;B6+6)=CVSSv2!$E$10,CVSSv2!$E$21,IF(INDIRECT("Hallazgos!G"&amp;B6+6)=CVSSv2!$F$10,CVSSv2!$F$21,0))))</f>
        <v>0</v>
      </c>
      <c r="G6" s="57"/>
      <c r="H6" s="57" t="n">
        <f aca="true">IF(INDIRECT("Hallazgos!G"&amp;B6+3)=CVSSv2!$C$7,CVSSv2!$C$18,IF(INDIRECT("Hallazgos!G"&amp;B6+3)=CVSSv2!$D$7,CVSSv2!$D$18,IF(INDIRECT("Hallazgos!G"&amp;B6+3)=CVSSv2!$E$7,CVSSv2!$E$18,0)))</f>
        <v>0</v>
      </c>
      <c r="I6" s="57" t="n">
        <f aca="true">IF(INDIRECT("Hallazgos!G"&amp;B6+4)=CVSSv2!$C$8,CVSSv2!$C$19,IF(INDIRECT("Hallazgos!G"&amp;B6+4)=CVSSv2!$D$8,CVSSv2!$D$19,IF(INDIRECT("Hallazgos!G"&amp;B6+4)=CVSSv2!$E$8,CVSSv2!$E$19,0)))</f>
        <v>0</v>
      </c>
      <c r="J6" s="57" t="n">
        <f aca="true">IF(INDIRECT("Hallazgos!G"&amp;B6+5)=CVSSv2!$C$9,CVSSv2!$C$20,IF(INDIRECT("Hallazgos!G"&amp;B6+5)=CVSSv2!$D$9,CVSSv2!$D$20,IF(INDIRECT("Hallazgos!G"&amp;B6+5)=CVSSv2!$E$9,CVSSv2!$E$20,0)))</f>
        <v>0</v>
      </c>
      <c r="K6" s="57"/>
      <c r="L6" s="57" t="str">
        <f aca="false">IF(P6&lt;1,"x",A6&amp;" ")</f>
        <v>1 </v>
      </c>
      <c r="M6" s="57" t="n">
        <f aca="false">10*C6*D6*E6*F6</f>
        <v>0</v>
      </c>
      <c r="N6" s="57" t="n">
        <f aca="false">IF((5.21*(1-(1-H6)*(1-I6)*(1-J6)))=0,0.2,(5.21*(1-(1-H6)*(1-I6)*(1-J6))))</f>
        <v>0.2</v>
      </c>
      <c r="O6" s="57" t="str">
        <f aca="true">L6&amp;INDIRECT("Hallazgos!B"&amp;B6)&amp;" ("&amp;P6&amp;")"</f>
        <v>1 Vulnerabilidad 1 (9,5)</v>
      </c>
      <c r="P6" s="70" t="n">
        <f aca="true">IF(INDIRECT("Hallazgos!I"&amp;B6)&gt;0,INDIRECT("Hallazgos!I"&amp;B6),0)</f>
        <v>9.5</v>
      </c>
    </row>
    <row r="7" customFormat="false" ht="15.75" hidden="false" customHeight="true" outlineLevel="0" collapsed="false">
      <c r="A7" s="65" t="n">
        <v>2</v>
      </c>
      <c r="B7" s="57" t="n">
        <f aca="false">((A7-1)*$B$3)+$B$2+1</f>
        <v>13</v>
      </c>
      <c r="C7" s="57" t="n">
        <f aca="true">IF(INDIRECT("Hallazgos!G"&amp;B7)=CVSSv2!$C$4,CVSSv2!$C$15,IF(INDIRECT("Hallazgos!G"&amp;B7)=CVSSv2!$D$4,CVSSv2!$D$15,IF(INDIRECT("Hallazgos!G"&amp;B7)=CVSSv2!$E$4,CVSSv2!$E$15,0)))</f>
        <v>0</v>
      </c>
      <c r="D7" s="57" t="n">
        <f aca="true">IF(INDIRECT("Hallazgos!G"&amp;B7+1)=CVSSv2!$C$5,CVSSv2!$C$16,IF(INDIRECT("Hallazgos!G"&amp;B7+1)=CVSSv2!$D$5,CVSSv2!$D$16,IF(INDIRECT("Hallazgos!G"&amp;B7+1)=CVSSv2!$E$5,CVSSv2!$E$16,0)))</f>
        <v>0</v>
      </c>
      <c r="E7" s="57" t="n">
        <f aca="true">IF(INDIRECT("Hallazgos!G"&amp;B7+2)=CVSSv2!$C$6,CVSSv2!$C$17,IF(INDIRECT("Hallazgos!G"&amp;B7+2)=CVSSv2!$D$6,CVSSv2!$D$17,IF(INDIRECT("Hallazgos!G"&amp;B7+2)=CVSSv2!$E$6,CVSSv2!$E$17,0)))</f>
        <v>0</v>
      </c>
      <c r="F7" s="57" t="n">
        <f aca="true">IF(INDIRECT("Hallazgos!G"&amp;B7+6)=CVSSv2!$C$10,CVSSv2!$C$21,IF(INDIRECT("Hallazgos!G"&amp;B7+6)=CVSSv2!$D$10,CVSSv2!$D$21,IF(INDIRECT("Hallazgos!G"&amp;B7+6)=CVSSv2!$E$10,CVSSv2!$E$21,IF(INDIRECT("Hallazgos!G"&amp;B7+6)=CVSSv2!$F$10,CVSSv2!$F$21,0))))</f>
        <v>0</v>
      </c>
      <c r="G7" s="57"/>
      <c r="H7" s="57" t="n">
        <f aca="true">IF(INDIRECT("Hallazgos!G"&amp;B7+3)=CVSSv2!$C$7,CVSSv2!$C$18,IF(INDIRECT("Hallazgos!G"&amp;B7+3)=CVSSv2!$D$7,CVSSv2!$D$18,IF(INDIRECT("Hallazgos!G"&amp;B7+3)=CVSSv2!$E$7,CVSSv2!$E$18,0)))</f>
        <v>0</v>
      </c>
      <c r="I7" s="57" t="n">
        <f aca="true">IF(INDIRECT("Hallazgos!G"&amp;B7+4)=CVSSv2!$C$8,CVSSv2!$C$19,IF(INDIRECT("Hallazgos!G"&amp;B7+4)=CVSSv2!$D$8,CVSSv2!$D$19,IF(INDIRECT("Hallazgos!G"&amp;B7+4)=CVSSv2!$E$8,CVSSv2!$E$19,0)))</f>
        <v>0</v>
      </c>
      <c r="J7" s="57" t="n">
        <f aca="true">IF(INDIRECT("Hallazgos!G"&amp;B7+5)=CVSSv2!$C$9,CVSSv2!$C$20,IF(INDIRECT("Hallazgos!G"&amp;B7+5)=CVSSv2!$D$9,CVSSv2!$D$20,IF(INDIRECT("Hallazgos!G"&amp;B7+5)=CVSSv2!$E$9,CVSSv2!$E$20,0)))</f>
        <v>0</v>
      </c>
      <c r="K7" s="57"/>
      <c r="L7" s="57" t="str">
        <f aca="false">IF(P7&lt;1,"x",A7&amp;" ")</f>
        <v>2 </v>
      </c>
      <c r="M7" s="57" t="n">
        <f aca="false">10*C7*D7*E7*F7</f>
        <v>0</v>
      </c>
      <c r="N7" s="57" t="n">
        <f aca="false">IF((5.21*(1-(1-H7)*(1-I7)*(1-J7)))=0,0.2,(5.21*(1-(1-H7)*(1-I7)*(1-J7))))</f>
        <v>0.2</v>
      </c>
      <c r="O7" s="57" t="str">
        <f aca="true">L7&amp;INDIRECT("Hallazgos!B"&amp;B7)&amp;" ("&amp;P7&amp;")"</f>
        <v>2 Vulnerabilidad 2 (9,5)</v>
      </c>
      <c r="P7" s="70" t="n">
        <f aca="true">IF(INDIRECT("Hallazgos!I"&amp;B7)&gt;0,INDIRECT("Hallazgos!I"&amp;B7),0)</f>
        <v>9.5</v>
      </c>
    </row>
    <row r="8" customFormat="false" ht="15.75" hidden="false" customHeight="true" outlineLevel="0" collapsed="false">
      <c r="A8" s="65" t="n">
        <v>3</v>
      </c>
      <c r="B8" s="57" t="n">
        <f aca="false">((A8-1)*$B$3)+$B$2+1</f>
        <v>23</v>
      </c>
      <c r="C8" s="57" t="n">
        <f aca="true">IF(INDIRECT("Hallazgos!G"&amp;B8)=CVSSv2!$C$4,CVSSv2!$C$15,IF(INDIRECT("Hallazgos!G"&amp;B8)=CVSSv2!$D$4,CVSSv2!$D$15,IF(INDIRECT("Hallazgos!G"&amp;B8)=CVSSv2!$E$4,CVSSv2!$E$15,0)))</f>
        <v>0</v>
      </c>
      <c r="D8" s="57" t="n">
        <f aca="true">IF(INDIRECT("Hallazgos!G"&amp;B8+1)=CVSSv2!$C$5,CVSSv2!$C$16,IF(INDIRECT("Hallazgos!G"&amp;B8+1)=CVSSv2!$D$5,CVSSv2!$D$16,IF(INDIRECT("Hallazgos!G"&amp;B8+1)=CVSSv2!$E$5,CVSSv2!$E$16,0)))</f>
        <v>0</v>
      </c>
      <c r="E8" s="57" t="n">
        <f aca="true">IF(INDIRECT("Hallazgos!G"&amp;B8+2)=CVSSv2!$C$6,CVSSv2!$C$17,IF(INDIRECT("Hallazgos!G"&amp;B8+2)=CVSSv2!$D$6,CVSSv2!$D$17,IF(INDIRECT("Hallazgos!G"&amp;B8+2)=CVSSv2!$E$6,CVSSv2!$E$17,0)))</f>
        <v>0</v>
      </c>
      <c r="F8" s="57" t="n">
        <f aca="true">IF(INDIRECT("Hallazgos!G"&amp;B8+6)=CVSSv2!$C$10,CVSSv2!$C$21,IF(INDIRECT("Hallazgos!G"&amp;B8+6)=CVSSv2!$D$10,CVSSv2!$D$21,IF(INDIRECT("Hallazgos!G"&amp;B8+6)=CVSSv2!$E$10,CVSSv2!$E$21,IF(INDIRECT("Hallazgos!G"&amp;B8+6)=CVSSv2!$F$10,CVSSv2!$F$21,0))))</f>
        <v>0</v>
      </c>
      <c r="G8" s="57"/>
      <c r="H8" s="57" t="n">
        <f aca="true">IF(INDIRECT("Hallazgos!G"&amp;B8+3)=CVSSv2!$C$7,CVSSv2!$C$18,IF(INDIRECT("Hallazgos!G"&amp;B8+3)=CVSSv2!$D$7,CVSSv2!$D$18,IF(INDIRECT("Hallazgos!G"&amp;B8+3)=CVSSv2!$E$7,CVSSv2!$E$18,0)))</f>
        <v>0</v>
      </c>
      <c r="I8" s="57" t="n">
        <f aca="true">IF(INDIRECT("Hallazgos!G"&amp;B8+4)=CVSSv2!$C$8,CVSSv2!$C$19,IF(INDIRECT("Hallazgos!G"&amp;B8+4)=CVSSv2!$D$8,CVSSv2!$D$19,IF(INDIRECT("Hallazgos!G"&amp;B8+4)=CVSSv2!$E$8,CVSSv2!$E$19,0)))</f>
        <v>0</v>
      </c>
      <c r="J8" s="57" t="n">
        <f aca="true">IF(INDIRECT("Hallazgos!G"&amp;B8+5)=CVSSv2!$C$9,CVSSv2!$C$20,IF(INDIRECT("Hallazgos!G"&amp;B8+5)=CVSSv2!$D$9,CVSSv2!$D$20,IF(INDIRECT("Hallazgos!G"&amp;B8+5)=CVSSv2!$E$9,CVSSv2!$E$20,0)))</f>
        <v>0</v>
      </c>
      <c r="K8" s="57"/>
      <c r="L8" s="57" t="str">
        <f aca="false">IF(P8&lt;1,"x",A8&amp;" ")</f>
        <v>3 </v>
      </c>
      <c r="M8" s="57" t="n">
        <f aca="false">10*C8*D8*E8*F8</f>
        <v>0</v>
      </c>
      <c r="N8" s="57" t="n">
        <f aca="false">IF((5.21*(1-(1-H8)*(1-I8)*(1-J8)))=0,0.2,(5.21*(1-(1-H8)*(1-I8)*(1-J8))))</f>
        <v>0.2</v>
      </c>
      <c r="O8" s="57" t="str">
        <f aca="true">L8&amp;INDIRECT("Hallazgos!B"&amp;B8)&amp;" ("&amp;P8&amp;")"</f>
        <v>3 Vulnerabilidad 3 (9,5)</v>
      </c>
      <c r="P8" s="70" t="n">
        <f aca="true">IF(INDIRECT("Hallazgos!I"&amp;B8)&gt;0,INDIRECT("Hallazgos!I"&amp;B8),0)</f>
        <v>9.5</v>
      </c>
    </row>
    <row r="9" customFormat="false" ht="15.75" hidden="false" customHeight="true" outlineLevel="0" collapsed="false">
      <c r="A9" s="65" t="n">
        <v>4</v>
      </c>
      <c r="B9" s="57" t="n">
        <f aca="false">((A9-1)*$B$3)+$B$2+1</f>
        <v>33</v>
      </c>
      <c r="C9" s="57" t="n">
        <f aca="true">IF(INDIRECT("Hallazgos!G"&amp;B9)=CVSSv2!$C$4,CVSSv2!$C$15,IF(INDIRECT("Hallazgos!G"&amp;B9)=CVSSv2!$D$4,CVSSv2!$D$15,IF(INDIRECT("Hallazgos!G"&amp;B9)=CVSSv2!$E$4,CVSSv2!$E$15,0)))</f>
        <v>0</v>
      </c>
      <c r="D9" s="57" t="n">
        <f aca="true">IF(INDIRECT("Hallazgos!G"&amp;B9+1)=CVSSv2!$C$5,CVSSv2!$C$16,IF(INDIRECT("Hallazgos!G"&amp;B9+1)=CVSSv2!$D$5,CVSSv2!$D$16,IF(INDIRECT("Hallazgos!G"&amp;B9+1)=CVSSv2!$E$5,CVSSv2!$E$16,0)))</f>
        <v>0</v>
      </c>
      <c r="E9" s="57" t="n">
        <f aca="true">IF(INDIRECT("Hallazgos!G"&amp;B9+2)=CVSSv2!$C$6,CVSSv2!$C$17,IF(INDIRECT("Hallazgos!G"&amp;B9+2)=CVSSv2!$D$6,CVSSv2!$D$17,IF(INDIRECT("Hallazgos!G"&amp;B9+2)=CVSSv2!$E$6,CVSSv2!$E$17,0)))</f>
        <v>0</v>
      </c>
      <c r="F9" s="57" t="n">
        <f aca="true">IF(INDIRECT("Hallazgos!G"&amp;B9+6)=CVSSv2!$C$10,CVSSv2!$C$21,IF(INDIRECT("Hallazgos!G"&amp;B9+6)=CVSSv2!$D$10,CVSSv2!$D$21,IF(INDIRECT("Hallazgos!G"&amp;B9+6)=CVSSv2!$E$10,CVSSv2!$E$21,IF(INDIRECT("Hallazgos!G"&amp;B9+6)=CVSSv2!$F$10,CVSSv2!$F$21,0))))</f>
        <v>0</v>
      </c>
      <c r="G9" s="57"/>
      <c r="H9" s="57" t="n">
        <f aca="true">IF(INDIRECT("Hallazgos!G"&amp;B9+3)=CVSSv2!$C$7,CVSSv2!$C$18,IF(INDIRECT("Hallazgos!G"&amp;B9+3)=CVSSv2!$D$7,CVSSv2!$D$18,IF(INDIRECT("Hallazgos!G"&amp;B9+3)=CVSSv2!$E$7,CVSSv2!$E$18,0)))</f>
        <v>0</v>
      </c>
      <c r="I9" s="57" t="n">
        <f aca="true">IF(INDIRECT("Hallazgos!G"&amp;B9+4)=CVSSv2!$C$8,CVSSv2!$C$19,IF(INDIRECT("Hallazgos!G"&amp;B9+4)=CVSSv2!$D$8,CVSSv2!$D$19,IF(INDIRECT("Hallazgos!G"&amp;B9+4)=CVSSv2!$E$8,CVSSv2!$E$19,0)))</f>
        <v>0</v>
      </c>
      <c r="J9" s="57" t="n">
        <f aca="true">IF(INDIRECT("Hallazgos!G"&amp;B9+5)=CVSSv2!$C$9,CVSSv2!$C$20,IF(INDIRECT("Hallazgos!G"&amp;B9+5)=CVSSv2!$D$9,CVSSv2!$D$20,IF(INDIRECT("Hallazgos!G"&amp;B9+5)=CVSSv2!$E$9,CVSSv2!$E$20,0)))</f>
        <v>0</v>
      </c>
      <c r="K9" s="57"/>
      <c r="L9" s="57" t="str">
        <f aca="false">IF(P9&lt;1,"x",A9&amp;" ")</f>
        <v>4 </v>
      </c>
      <c r="M9" s="57" t="n">
        <f aca="false">10*C9*D9*E9*F9</f>
        <v>0</v>
      </c>
      <c r="N9" s="57" t="n">
        <f aca="false">IF((5.21*(1-(1-H9)*(1-I9)*(1-J9)))=0,0.2,(5.21*(1-(1-H9)*(1-I9)*(1-J9))))</f>
        <v>0.2</v>
      </c>
      <c r="O9" s="57" t="str">
        <f aca="true">L9&amp;INDIRECT("Hallazgos!B"&amp;B9)&amp;" ("&amp;P9&amp;")"</f>
        <v>4 Vulnerabilidad 4 (9,5)</v>
      </c>
      <c r="P9" s="70" t="n">
        <f aca="true">IF(INDIRECT("Hallazgos!I"&amp;B9)&gt;0,INDIRECT("Hallazgos!I"&amp;B9),0)</f>
        <v>9.5</v>
      </c>
    </row>
    <row r="10" customFormat="false" ht="15.75" hidden="false" customHeight="true" outlineLevel="0" collapsed="false">
      <c r="A10" s="65" t="n">
        <v>5</v>
      </c>
      <c r="B10" s="57" t="n">
        <f aca="false">((A10-1)*$B$3)+$B$2+1</f>
        <v>43</v>
      </c>
      <c r="C10" s="57" t="n">
        <f aca="true">IF(INDIRECT("Hallazgos!G"&amp;B10)=CVSSv2!$C$4,CVSSv2!$C$15,IF(INDIRECT("Hallazgos!G"&amp;B10)=CVSSv2!$D$4,CVSSv2!$D$15,IF(INDIRECT("Hallazgos!G"&amp;B10)=CVSSv2!$E$4,CVSSv2!$E$15,0)))</f>
        <v>0</v>
      </c>
      <c r="D10" s="57" t="n">
        <f aca="true">IF(INDIRECT("Hallazgos!G"&amp;B10+1)=CVSSv2!$C$5,CVSSv2!$C$16,IF(INDIRECT("Hallazgos!G"&amp;B10+1)=CVSSv2!$D$5,CVSSv2!$D$16,IF(INDIRECT("Hallazgos!G"&amp;B10+1)=CVSSv2!$E$5,CVSSv2!$E$16,0)))</f>
        <v>0</v>
      </c>
      <c r="E10" s="57" t="n">
        <f aca="true">IF(INDIRECT("Hallazgos!G"&amp;B10+2)=CVSSv2!$C$6,CVSSv2!$C$17,IF(INDIRECT("Hallazgos!G"&amp;B10+2)=CVSSv2!$D$6,CVSSv2!$D$17,IF(INDIRECT("Hallazgos!G"&amp;B10+2)=CVSSv2!$E$6,CVSSv2!$E$17,0)))</f>
        <v>0</v>
      </c>
      <c r="F10" s="57" t="n">
        <f aca="true">IF(INDIRECT("Hallazgos!G"&amp;B10+6)=CVSSv2!$C$10,CVSSv2!$C$21,IF(INDIRECT("Hallazgos!G"&amp;B10+6)=CVSSv2!$D$10,CVSSv2!$D$21,IF(INDIRECT("Hallazgos!G"&amp;B10+6)=CVSSv2!$E$10,CVSSv2!$E$21,IF(INDIRECT("Hallazgos!G"&amp;B10+6)=CVSSv2!$F$10,CVSSv2!$F$21,0))))</f>
        <v>0</v>
      </c>
      <c r="G10" s="57"/>
      <c r="H10" s="57" t="n">
        <f aca="true">IF(INDIRECT("Hallazgos!G"&amp;B10+3)=CVSSv2!$C$7,CVSSv2!$C$18,IF(INDIRECT("Hallazgos!G"&amp;B10+3)=CVSSv2!$D$7,CVSSv2!$D$18,IF(INDIRECT("Hallazgos!G"&amp;B10+3)=CVSSv2!$E$7,CVSSv2!$E$18,0)))</f>
        <v>0</v>
      </c>
      <c r="I10" s="57" t="n">
        <f aca="true">IF(INDIRECT("Hallazgos!G"&amp;B10+4)=CVSSv2!$C$8,CVSSv2!$C$19,IF(INDIRECT("Hallazgos!G"&amp;B10+4)=CVSSv2!$D$8,CVSSv2!$D$19,IF(INDIRECT("Hallazgos!G"&amp;B10+4)=CVSSv2!$E$8,CVSSv2!$E$19,0)))</f>
        <v>0</v>
      </c>
      <c r="J10" s="57" t="n">
        <f aca="true">IF(INDIRECT("Hallazgos!G"&amp;B10+5)=CVSSv2!$C$9,CVSSv2!$C$20,IF(INDIRECT("Hallazgos!G"&amp;B10+5)=CVSSv2!$D$9,CVSSv2!$D$20,IF(INDIRECT("Hallazgos!G"&amp;B10+5)=CVSSv2!$E$9,CVSSv2!$E$20,0)))</f>
        <v>0</v>
      </c>
      <c r="K10" s="57"/>
      <c r="L10" s="57" t="str">
        <f aca="false">IF(P10&lt;1,"x",A10&amp;" ")</f>
        <v>5 </v>
      </c>
      <c r="M10" s="57" t="n">
        <f aca="false">10*C10*D10*E10*F10</f>
        <v>0</v>
      </c>
      <c r="N10" s="57" t="n">
        <f aca="false">IF((5.21*(1-(1-H10)*(1-I10)*(1-J10)))=0,0.2,(5.21*(1-(1-H10)*(1-I10)*(1-J10))))</f>
        <v>0.2</v>
      </c>
      <c r="O10" s="57" t="str">
        <f aca="true">L10&amp;INDIRECT("Hallazgos!B"&amp;B10)&amp;" ("&amp;P10&amp;")"</f>
        <v>5 Vulnerabilidad 5 (9,5)</v>
      </c>
      <c r="P10" s="70" t="n">
        <f aca="true">IF(INDIRECT("Hallazgos!I"&amp;B10)&gt;0,INDIRECT("Hallazgos!I"&amp;B10),0)</f>
        <v>9.5</v>
      </c>
    </row>
    <row r="11" customFormat="false" ht="15.75" hidden="false" customHeight="true" outlineLevel="0" collapsed="false">
      <c r="A11" s="65" t="n">
        <v>6</v>
      </c>
      <c r="B11" s="57" t="n">
        <f aca="false">((A11-1)*$B$3)+$B$2+1</f>
        <v>53</v>
      </c>
      <c r="C11" s="57" t="n">
        <f aca="true">IF(INDIRECT("Hallazgos!G"&amp;B11)=CVSSv2!$C$4,CVSSv2!$C$15,IF(INDIRECT("Hallazgos!G"&amp;B11)=CVSSv2!$D$4,CVSSv2!$D$15,IF(INDIRECT("Hallazgos!G"&amp;B11)=CVSSv2!$E$4,CVSSv2!$E$15,0)))</f>
        <v>0</v>
      </c>
      <c r="D11" s="57" t="n">
        <f aca="true">IF(INDIRECT("Hallazgos!G"&amp;B11+1)=CVSSv2!$C$5,CVSSv2!$C$16,IF(INDIRECT("Hallazgos!G"&amp;B11+1)=CVSSv2!$D$5,CVSSv2!$D$16,IF(INDIRECT("Hallazgos!G"&amp;B11+1)=CVSSv2!$E$5,CVSSv2!$E$16,0)))</f>
        <v>0</v>
      </c>
      <c r="E11" s="57" t="n">
        <f aca="true">IF(INDIRECT("Hallazgos!G"&amp;B11+2)=CVSSv2!$C$6,CVSSv2!$C$17,IF(INDIRECT("Hallazgos!G"&amp;B11+2)=CVSSv2!$D$6,CVSSv2!$D$17,IF(INDIRECT("Hallazgos!G"&amp;B11+2)=CVSSv2!$E$6,CVSSv2!$E$17,0)))</f>
        <v>0</v>
      </c>
      <c r="F11" s="57" t="n">
        <f aca="true">IF(INDIRECT("Hallazgos!G"&amp;B11+6)=CVSSv2!$C$10,CVSSv2!$C$21,IF(INDIRECT("Hallazgos!G"&amp;B11+6)=CVSSv2!$D$10,CVSSv2!$D$21,IF(INDIRECT("Hallazgos!G"&amp;B11+6)=CVSSv2!$E$10,CVSSv2!$E$21,IF(INDIRECT("Hallazgos!G"&amp;B11+6)=CVSSv2!$F$10,CVSSv2!$F$21,0))))</f>
        <v>0</v>
      </c>
      <c r="G11" s="57"/>
      <c r="H11" s="57" t="n">
        <f aca="true">IF(INDIRECT("Hallazgos!G"&amp;B11+3)=CVSSv2!$C$7,CVSSv2!$C$18,IF(INDIRECT("Hallazgos!G"&amp;B11+3)=CVSSv2!$D$7,CVSSv2!$D$18,IF(INDIRECT("Hallazgos!G"&amp;B11+3)=CVSSv2!$E$7,CVSSv2!$E$18,0)))</f>
        <v>0</v>
      </c>
      <c r="I11" s="57" t="n">
        <f aca="true">IF(INDIRECT("Hallazgos!G"&amp;B11+4)=CVSSv2!$C$8,CVSSv2!$C$19,IF(INDIRECT("Hallazgos!G"&amp;B11+4)=CVSSv2!$D$8,CVSSv2!$D$19,IF(INDIRECT("Hallazgos!G"&amp;B11+4)=CVSSv2!$E$8,CVSSv2!$E$19,0)))</f>
        <v>0</v>
      </c>
      <c r="J11" s="57" t="n">
        <f aca="true">IF(INDIRECT("Hallazgos!G"&amp;B11+5)=CVSSv2!$C$9,CVSSv2!$C$20,IF(INDIRECT("Hallazgos!G"&amp;B11+5)=CVSSv2!$D$9,CVSSv2!$D$20,IF(INDIRECT("Hallazgos!G"&amp;B11+5)=CVSSv2!$E$9,CVSSv2!$E$20,0)))</f>
        <v>0</v>
      </c>
      <c r="K11" s="57"/>
      <c r="L11" s="57" t="str">
        <f aca="false">IF(P11&lt;1,"x",A11&amp;" ")</f>
        <v>6 </v>
      </c>
      <c r="M11" s="57" t="n">
        <f aca="false">10*C11*D11*E11*F11</f>
        <v>0</v>
      </c>
      <c r="N11" s="57" t="n">
        <f aca="false">IF((5.21*(1-(1-H11)*(1-I11)*(1-J11)))=0,0.2,(5.21*(1-(1-H11)*(1-I11)*(1-J11))))</f>
        <v>0.2</v>
      </c>
      <c r="O11" s="57" t="str">
        <f aca="true">L11&amp;INDIRECT("Hallazgos!B"&amp;B11)&amp;" ("&amp;P11&amp;")"</f>
        <v>6 Vulnerabilidad 6 (9,5)</v>
      </c>
      <c r="P11" s="70" t="n">
        <f aca="true">IF(INDIRECT("Hallazgos!I"&amp;B11)&gt;0,INDIRECT("Hallazgos!I"&amp;B11),0)</f>
        <v>9.5</v>
      </c>
    </row>
    <row r="12" customFormat="false" ht="15.75" hidden="false" customHeight="true" outlineLevel="0" collapsed="false">
      <c r="A12" s="65" t="n">
        <v>7</v>
      </c>
      <c r="B12" s="57" t="n">
        <f aca="false">((A12-1)*$B$3)+$B$2+1</f>
        <v>63</v>
      </c>
      <c r="C12" s="57" t="n">
        <f aca="true">IF(INDIRECT("Hallazgos!G"&amp;B12)=CVSSv2!$C$4,CVSSv2!$C$15,IF(INDIRECT("Hallazgos!G"&amp;B12)=CVSSv2!$D$4,CVSSv2!$D$15,IF(INDIRECT("Hallazgos!G"&amp;B12)=CVSSv2!$E$4,CVSSv2!$E$15,0)))</f>
        <v>0</v>
      </c>
      <c r="D12" s="57" t="n">
        <f aca="true">IF(INDIRECT("Hallazgos!G"&amp;B12+1)=CVSSv2!$C$5,CVSSv2!$C$16,IF(INDIRECT("Hallazgos!G"&amp;B12+1)=CVSSv2!$D$5,CVSSv2!$D$16,IF(INDIRECT("Hallazgos!G"&amp;B12+1)=CVSSv2!$E$5,CVSSv2!$E$16,0)))</f>
        <v>0</v>
      </c>
      <c r="E12" s="57" t="n">
        <f aca="true">IF(INDIRECT("Hallazgos!G"&amp;B12+2)=CVSSv2!$C$6,CVSSv2!$C$17,IF(INDIRECT("Hallazgos!G"&amp;B12+2)=CVSSv2!$D$6,CVSSv2!$D$17,IF(INDIRECT("Hallazgos!G"&amp;B12+2)=CVSSv2!$E$6,CVSSv2!$E$17,0)))</f>
        <v>0</v>
      </c>
      <c r="F12" s="57" t="n">
        <f aca="true">IF(INDIRECT("Hallazgos!G"&amp;B12+6)=CVSSv2!$C$10,CVSSv2!$C$21,IF(INDIRECT("Hallazgos!G"&amp;B12+6)=CVSSv2!$D$10,CVSSv2!$D$21,IF(INDIRECT("Hallazgos!G"&amp;B12+6)=CVSSv2!$E$10,CVSSv2!$E$21,IF(INDIRECT("Hallazgos!G"&amp;B12+6)=CVSSv2!$F$10,CVSSv2!$F$21,0))))</f>
        <v>0</v>
      </c>
      <c r="G12" s="57"/>
      <c r="H12" s="57" t="n">
        <f aca="true">IF(INDIRECT("Hallazgos!G"&amp;B12+3)=CVSSv2!$C$7,CVSSv2!$C$18,IF(INDIRECT("Hallazgos!G"&amp;B12+3)=CVSSv2!$D$7,CVSSv2!$D$18,IF(INDIRECT("Hallazgos!G"&amp;B12+3)=CVSSv2!$E$7,CVSSv2!$E$18,0)))</f>
        <v>0</v>
      </c>
      <c r="I12" s="57" t="n">
        <f aca="true">IF(INDIRECT("Hallazgos!G"&amp;B12+4)=CVSSv2!$C$8,CVSSv2!$C$19,IF(INDIRECT("Hallazgos!G"&amp;B12+4)=CVSSv2!$D$8,CVSSv2!$D$19,IF(INDIRECT("Hallazgos!G"&amp;B12+4)=CVSSv2!$E$8,CVSSv2!$E$19,0)))</f>
        <v>0</v>
      </c>
      <c r="J12" s="57" t="n">
        <f aca="true">IF(INDIRECT("Hallazgos!G"&amp;B12+5)=CVSSv2!$C$9,CVSSv2!$C$20,IF(INDIRECT("Hallazgos!G"&amp;B12+5)=CVSSv2!$D$9,CVSSv2!$D$20,IF(INDIRECT("Hallazgos!G"&amp;B12+5)=CVSSv2!$E$9,CVSSv2!$E$20,0)))</f>
        <v>0</v>
      </c>
      <c r="K12" s="57"/>
      <c r="L12" s="57" t="str">
        <f aca="false">IF(P12&lt;1,"x",A12&amp;" ")</f>
        <v>7 </v>
      </c>
      <c r="M12" s="57" t="n">
        <f aca="false">10*C12*D12*E12*F12</f>
        <v>0</v>
      </c>
      <c r="N12" s="57" t="n">
        <f aca="false">IF((5.21*(1-(1-H12)*(1-I12)*(1-J12)))=0,0.2,(5.21*(1-(1-H12)*(1-I12)*(1-J12))))</f>
        <v>0.2</v>
      </c>
      <c r="O12" s="57" t="str">
        <f aca="true">L12&amp;INDIRECT("Hallazgos!B"&amp;B12)&amp;" ("&amp;P12&amp;")"</f>
        <v>7 Vulnerabilidad 7 (9,5)</v>
      </c>
      <c r="P12" s="70" t="n">
        <f aca="true">IF(INDIRECT("Hallazgos!I"&amp;B12)&gt;0,INDIRECT("Hallazgos!I"&amp;B12),0)</f>
        <v>9.5</v>
      </c>
    </row>
    <row r="13" customFormat="false" ht="15.75" hidden="false" customHeight="true" outlineLevel="0" collapsed="false">
      <c r="A13" s="65" t="n">
        <v>8</v>
      </c>
      <c r="B13" s="57" t="n">
        <f aca="false">((A13-1)*$B$3)+$B$2+1</f>
        <v>73</v>
      </c>
      <c r="C13" s="57" t="n">
        <f aca="true">IF(INDIRECT("Hallazgos!G"&amp;B13)=CVSSv2!$C$4,CVSSv2!$C$15,IF(INDIRECT("Hallazgos!G"&amp;B13)=CVSSv2!$D$4,CVSSv2!$D$15,IF(INDIRECT("Hallazgos!G"&amp;B13)=CVSSv2!$E$4,CVSSv2!$E$15,0)))</f>
        <v>0</v>
      </c>
      <c r="D13" s="57" t="n">
        <f aca="true">IF(INDIRECT("Hallazgos!G"&amp;B13+1)=CVSSv2!$C$5,CVSSv2!$C$16,IF(INDIRECT("Hallazgos!G"&amp;B13+1)=CVSSv2!$D$5,CVSSv2!$D$16,IF(INDIRECT("Hallazgos!G"&amp;B13+1)=CVSSv2!$E$5,CVSSv2!$E$16,0)))</f>
        <v>0</v>
      </c>
      <c r="E13" s="57" t="n">
        <f aca="true">IF(INDIRECT("Hallazgos!G"&amp;B13+2)=CVSSv2!$C$6,CVSSv2!$C$17,IF(INDIRECT("Hallazgos!G"&amp;B13+2)=CVSSv2!$D$6,CVSSv2!$D$17,IF(INDIRECT("Hallazgos!G"&amp;B13+2)=CVSSv2!$E$6,CVSSv2!$E$17,0)))</f>
        <v>0</v>
      </c>
      <c r="F13" s="57" t="n">
        <f aca="true">IF(INDIRECT("Hallazgos!G"&amp;B13+6)=CVSSv2!$C$10,CVSSv2!$C$21,IF(INDIRECT("Hallazgos!G"&amp;B13+6)=CVSSv2!$D$10,CVSSv2!$D$21,IF(INDIRECT("Hallazgos!G"&amp;B13+6)=CVSSv2!$E$10,CVSSv2!$E$21,IF(INDIRECT("Hallazgos!G"&amp;B13+6)=CVSSv2!$F$10,CVSSv2!$F$21,0))))</f>
        <v>0</v>
      </c>
      <c r="G13" s="57"/>
      <c r="H13" s="57" t="n">
        <f aca="true">IF(INDIRECT("Hallazgos!G"&amp;B13+3)=CVSSv2!$C$7,CVSSv2!$C$18,IF(INDIRECT("Hallazgos!G"&amp;B13+3)=CVSSv2!$D$7,CVSSv2!$D$18,IF(INDIRECT("Hallazgos!G"&amp;B13+3)=CVSSv2!$E$7,CVSSv2!$E$18,0)))</f>
        <v>0</v>
      </c>
      <c r="I13" s="57" t="n">
        <f aca="true">IF(INDIRECT("Hallazgos!G"&amp;B13+4)=CVSSv2!$C$8,CVSSv2!$C$19,IF(INDIRECT("Hallazgos!G"&amp;B13+4)=CVSSv2!$D$8,CVSSv2!$D$19,IF(INDIRECT("Hallazgos!G"&amp;B13+4)=CVSSv2!$E$8,CVSSv2!$E$19,0)))</f>
        <v>0</v>
      </c>
      <c r="J13" s="57" t="n">
        <f aca="true">IF(INDIRECT("Hallazgos!G"&amp;B13+5)=CVSSv2!$C$9,CVSSv2!$C$20,IF(INDIRECT("Hallazgos!G"&amp;B13+5)=CVSSv2!$D$9,CVSSv2!$D$20,IF(INDIRECT("Hallazgos!G"&amp;B13+5)=CVSSv2!$E$9,CVSSv2!$E$20,0)))</f>
        <v>0</v>
      </c>
      <c r="K13" s="57"/>
      <c r="L13" s="57" t="str">
        <f aca="false">IF(P13&lt;1,"x",A13&amp;" ")</f>
        <v>8 </v>
      </c>
      <c r="M13" s="57" t="n">
        <f aca="false">10*C13*D13*E13*F13</f>
        <v>0</v>
      </c>
      <c r="N13" s="57" t="n">
        <f aca="false">IF((5.21*(1-(1-H13)*(1-I13)*(1-J13)))=0,0.2,(5.21*(1-(1-H13)*(1-I13)*(1-J13))))</f>
        <v>0.2</v>
      </c>
      <c r="O13" s="57" t="str">
        <f aca="true">L13&amp;INDIRECT("Hallazgos!B"&amp;B13)&amp;" ("&amp;P13&amp;")"</f>
        <v>8 Vulnerabilidad 8 (9,5)</v>
      </c>
      <c r="P13" s="70" t="n">
        <f aca="true">IF(INDIRECT("Hallazgos!I"&amp;B13)&gt;0,INDIRECT("Hallazgos!I"&amp;B13),0)</f>
        <v>9.5</v>
      </c>
    </row>
    <row r="14" customFormat="false" ht="15.75" hidden="false" customHeight="true" outlineLevel="0" collapsed="false">
      <c r="A14" s="65" t="n">
        <v>9</v>
      </c>
      <c r="B14" s="57" t="n">
        <f aca="false">((A14-1)*$B$3)+$B$2+1</f>
        <v>83</v>
      </c>
      <c r="C14" s="57" t="n">
        <f aca="true">IF(INDIRECT("Hallazgos!G"&amp;B14)=CVSSv2!$C$4,CVSSv2!$C$15,IF(INDIRECT("Hallazgos!G"&amp;B14)=CVSSv2!$D$4,CVSSv2!$D$15,IF(INDIRECT("Hallazgos!G"&amp;B14)=CVSSv2!$E$4,CVSSv2!$E$15,0)))</f>
        <v>0</v>
      </c>
      <c r="D14" s="57" t="n">
        <f aca="true">IF(INDIRECT("Hallazgos!G"&amp;B14+1)=CVSSv2!$C$5,CVSSv2!$C$16,IF(INDIRECT("Hallazgos!G"&amp;B14+1)=CVSSv2!$D$5,CVSSv2!$D$16,IF(INDIRECT("Hallazgos!G"&amp;B14+1)=CVSSv2!$E$5,CVSSv2!$E$16,0)))</f>
        <v>0</v>
      </c>
      <c r="E14" s="57" t="n">
        <f aca="true">IF(INDIRECT("Hallazgos!G"&amp;B14+2)=CVSSv2!$C$6,CVSSv2!$C$17,IF(INDIRECT("Hallazgos!G"&amp;B14+2)=CVSSv2!$D$6,CVSSv2!$D$17,IF(INDIRECT("Hallazgos!G"&amp;B14+2)=CVSSv2!$E$6,CVSSv2!$E$17,0)))</f>
        <v>0</v>
      </c>
      <c r="F14" s="57" t="n">
        <f aca="true">IF(INDIRECT("Hallazgos!G"&amp;B14+6)=CVSSv2!$C$10,CVSSv2!$C$21,IF(INDIRECT("Hallazgos!G"&amp;B14+6)=CVSSv2!$D$10,CVSSv2!$D$21,IF(INDIRECT("Hallazgos!G"&amp;B14+6)=CVSSv2!$E$10,CVSSv2!$E$21,IF(INDIRECT("Hallazgos!G"&amp;B14+6)=CVSSv2!$F$10,CVSSv2!$F$21,0))))</f>
        <v>0</v>
      </c>
      <c r="G14" s="57"/>
      <c r="H14" s="57" t="n">
        <f aca="true">IF(INDIRECT("Hallazgos!G"&amp;B14+3)=CVSSv2!$C$7,CVSSv2!$C$18,IF(INDIRECT("Hallazgos!G"&amp;B14+3)=CVSSv2!$D$7,CVSSv2!$D$18,IF(INDIRECT("Hallazgos!G"&amp;B14+3)=CVSSv2!$E$7,CVSSv2!$E$18,0)))</f>
        <v>0</v>
      </c>
      <c r="I14" s="57" t="n">
        <f aca="true">IF(INDIRECT("Hallazgos!G"&amp;B14+4)=CVSSv2!$C$8,CVSSv2!$C$19,IF(INDIRECT("Hallazgos!G"&amp;B14+4)=CVSSv2!$D$8,CVSSv2!$D$19,IF(INDIRECT("Hallazgos!G"&amp;B14+4)=CVSSv2!$E$8,CVSSv2!$E$19,0)))</f>
        <v>0</v>
      </c>
      <c r="J14" s="57" t="n">
        <f aca="true">IF(INDIRECT("Hallazgos!G"&amp;B14+5)=CVSSv2!$C$9,CVSSv2!$C$20,IF(INDIRECT("Hallazgos!G"&amp;B14+5)=CVSSv2!$D$9,CVSSv2!$D$20,IF(INDIRECT("Hallazgos!G"&amp;B14+5)=CVSSv2!$E$9,CVSSv2!$E$20,0)))</f>
        <v>0</v>
      </c>
      <c r="K14" s="57"/>
      <c r="L14" s="57" t="str">
        <f aca="false">IF(P14&lt;1,"x",A14&amp;" ")</f>
        <v>9 </v>
      </c>
      <c r="M14" s="57" t="n">
        <f aca="false">10*C14*D14*E14*F14</f>
        <v>0</v>
      </c>
      <c r="N14" s="57" t="n">
        <f aca="false">IF((5.21*(1-(1-H14)*(1-I14)*(1-J14)))=0,0.2,(5.21*(1-(1-H14)*(1-I14)*(1-J14))))</f>
        <v>0.2</v>
      </c>
      <c r="O14" s="57" t="str">
        <f aca="true">L14&amp;INDIRECT("Hallazgos!B"&amp;B14)&amp;" ("&amp;P14&amp;")"</f>
        <v>9 Vulnerabilidad 9 (9,5)</v>
      </c>
      <c r="P14" s="70" t="n">
        <f aca="true">IF(INDIRECT("Hallazgos!I"&amp;B14)&gt;0,INDIRECT("Hallazgos!I"&amp;B14),0)</f>
        <v>9.5</v>
      </c>
    </row>
    <row r="15" customFormat="false" ht="15.75" hidden="false" customHeight="true" outlineLevel="0" collapsed="false">
      <c r="A15" s="65" t="n">
        <v>10</v>
      </c>
      <c r="B15" s="57" t="n">
        <f aca="false">((A15-1)*$B$3)+$B$2+1</f>
        <v>93</v>
      </c>
      <c r="C15" s="57" t="n">
        <f aca="true">IF(INDIRECT("Hallazgos!G"&amp;B15)=CVSSv2!$C$4,CVSSv2!$C$15,IF(INDIRECT("Hallazgos!G"&amp;B15)=CVSSv2!$D$4,CVSSv2!$D$15,IF(INDIRECT("Hallazgos!G"&amp;B15)=CVSSv2!$E$4,CVSSv2!$E$15,0)))</f>
        <v>0</v>
      </c>
      <c r="D15" s="57" t="n">
        <f aca="true">IF(INDIRECT("Hallazgos!G"&amp;B15+1)=CVSSv2!$C$5,CVSSv2!$C$16,IF(INDIRECT("Hallazgos!G"&amp;B15+1)=CVSSv2!$D$5,CVSSv2!$D$16,IF(INDIRECT("Hallazgos!G"&amp;B15+1)=CVSSv2!$E$5,CVSSv2!$E$16,0)))</f>
        <v>0</v>
      </c>
      <c r="E15" s="57" t="n">
        <f aca="true">IF(INDIRECT("Hallazgos!G"&amp;B15+2)=CVSSv2!$C$6,CVSSv2!$C$17,IF(INDIRECT("Hallazgos!G"&amp;B15+2)=CVSSv2!$D$6,CVSSv2!$D$17,IF(INDIRECT("Hallazgos!G"&amp;B15+2)=CVSSv2!$E$6,CVSSv2!$E$17,0)))</f>
        <v>0</v>
      </c>
      <c r="F15" s="57" t="n">
        <f aca="true">IF(INDIRECT("Hallazgos!G"&amp;B15+6)=CVSSv2!$C$10,CVSSv2!$C$21,IF(INDIRECT("Hallazgos!G"&amp;B15+6)=CVSSv2!$D$10,CVSSv2!$D$21,IF(INDIRECT("Hallazgos!G"&amp;B15+6)=CVSSv2!$E$10,CVSSv2!$E$21,IF(INDIRECT("Hallazgos!G"&amp;B15+6)=CVSSv2!$F$10,CVSSv2!$F$21,0))))</f>
        <v>0</v>
      </c>
      <c r="G15" s="57"/>
      <c r="H15" s="57" t="n">
        <f aca="true">IF(INDIRECT("Hallazgos!G"&amp;B15+3)=CVSSv2!$C$7,CVSSv2!$C$18,IF(INDIRECT("Hallazgos!G"&amp;B15+3)=CVSSv2!$D$7,CVSSv2!$D$18,IF(INDIRECT("Hallazgos!G"&amp;B15+3)=CVSSv2!$E$7,CVSSv2!$E$18,0)))</f>
        <v>0</v>
      </c>
      <c r="I15" s="57" t="n">
        <f aca="true">IF(INDIRECT("Hallazgos!G"&amp;B15+4)=CVSSv2!$C$8,CVSSv2!$C$19,IF(INDIRECT("Hallazgos!G"&amp;B15+4)=CVSSv2!$D$8,CVSSv2!$D$19,IF(INDIRECT("Hallazgos!G"&amp;B15+4)=CVSSv2!$E$8,CVSSv2!$E$19,0)))</f>
        <v>0</v>
      </c>
      <c r="J15" s="57" t="n">
        <f aca="true">IF(INDIRECT("Hallazgos!G"&amp;B15+5)=CVSSv2!$C$9,CVSSv2!$C$20,IF(INDIRECT("Hallazgos!G"&amp;B15+5)=CVSSv2!$D$9,CVSSv2!$D$20,IF(INDIRECT("Hallazgos!G"&amp;B15+5)=CVSSv2!$E$9,CVSSv2!$E$20,0)))</f>
        <v>0</v>
      </c>
      <c r="K15" s="57"/>
      <c r="L15" s="57" t="str">
        <f aca="false">IF(P15&lt;1,"x",A15&amp;" ")</f>
        <v>10 </v>
      </c>
      <c r="M15" s="57" t="n">
        <f aca="false">10*C15*D15*E15*F15</f>
        <v>0</v>
      </c>
      <c r="N15" s="57" t="n">
        <f aca="false">IF((5.21*(1-(1-H15)*(1-I15)*(1-J15)))=0,0.2,(5.21*(1-(1-H15)*(1-I15)*(1-J15))))</f>
        <v>0.2</v>
      </c>
      <c r="O15" s="57" t="str">
        <f aca="true">L15&amp;INDIRECT("Hallazgos!B"&amp;B15)&amp;" ("&amp;P15&amp;")"</f>
        <v>10 Vulnerabilidad 10 (9,5)</v>
      </c>
      <c r="P15" s="70" t="n">
        <f aca="true">IF(INDIRECT("Hallazgos!I"&amp;B15)&gt;0,INDIRECT("Hallazgos!I"&amp;B15),0)</f>
        <v>9.5</v>
      </c>
    </row>
    <row r="16" customFormat="false" ht="15.75" hidden="false" customHeight="true" outlineLevel="0" collapsed="false">
      <c r="A16" s="65" t="n">
        <v>11</v>
      </c>
      <c r="B16" s="57" t="n">
        <f aca="false">((A16-1)*$B$3)+$B$2+1</f>
        <v>103</v>
      </c>
      <c r="C16" s="57" t="n">
        <f aca="true">IF(INDIRECT("Hallazgos!G"&amp;B16)=CVSSv2!$C$4,CVSSv2!$C$15,IF(INDIRECT("Hallazgos!G"&amp;B16)=CVSSv2!$D$4,CVSSv2!$D$15,IF(INDIRECT("Hallazgos!G"&amp;B16)=CVSSv2!$E$4,CVSSv2!$E$15,0)))</f>
        <v>0</v>
      </c>
      <c r="D16" s="57" t="n">
        <f aca="true">IF(INDIRECT("Hallazgos!G"&amp;B16+1)=CVSSv2!$C$5,CVSSv2!$C$16,IF(INDIRECT("Hallazgos!G"&amp;B16+1)=CVSSv2!$D$5,CVSSv2!$D$16,IF(INDIRECT("Hallazgos!G"&amp;B16+1)=CVSSv2!$E$5,CVSSv2!$E$16,0)))</f>
        <v>0</v>
      </c>
      <c r="E16" s="57" t="n">
        <f aca="true">IF(INDIRECT("Hallazgos!G"&amp;B16+2)=CVSSv2!$C$6,CVSSv2!$C$17,IF(INDIRECT("Hallazgos!G"&amp;B16+2)=CVSSv2!$D$6,CVSSv2!$D$17,IF(INDIRECT("Hallazgos!G"&amp;B16+2)=CVSSv2!$E$6,CVSSv2!$E$17,0)))</f>
        <v>0</v>
      </c>
      <c r="F16" s="57" t="n">
        <f aca="true">IF(INDIRECT("Hallazgos!G"&amp;B16+6)=CVSSv2!$C$10,CVSSv2!$C$21,IF(INDIRECT("Hallazgos!G"&amp;B16+6)=CVSSv2!$D$10,CVSSv2!$D$21,IF(INDIRECT("Hallazgos!G"&amp;B16+6)=CVSSv2!$E$10,CVSSv2!$E$21,IF(INDIRECT("Hallazgos!G"&amp;B16+6)=CVSSv2!$F$10,CVSSv2!$F$21,0))))</f>
        <v>0</v>
      </c>
      <c r="G16" s="57"/>
      <c r="H16" s="57" t="n">
        <f aca="true">IF(INDIRECT("Hallazgos!G"&amp;B16+3)=CVSSv2!$C$7,CVSSv2!$C$18,IF(INDIRECT("Hallazgos!G"&amp;B16+3)=CVSSv2!$D$7,CVSSv2!$D$18,IF(INDIRECT("Hallazgos!G"&amp;B16+3)=CVSSv2!$E$7,CVSSv2!$E$18,0)))</f>
        <v>0</v>
      </c>
      <c r="I16" s="57" t="n">
        <f aca="true">IF(INDIRECT("Hallazgos!G"&amp;B16+4)=CVSSv2!$C$8,CVSSv2!$C$19,IF(INDIRECT("Hallazgos!G"&amp;B16+4)=CVSSv2!$D$8,CVSSv2!$D$19,IF(INDIRECT("Hallazgos!G"&amp;B16+4)=CVSSv2!$E$8,CVSSv2!$E$19,0)))</f>
        <v>0</v>
      </c>
      <c r="J16" s="57" t="n">
        <f aca="true">IF(INDIRECT("Hallazgos!G"&amp;B16+5)=CVSSv2!$C$9,CVSSv2!$C$20,IF(INDIRECT("Hallazgos!G"&amp;B16+5)=CVSSv2!$D$9,CVSSv2!$D$20,IF(INDIRECT("Hallazgos!G"&amp;B16+5)=CVSSv2!$E$9,CVSSv2!$E$20,0)))</f>
        <v>0</v>
      </c>
      <c r="K16" s="57"/>
      <c r="L16" s="57" t="str">
        <f aca="false">IF(P16&lt;1,"x",A16&amp;" ")</f>
        <v>11 </v>
      </c>
      <c r="M16" s="57" t="n">
        <f aca="false">10*C16*D16*E16*F16</f>
        <v>0</v>
      </c>
      <c r="N16" s="57" t="n">
        <f aca="false">IF((5.21*(1-(1-H16)*(1-I16)*(1-J16)))=0,0.2,(5.21*(1-(1-H16)*(1-I16)*(1-J16))))</f>
        <v>0.2</v>
      </c>
      <c r="O16" s="57" t="str">
        <f aca="true">L16&amp;INDIRECT("Hallazgos!B"&amp;B16)&amp;" ("&amp;P16&amp;")"</f>
        <v>11 Vulnerabilidad 11 (9,5)</v>
      </c>
      <c r="P16" s="70" t="n">
        <f aca="true">IF(INDIRECT("Hallazgos!I"&amp;B16)&gt;0,INDIRECT("Hallazgos!I"&amp;B16),0)</f>
        <v>9.5</v>
      </c>
    </row>
    <row r="17" customFormat="false" ht="15.75" hidden="false" customHeight="true" outlineLevel="0" collapsed="false">
      <c r="A17" s="65" t="n">
        <v>12</v>
      </c>
      <c r="B17" s="57" t="n">
        <f aca="false">((A17-1)*$B$3)+$B$2+1</f>
        <v>113</v>
      </c>
      <c r="C17" s="57" t="n">
        <f aca="true">IF(INDIRECT("Hallazgos!G"&amp;B17)=CVSSv2!$C$4,CVSSv2!$C$15,IF(INDIRECT("Hallazgos!G"&amp;B17)=CVSSv2!$D$4,CVSSv2!$D$15,IF(INDIRECT("Hallazgos!G"&amp;B17)=CVSSv2!$E$4,CVSSv2!$E$15,0)))</f>
        <v>0</v>
      </c>
      <c r="D17" s="57" t="n">
        <f aca="true">IF(INDIRECT("Hallazgos!G"&amp;B17+1)=CVSSv2!$C$5,CVSSv2!$C$16,IF(INDIRECT("Hallazgos!G"&amp;B17+1)=CVSSv2!$D$5,CVSSv2!$D$16,IF(INDIRECT("Hallazgos!G"&amp;B17+1)=CVSSv2!$E$5,CVSSv2!$E$16,0)))</f>
        <v>0</v>
      </c>
      <c r="E17" s="57" t="n">
        <f aca="true">IF(INDIRECT("Hallazgos!G"&amp;B17+2)=CVSSv2!$C$6,CVSSv2!$C$17,IF(INDIRECT("Hallazgos!G"&amp;B17+2)=CVSSv2!$D$6,CVSSv2!$D$17,IF(INDIRECT("Hallazgos!G"&amp;B17+2)=CVSSv2!$E$6,CVSSv2!$E$17,0)))</f>
        <v>0</v>
      </c>
      <c r="F17" s="57" t="n">
        <f aca="true">IF(INDIRECT("Hallazgos!G"&amp;B17+6)=CVSSv2!$C$10,CVSSv2!$C$21,IF(INDIRECT("Hallazgos!G"&amp;B17+6)=CVSSv2!$D$10,CVSSv2!$D$21,IF(INDIRECT("Hallazgos!G"&amp;B17+6)=CVSSv2!$E$10,CVSSv2!$E$21,IF(INDIRECT("Hallazgos!G"&amp;B17+6)=CVSSv2!$F$10,CVSSv2!$F$21,0))))</f>
        <v>0</v>
      </c>
      <c r="G17" s="57"/>
      <c r="H17" s="57" t="n">
        <f aca="true">IF(INDIRECT("Hallazgos!G"&amp;B17+3)=CVSSv2!$C$7,CVSSv2!$C$18,IF(INDIRECT("Hallazgos!G"&amp;B17+3)=CVSSv2!$D$7,CVSSv2!$D$18,IF(INDIRECT("Hallazgos!G"&amp;B17+3)=CVSSv2!$E$7,CVSSv2!$E$18,0)))</f>
        <v>0</v>
      </c>
      <c r="I17" s="57" t="n">
        <f aca="true">IF(INDIRECT("Hallazgos!G"&amp;B17+4)=CVSSv2!$C$8,CVSSv2!$C$19,IF(INDIRECT("Hallazgos!G"&amp;B17+4)=CVSSv2!$D$8,CVSSv2!$D$19,IF(INDIRECT("Hallazgos!G"&amp;B17+4)=CVSSv2!$E$8,CVSSv2!$E$19,0)))</f>
        <v>0</v>
      </c>
      <c r="J17" s="57" t="n">
        <f aca="true">IF(INDIRECT("Hallazgos!G"&amp;B17+5)=CVSSv2!$C$9,CVSSv2!$C$20,IF(INDIRECT("Hallazgos!G"&amp;B17+5)=CVSSv2!$D$9,CVSSv2!$D$20,IF(INDIRECT("Hallazgos!G"&amp;B17+5)=CVSSv2!$E$9,CVSSv2!$E$20,0)))</f>
        <v>0</v>
      </c>
      <c r="K17" s="57"/>
      <c r="L17" s="57" t="str">
        <f aca="false">IF(P17&lt;1,"x",A17&amp;" ")</f>
        <v>12 </v>
      </c>
      <c r="M17" s="57" t="n">
        <f aca="false">10*C17*D17*E17*F17</f>
        <v>0</v>
      </c>
      <c r="N17" s="57" t="n">
        <f aca="false">IF((5.21*(1-(1-H17)*(1-I17)*(1-J17)))=0,0.2,(5.21*(1-(1-H17)*(1-I17)*(1-J17))))</f>
        <v>0.2</v>
      </c>
      <c r="O17" s="57" t="str">
        <f aca="true">L17&amp;INDIRECT("Hallazgos!B"&amp;B17)&amp;" ("&amp;P17&amp;")"</f>
        <v>12 Vulnerabilidad 12 (9,5)</v>
      </c>
      <c r="P17" s="70" t="n">
        <f aca="true">IF(INDIRECT("Hallazgos!I"&amp;B17)&gt;0,INDIRECT("Hallazgos!I"&amp;B17),0)</f>
        <v>9.5</v>
      </c>
    </row>
    <row r="18" customFormat="false" ht="15.75" hidden="false" customHeight="true" outlineLevel="0" collapsed="false">
      <c r="A18" s="65" t="n">
        <v>13</v>
      </c>
      <c r="B18" s="57" t="n">
        <f aca="false">((A18-1)*$B$3)+$B$2+1</f>
        <v>123</v>
      </c>
      <c r="C18" s="57" t="n">
        <f aca="true">IF(INDIRECT("Hallazgos!G"&amp;B18)=CVSSv2!$C$4,CVSSv2!$C$15,IF(INDIRECT("Hallazgos!G"&amp;B18)=CVSSv2!$D$4,CVSSv2!$D$15,IF(INDIRECT("Hallazgos!G"&amp;B18)=CVSSv2!$E$4,CVSSv2!$E$15,0)))</f>
        <v>0</v>
      </c>
      <c r="D18" s="57" t="n">
        <f aca="true">IF(INDIRECT("Hallazgos!G"&amp;B18+1)=CVSSv2!$C$5,CVSSv2!$C$16,IF(INDIRECT("Hallazgos!G"&amp;B18+1)=CVSSv2!$D$5,CVSSv2!$D$16,IF(INDIRECT("Hallazgos!G"&amp;B18+1)=CVSSv2!$E$5,CVSSv2!$E$16,0)))</f>
        <v>0</v>
      </c>
      <c r="E18" s="57" t="n">
        <f aca="true">IF(INDIRECT("Hallazgos!G"&amp;B18+2)=CVSSv2!$C$6,CVSSv2!$C$17,IF(INDIRECT("Hallazgos!G"&amp;B18+2)=CVSSv2!$D$6,CVSSv2!$D$17,IF(INDIRECT("Hallazgos!G"&amp;B18+2)=CVSSv2!$E$6,CVSSv2!$E$17,0)))</f>
        <v>0</v>
      </c>
      <c r="F18" s="57" t="n">
        <f aca="true">IF(INDIRECT("Hallazgos!G"&amp;B18+6)=CVSSv2!$C$10,CVSSv2!$C$21,IF(INDIRECT("Hallazgos!G"&amp;B18+6)=CVSSv2!$D$10,CVSSv2!$D$21,IF(INDIRECT("Hallazgos!G"&amp;B18+6)=CVSSv2!$E$10,CVSSv2!$E$21,IF(INDIRECT("Hallazgos!G"&amp;B18+6)=CVSSv2!$F$10,CVSSv2!$F$21,0))))</f>
        <v>0</v>
      </c>
      <c r="G18" s="57"/>
      <c r="H18" s="57" t="n">
        <f aca="true">IF(INDIRECT("Hallazgos!G"&amp;B18+3)=CVSSv2!$C$7,CVSSv2!$C$18,IF(INDIRECT("Hallazgos!G"&amp;B18+3)=CVSSv2!$D$7,CVSSv2!$D$18,IF(INDIRECT("Hallazgos!G"&amp;B18+3)=CVSSv2!$E$7,CVSSv2!$E$18,0)))</f>
        <v>0</v>
      </c>
      <c r="I18" s="57" t="n">
        <f aca="true">IF(INDIRECT("Hallazgos!G"&amp;B18+4)=CVSSv2!$C$8,CVSSv2!$C$19,IF(INDIRECT("Hallazgos!G"&amp;B18+4)=CVSSv2!$D$8,CVSSv2!$D$19,IF(INDIRECT("Hallazgos!G"&amp;B18+4)=CVSSv2!$E$8,CVSSv2!$E$19,0)))</f>
        <v>0</v>
      </c>
      <c r="J18" s="57" t="n">
        <f aca="true">IF(INDIRECT("Hallazgos!G"&amp;B18+5)=CVSSv2!$C$9,CVSSv2!$C$20,IF(INDIRECT("Hallazgos!G"&amp;B18+5)=CVSSv2!$D$9,CVSSv2!$D$20,IF(INDIRECT("Hallazgos!G"&amp;B18+5)=CVSSv2!$E$9,CVSSv2!$E$20,0)))</f>
        <v>0</v>
      </c>
      <c r="K18" s="57"/>
      <c r="L18" s="57" t="str">
        <f aca="false">IF(P18&lt;1,"x",A18&amp;" ")</f>
        <v>13 </v>
      </c>
      <c r="M18" s="57" t="n">
        <f aca="false">10*C18*D18*E18*F18</f>
        <v>0</v>
      </c>
      <c r="N18" s="57" t="n">
        <f aca="false">IF((5.21*(1-(1-H18)*(1-I18)*(1-J18)))=0,0.2,(5.21*(1-(1-H18)*(1-I18)*(1-J18))))</f>
        <v>0.2</v>
      </c>
      <c r="O18" s="57" t="str">
        <f aca="true">L18&amp;INDIRECT("Hallazgos!B"&amp;B18)&amp;" ("&amp;P18&amp;")"</f>
        <v>13 Vulnerabilidad 13 (9,5)</v>
      </c>
      <c r="P18" s="70" t="n">
        <f aca="true">IF(INDIRECT("Hallazgos!I"&amp;B18)&gt;0,INDIRECT("Hallazgos!I"&amp;B18),0)</f>
        <v>9.5</v>
      </c>
    </row>
    <row r="19" customFormat="false" ht="15.75" hidden="false" customHeight="true" outlineLevel="0" collapsed="false">
      <c r="A19" s="65" t="n">
        <v>14</v>
      </c>
      <c r="B19" s="57" t="n">
        <f aca="false">((A19-1)*$B$3)+$B$2+1</f>
        <v>133</v>
      </c>
      <c r="C19" s="57" t="n">
        <f aca="true">IF(INDIRECT("Hallazgos!G"&amp;B19)=CVSSv2!$C$4,CVSSv2!$C$15,IF(INDIRECT("Hallazgos!G"&amp;B19)=CVSSv2!$D$4,CVSSv2!$D$15,IF(INDIRECT("Hallazgos!G"&amp;B19)=CVSSv2!$E$4,CVSSv2!$E$15,0)))</f>
        <v>0</v>
      </c>
      <c r="D19" s="57" t="n">
        <f aca="true">IF(INDIRECT("Hallazgos!G"&amp;B19+1)=CVSSv2!$C$5,CVSSv2!$C$16,IF(INDIRECT("Hallazgos!G"&amp;B19+1)=CVSSv2!$D$5,CVSSv2!$D$16,IF(INDIRECT("Hallazgos!G"&amp;B19+1)=CVSSv2!$E$5,CVSSv2!$E$16,0)))</f>
        <v>0</v>
      </c>
      <c r="E19" s="57" t="n">
        <f aca="true">IF(INDIRECT("Hallazgos!G"&amp;B19+2)=CVSSv2!$C$6,CVSSv2!$C$17,IF(INDIRECT("Hallazgos!G"&amp;B19+2)=CVSSv2!$D$6,CVSSv2!$D$17,IF(INDIRECT("Hallazgos!G"&amp;B19+2)=CVSSv2!$E$6,CVSSv2!$E$17,0)))</f>
        <v>0</v>
      </c>
      <c r="F19" s="57" t="n">
        <f aca="true">IF(INDIRECT("Hallazgos!G"&amp;B19+6)=CVSSv2!$C$10,CVSSv2!$C$21,IF(INDIRECT("Hallazgos!G"&amp;B19+6)=CVSSv2!$D$10,CVSSv2!$D$21,IF(INDIRECT("Hallazgos!G"&amp;B19+6)=CVSSv2!$E$10,CVSSv2!$E$21,IF(INDIRECT("Hallazgos!G"&amp;B19+6)=CVSSv2!$F$10,CVSSv2!$F$21,0))))</f>
        <v>0</v>
      </c>
      <c r="G19" s="57"/>
      <c r="H19" s="57" t="n">
        <f aca="true">IF(INDIRECT("Hallazgos!G"&amp;B19+3)=CVSSv2!$C$7,CVSSv2!$C$18,IF(INDIRECT("Hallazgos!G"&amp;B19+3)=CVSSv2!$D$7,CVSSv2!$D$18,IF(INDIRECT("Hallazgos!G"&amp;B19+3)=CVSSv2!$E$7,CVSSv2!$E$18,0)))</f>
        <v>0</v>
      </c>
      <c r="I19" s="57" t="n">
        <f aca="true">IF(INDIRECT("Hallazgos!G"&amp;B19+4)=CVSSv2!$C$8,CVSSv2!$C$19,IF(INDIRECT("Hallazgos!G"&amp;B19+4)=CVSSv2!$D$8,CVSSv2!$D$19,IF(INDIRECT("Hallazgos!G"&amp;B19+4)=CVSSv2!$E$8,CVSSv2!$E$19,0)))</f>
        <v>0</v>
      </c>
      <c r="J19" s="57" t="n">
        <f aca="true">IF(INDIRECT("Hallazgos!G"&amp;B19+5)=CVSSv2!$C$9,CVSSv2!$C$20,IF(INDIRECT("Hallazgos!G"&amp;B19+5)=CVSSv2!$D$9,CVSSv2!$D$20,IF(INDIRECT("Hallazgos!G"&amp;B19+5)=CVSSv2!$E$9,CVSSv2!$E$20,0)))</f>
        <v>0</v>
      </c>
      <c r="K19" s="57"/>
      <c r="L19" s="57" t="str">
        <f aca="false">IF(P19&lt;1,"x",A19&amp;" ")</f>
        <v>14 </v>
      </c>
      <c r="M19" s="57" t="n">
        <f aca="false">10*C19*D19*E19*F19</f>
        <v>0</v>
      </c>
      <c r="N19" s="57" t="n">
        <f aca="false">IF((5.21*(1-(1-H19)*(1-I19)*(1-J19)))=0,0.2,(5.21*(1-(1-H19)*(1-I19)*(1-J19))))</f>
        <v>0.2</v>
      </c>
      <c r="O19" s="57" t="str">
        <f aca="true">L19&amp;INDIRECT("Hallazgos!B"&amp;B19)&amp;" ("&amp;P19&amp;")"</f>
        <v>14 Vulnerabilidad 14 (9,5)</v>
      </c>
      <c r="P19" s="70" t="n">
        <f aca="true">IF(INDIRECT("Hallazgos!I"&amp;B19)&gt;0,INDIRECT("Hallazgos!I"&amp;B19),0)</f>
        <v>9.5</v>
      </c>
    </row>
    <row r="20" customFormat="false" ht="15.75" hidden="false" customHeight="true" outlineLevel="0" collapsed="false">
      <c r="A20" s="65" t="n">
        <v>15</v>
      </c>
      <c r="B20" s="57" t="n">
        <f aca="false">((A20-1)*$B$3)+$B$2+1</f>
        <v>143</v>
      </c>
      <c r="C20" s="57" t="n">
        <f aca="true">IF(INDIRECT("Hallazgos!G"&amp;B20)=CVSSv2!$C$4,CVSSv2!$C$15,IF(INDIRECT("Hallazgos!G"&amp;B20)=CVSSv2!$D$4,CVSSv2!$D$15,IF(INDIRECT("Hallazgos!G"&amp;B20)=CVSSv2!$E$4,CVSSv2!$E$15,0)))</f>
        <v>0</v>
      </c>
      <c r="D20" s="57" t="n">
        <f aca="true">IF(INDIRECT("Hallazgos!G"&amp;B20+1)=CVSSv2!$C$5,CVSSv2!$C$16,IF(INDIRECT("Hallazgos!G"&amp;B20+1)=CVSSv2!$D$5,CVSSv2!$D$16,IF(INDIRECT("Hallazgos!G"&amp;B20+1)=CVSSv2!$E$5,CVSSv2!$E$16,0)))</f>
        <v>0</v>
      </c>
      <c r="E20" s="57" t="n">
        <f aca="true">IF(INDIRECT("Hallazgos!G"&amp;B20+2)=CVSSv2!$C$6,CVSSv2!$C$17,IF(INDIRECT("Hallazgos!G"&amp;B20+2)=CVSSv2!$D$6,CVSSv2!$D$17,IF(INDIRECT("Hallazgos!G"&amp;B20+2)=CVSSv2!$E$6,CVSSv2!$E$17,0)))</f>
        <v>0</v>
      </c>
      <c r="F20" s="57" t="n">
        <f aca="true">IF(INDIRECT("Hallazgos!G"&amp;B20+6)=CVSSv2!$C$10,CVSSv2!$C$21,IF(INDIRECT("Hallazgos!G"&amp;B20+6)=CVSSv2!$D$10,CVSSv2!$D$21,IF(INDIRECT("Hallazgos!G"&amp;B20+6)=CVSSv2!$E$10,CVSSv2!$E$21,IF(INDIRECT("Hallazgos!G"&amp;B20+6)=CVSSv2!$F$10,CVSSv2!$F$21,0))))</f>
        <v>0</v>
      </c>
      <c r="G20" s="57"/>
      <c r="H20" s="57" t="n">
        <f aca="true">IF(INDIRECT("Hallazgos!G"&amp;B20+3)=CVSSv2!$C$7,CVSSv2!$C$18,IF(INDIRECT("Hallazgos!G"&amp;B20+3)=CVSSv2!$D$7,CVSSv2!$D$18,IF(INDIRECT("Hallazgos!G"&amp;B20+3)=CVSSv2!$E$7,CVSSv2!$E$18,0)))</f>
        <v>0</v>
      </c>
      <c r="I20" s="57" t="n">
        <f aca="true">IF(INDIRECT("Hallazgos!G"&amp;B20+4)=CVSSv2!$C$8,CVSSv2!$C$19,IF(INDIRECT("Hallazgos!G"&amp;B20+4)=CVSSv2!$D$8,CVSSv2!$D$19,IF(INDIRECT("Hallazgos!G"&amp;B20+4)=CVSSv2!$E$8,CVSSv2!$E$19,0)))</f>
        <v>0</v>
      </c>
      <c r="J20" s="57" t="n">
        <f aca="true">IF(INDIRECT("Hallazgos!G"&amp;B20+5)=CVSSv2!$C$9,CVSSv2!$C$20,IF(INDIRECT("Hallazgos!G"&amp;B20+5)=CVSSv2!$D$9,CVSSv2!$D$20,IF(INDIRECT("Hallazgos!G"&amp;B20+5)=CVSSv2!$E$9,CVSSv2!$E$20,0)))</f>
        <v>0</v>
      </c>
      <c r="K20" s="57"/>
      <c r="L20" s="57" t="str">
        <f aca="false">IF(P20&lt;1,"x",A20&amp;" ")</f>
        <v>15 </v>
      </c>
      <c r="M20" s="57" t="n">
        <f aca="false">10*C20*D20*E20*F20</f>
        <v>0</v>
      </c>
      <c r="N20" s="57" t="n">
        <f aca="false">IF((5.21*(1-(1-H20)*(1-I20)*(1-J20)))=0,0.2,(5.21*(1-(1-H20)*(1-I20)*(1-J20))))</f>
        <v>0.2</v>
      </c>
      <c r="O20" s="57" t="str">
        <f aca="true">L20&amp;INDIRECT("Hallazgos!B"&amp;B20)&amp;" ("&amp;P20&amp;")"</f>
        <v>15 Vulnerabilidad 15 (9,5)</v>
      </c>
      <c r="P20" s="70" t="n">
        <f aca="true">IF(INDIRECT("Hallazgos!I"&amp;B20)&gt;0,INDIRECT("Hallazgos!I"&amp;B20),0)</f>
        <v>9.5</v>
      </c>
    </row>
    <row r="21" customFormat="false" ht="15.75" hidden="false" customHeight="true" outlineLevel="0" collapsed="false">
      <c r="A21" s="65" t="n">
        <v>16</v>
      </c>
      <c r="B21" s="57" t="n">
        <f aca="false">((A21-1)*$B$3)+$B$2+1</f>
        <v>153</v>
      </c>
      <c r="C21" s="57" t="n">
        <f aca="true">IF(INDIRECT("Hallazgos!G"&amp;B21)=CVSSv2!$C$4,CVSSv2!$C$15,IF(INDIRECT("Hallazgos!G"&amp;B21)=CVSSv2!$D$4,CVSSv2!$D$15,IF(INDIRECT("Hallazgos!G"&amp;B21)=CVSSv2!$E$4,CVSSv2!$E$15,0)))</f>
        <v>0</v>
      </c>
      <c r="D21" s="57" t="n">
        <f aca="true">IF(INDIRECT("Hallazgos!G"&amp;B21+1)=CVSSv2!$C$5,CVSSv2!$C$16,IF(INDIRECT("Hallazgos!G"&amp;B21+1)=CVSSv2!$D$5,CVSSv2!$D$16,IF(INDIRECT("Hallazgos!G"&amp;B21+1)=CVSSv2!$E$5,CVSSv2!$E$16,0)))</f>
        <v>0</v>
      </c>
      <c r="E21" s="57" t="n">
        <f aca="true">IF(INDIRECT("Hallazgos!G"&amp;B21+2)=CVSSv2!$C$6,CVSSv2!$C$17,IF(INDIRECT("Hallazgos!G"&amp;B21+2)=CVSSv2!$D$6,CVSSv2!$D$17,IF(INDIRECT("Hallazgos!G"&amp;B21+2)=CVSSv2!$E$6,CVSSv2!$E$17,0)))</f>
        <v>0</v>
      </c>
      <c r="F21" s="57" t="n">
        <f aca="true">IF(INDIRECT("Hallazgos!G"&amp;B21+6)=CVSSv2!$C$10,CVSSv2!$C$21,IF(INDIRECT("Hallazgos!G"&amp;B21+6)=CVSSv2!$D$10,CVSSv2!$D$21,IF(INDIRECT("Hallazgos!G"&amp;B21+6)=CVSSv2!$E$10,CVSSv2!$E$21,IF(INDIRECT("Hallazgos!G"&amp;B21+6)=CVSSv2!$F$10,CVSSv2!$F$21,0))))</f>
        <v>0</v>
      </c>
      <c r="G21" s="57"/>
      <c r="H21" s="57" t="n">
        <f aca="true">IF(INDIRECT("Hallazgos!G"&amp;B21+3)=CVSSv2!$C$7,CVSSv2!$C$18,IF(INDIRECT("Hallazgos!G"&amp;B21+3)=CVSSv2!$D$7,CVSSv2!$D$18,IF(INDIRECT("Hallazgos!G"&amp;B21+3)=CVSSv2!$E$7,CVSSv2!$E$18,0)))</f>
        <v>0</v>
      </c>
      <c r="I21" s="57" t="n">
        <f aca="true">IF(INDIRECT("Hallazgos!G"&amp;B21+4)=CVSSv2!$C$8,CVSSv2!$C$19,IF(INDIRECT("Hallazgos!G"&amp;B21+4)=CVSSv2!$D$8,CVSSv2!$D$19,IF(INDIRECT("Hallazgos!G"&amp;B21+4)=CVSSv2!$E$8,CVSSv2!$E$19,0)))</f>
        <v>0</v>
      </c>
      <c r="J21" s="57" t="n">
        <f aca="true">IF(INDIRECT("Hallazgos!G"&amp;B21+5)=CVSSv2!$C$9,CVSSv2!$C$20,IF(INDIRECT("Hallazgos!G"&amp;B21+5)=CVSSv2!$D$9,CVSSv2!$D$20,IF(INDIRECT("Hallazgos!G"&amp;B21+5)=CVSSv2!$E$9,CVSSv2!$E$20,0)))</f>
        <v>0</v>
      </c>
      <c r="K21" s="57"/>
      <c r="L21" s="57" t="str">
        <f aca="false">IF(P21&lt;1,"x",A21&amp;" ")</f>
        <v>16 </v>
      </c>
      <c r="M21" s="57" t="n">
        <f aca="false">10*C21*D21*E21*F21</f>
        <v>0</v>
      </c>
      <c r="N21" s="57" t="n">
        <f aca="false">IF((5.21*(1-(1-H21)*(1-I21)*(1-J21)))=0,0.2,(5.21*(1-(1-H21)*(1-I21)*(1-J21))))</f>
        <v>0.2</v>
      </c>
      <c r="O21" s="57" t="str">
        <f aca="true">L21&amp;INDIRECT("Hallazgos!B"&amp;B21)&amp;" ("&amp;P21&amp;")"</f>
        <v>16 Vulnerabilidad 16 (9,5)</v>
      </c>
      <c r="P21" s="70" t="n">
        <f aca="true">IF(INDIRECT("Hallazgos!I"&amp;B21)&gt;0,INDIRECT("Hallazgos!I"&amp;B21),0)</f>
        <v>9.5</v>
      </c>
    </row>
    <row r="22" customFormat="false" ht="15.75" hidden="false" customHeight="true" outlineLevel="0" collapsed="false">
      <c r="A22" s="65" t="n">
        <v>17</v>
      </c>
      <c r="B22" s="57" t="n">
        <f aca="false">((A22-1)*$B$3)+$B$2+1</f>
        <v>163</v>
      </c>
      <c r="C22" s="57" t="n">
        <f aca="true">IF(INDIRECT("Hallazgos!G"&amp;B22)=CVSSv2!$C$4,CVSSv2!$C$15,IF(INDIRECT("Hallazgos!G"&amp;B22)=CVSSv2!$D$4,CVSSv2!$D$15,IF(INDIRECT("Hallazgos!G"&amp;B22)=CVSSv2!$E$4,CVSSv2!$E$15,0)))</f>
        <v>0</v>
      </c>
      <c r="D22" s="57" t="n">
        <f aca="true">IF(INDIRECT("Hallazgos!G"&amp;B22+1)=CVSSv2!$C$5,CVSSv2!$C$16,IF(INDIRECT("Hallazgos!G"&amp;B22+1)=CVSSv2!$D$5,CVSSv2!$D$16,IF(INDIRECT("Hallazgos!G"&amp;B22+1)=CVSSv2!$E$5,CVSSv2!$E$16,0)))</f>
        <v>0</v>
      </c>
      <c r="E22" s="57" t="n">
        <f aca="true">IF(INDIRECT("Hallazgos!G"&amp;B22+2)=CVSSv2!$C$6,CVSSv2!$C$17,IF(INDIRECT("Hallazgos!G"&amp;B22+2)=CVSSv2!$D$6,CVSSv2!$D$17,IF(INDIRECT("Hallazgos!G"&amp;B22+2)=CVSSv2!$E$6,CVSSv2!$E$17,0)))</f>
        <v>0</v>
      </c>
      <c r="F22" s="57" t="n">
        <f aca="true">IF(INDIRECT("Hallazgos!G"&amp;B22+6)=CVSSv2!$C$10,CVSSv2!$C$21,IF(INDIRECT("Hallazgos!G"&amp;B22+6)=CVSSv2!$D$10,CVSSv2!$D$21,IF(INDIRECT("Hallazgos!G"&amp;B22+6)=CVSSv2!$E$10,CVSSv2!$E$21,IF(INDIRECT("Hallazgos!G"&amp;B22+6)=CVSSv2!$F$10,CVSSv2!$F$21,0))))</f>
        <v>0</v>
      </c>
      <c r="G22" s="57"/>
      <c r="H22" s="57" t="n">
        <f aca="true">IF(INDIRECT("Hallazgos!G"&amp;B22+3)=CVSSv2!$C$7,CVSSv2!$C$18,IF(INDIRECT("Hallazgos!G"&amp;B22+3)=CVSSv2!$D$7,CVSSv2!$D$18,IF(INDIRECT("Hallazgos!G"&amp;B22+3)=CVSSv2!$E$7,CVSSv2!$E$18,0)))</f>
        <v>0</v>
      </c>
      <c r="I22" s="57" t="n">
        <f aca="true">IF(INDIRECT("Hallazgos!G"&amp;B22+4)=CVSSv2!$C$8,CVSSv2!$C$19,IF(INDIRECT("Hallazgos!G"&amp;B22+4)=CVSSv2!$D$8,CVSSv2!$D$19,IF(INDIRECT("Hallazgos!G"&amp;B22+4)=CVSSv2!$E$8,CVSSv2!$E$19,0)))</f>
        <v>0</v>
      </c>
      <c r="J22" s="57" t="n">
        <f aca="true">IF(INDIRECT("Hallazgos!G"&amp;B22+5)=CVSSv2!$C$9,CVSSv2!$C$20,IF(INDIRECT("Hallazgos!G"&amp;B22+5)=CVSSv2!$D$9,CVSSv2!$D$20,IF(INDIRECT("Hallazgos!G"&amp;B22+5)=CVSSv2!$E$9,CVSSv2!$E$20,0)))</f>
        <v>0</v>
      </c>
      <c r="K22" s="57"/>
      <c r="L22" s="57" t="str">
        <f aca="false">IF(P22&lt;1,"x",A22&amp;" ")</f>
        <v>17 </v>
      </c>
      <c r="M22" s="57" t="n">
        <f aca="false">10*C22*D22*E22*F22</f>
        <v>0</v>
      </c>
      <c r="N22" s="57" t="n">
        <f aca="false">IF((5.21*(1-(1-H22)*(1-I22)*(1-J22)))=0,0.2,(5.21*(1-(1-H22)*(1-I22)*(1-J22))))</f>
        <v>0.2</v>
      </c>
      <c r="O22" s="57" t="str">
        <f aca="true">L22&amp;INDIRECT("Hallazgos!B"&amp;B22)&amp;" ("&amp;P22&amp;")"</f>
        <v>17 Vulnerabilidad 17 (9,5)</v>
      </c>
      <c r="P22" s="70" t="n">
        <f aca="true">IF(INDIRECT("Hallazgos!I"&amp;B22)&gt;0,INDIRECT("Hallazgos!I"&amp;B22),0)</f>
        <v>9.5</v>
      </c>
    </row>
    <row r="23" customFormat="false" ht="15.75" hidden="false" customHeight="true" outlineLevel="0" collapsed="false">
      <c r="A23" s="65" t="n">
        <v>18</v>
      </c>
      <c r="B23" s="57" t="n">
        <f aca="false">((A23-1)*$B$3)+$B$2+1</f>
        <v>173</v>
      </c>
      <c r="C23" s="57" t="n">
        <f aca="true">IF(INDIRECT("Hallazgos!G"&amp;B23)=CVSSv2!$C$4,CVSSv2!$C$15,IF(INDIRECT("Hallazgos!G"&amp;B23)=CVSSv2!$D$4,CVSSv2!$D$15,IF(INDIRECT("Hallazgos!G"&amp;B23)=CVSSv2!$E$4,CVSSv2!$E$15,0)))</f>
        <v>0</v>
      </c>
      <c r="D23" s="57" t="n">
        <f aca="true">IF(INDIRECT("Hallazgos!G"&amp;B23+1)=CVSSv2!$C$5,CVSSv2!$C$16,IF(INDIRECT("Hallazgos!G"&amp;B23+1)=CVSSv2!$D$5,CVSSv2!$D$16,IF(INDIRECT("Hallazgos!G"&amp;B23+1)=CVSSv2!$E$5,CVSSv2!$E$16,0)))</f>
        <v>0</v>
      </c>
      <c r="E23" s="57" t="n">
        <f aca="true">IF(INDIRECT("Hallazgos!G"&amp;B23+2)=CVSSv2!$C$6,CVSSv2!$C$17,IF(INDIRECT("Hallazgos!G"&amp;B23+2)=CVSSv2!$D$6,CVSSv2!$D$17,IF(INDIRECT("Hallazgos!G"&amp;B23+2)=CVSSv2!$E$6,CVSSv2!$E$17,0)))</f>
        <v>0</v>
      </c>
      <c r="F23" s="57" t="n">
        <f aca="true">IF(INDIRECT("Hallazgos!G"&amp;B23+6)=CVSSv2!$C$10,CVSSv2!$C$21,IF(INDIRECT("Hallazgos!G"&amp;B23+6)=CVSSv2!$D$10,CVSSv2!$D$21,IF(INDIRECT("Hallazgos!G"&amp;B23+6)=CVSSv2!$E$10,CVSSv2!$E$21,IF(INDIRECT("Hallazgos!G"&amp;B23+6)=CVSSv2!$F$10,CVSSv2!$F$21,0))))</f>
        <v>0</v>
      </c>
      <c r="G23" s="57"/>
      <c r="H23" s="57" t="n">
        <f aca="true">IF(INDIRECT("Hallazgos!G"&amp;B23+3)=CVSSv2!$C$7,CVSSv2!$C$18,IF(INDIRECT("Hallazgos!G"&amp;B23+3)=CVSSv2!$D$7,CVSSv2!$D$18,IF(INDIRECT("Hallazgos!G"&amp;B23+3)=CVSSv2!$E$7,CVSSv2!$E$18,0)))</f>
        <v>0</v>
      </c>
      <c r="I23" s="57" t="n">
        <f aca="true">IF(INDIRECT("Hallazgos!G"&amp;B23+4)=CVSSv2!$C$8,CVSSv2!$C$19,IF(INDIRECT("Hallazgos!G"&amp;B23+4)=CVSSv2!$D$8,CVSSv2!$D$19,IF(INDIRECT("Hallazgos!G"&amp;B23+4)=CVSSv2!$E$8,CVSSv2!$E$19,0)))</f>
        <v>0</v>
      </c>
      <c r="J23" s="57" t="n">
        <f aca="true">IF(INDIRECT("Hallazgos!G"&amp;B23+5)=CVSSv2!$C$9,CVSSv2!$C$20,IF(INDIRECT("Hallazgos!G"&amp;B23+5)=CVSSv2!$D$9,CVSSv2!$D$20,IF(INDIRECT("Hallazgos!G"&amp;B23+5)=CVSSv2!$E$9,CVSSv2!$E$20,0)))</f>
        <v>0</v>
      </c>
      <c r="K23" s="57"/>
      <c r="L23" s="57" t="str">
        <f aca="false">IF(P23&lt;1,"x",A23&amp;" ")</f>
        <v>18 </v>
      </c>
      <c r="M23" s="57" t="n">
        <f aca="false">10*C23*D23*E23*F23</f>
        <v>0</v>
      </c>
      <c r="N23" s="57" t="n">
        <f aca="false">IF((5.21*(1-(1-H23)*(1-I23)*(1-J23)))=0,0.2,(5.21*(1-(1-H23)*(1-I23)*(1-J23))))</f>
        <v>0.2</v>
      </c>
      <c r="O23" s="57" t="str">
        <f aca="true">L23&amp;INDIRECT("Hallazgos!B"&amp;B23)&amp;" ("&amp;P23&amp;")"</f>
        <v>18 Vulnerabilidad 18 (9,5)</v>
      </c>
      <c r="P23" s="70" t="n">
        <f aca="true">IF(INDIRECT("Hallazgos!I"&amp;B23)&gt;0,INDIRECT("Hallazgos!I"&amp;B23),0)</f>
        <v>9.5</v>
      </c>
    </row>
    <row r="24" customFormat="false" ht="15.75" hidden="false" customHeight="true" outlineLevel="0" collapsed="false">
      <c r="A24" s="65" t="n">
        <v>19</v>
      </c>
      <c r="B24" s="57" t="n">
        <f aca="false">((A24-1)*$B$3)+$B$2+1</f>
        <v>183</v>
      </c>
      <c r="C24" s="57" t="n">
        <f aca="true">IF(INDIRECT("Hallazgos!G"&amp;B24)=CVSSv2!$C$4,CVSSv2!$C$15,IF(INDIRECT("Hallazgos!G"&amp;B24)=CVSSv2!$D$4,CVSSv2!$D$15,IF(INDIRECT("Hallazgos!G"&amp;B24)=CVSSv2!$E$4,CVSSv2!$E$15,0)))</f>
        <v>0</v>
      </c>
      <c r="D24" s="57" t="n">
        <f aca="true">IF(INDIRECT("Hallazgos!G"&amp;B24+1)=CVSSv2!$C$5,CVSSv2!$C$16,IF(INDIRECT("Hallazgos!G"&amp;B24+1)=CVSSv2!$D$5,CVSSv2!$D$16,IF(INDIRECT("Hallazgos!G"&amp;B24+1)=CVSSv2!$E$5,CVSSv2!$E$16,0)))</f>
        <v>0</v>
      </c>
      <c r="E24" s="57" t="n">
        <f aca="true">IF(INDIRECT("Hallazgos!G"&amp;B24+2)=CVSSv2!$C$6,CVSSv2!$C$17,IF(INDIRECT("Hallazgos!G"&amp;B24+2)=CVSSv2!$D$6,CVSSv2!$D$17,IF(INDIRECT("Hallazgos!G"&amp;B24+2)=CVSSv2!$E$6,CVSSv2!$E$17,0)))</f>
        <v>0</v>
      </c>
      <c r="F24" s="57" t="n">
        <f aca="true">IF(INDIRECT("Hallazgos!G"&amp;B24+6)=CVSSv2!$C$10,CVSSv2!$C$21,IF(INDIRECT("Hallazgos!G"&amp;B24+6)=CVSSv2!$D$10,CVSSv2!$D$21,IF(INDIRECT("Hallazgos!G"&amp;B24+6)=CVSSv2!$E$10,CVSSv2!$E$21,IF(INDIRECT("Hallazgos!G"&amp;B24+6)=CVSSv2!$F$10,CVSSv2!$F$21,0))))</f>
        <v>0</v>
      </c>
      <c r="G24" s="57"/>
      <c r="H24" s="57" t="n">
        <f aca="true">IF(INDIRECT("Hallazgos!G"&amp;B24+3)=CVSSv2!$C$7,CVSSv2!$C$18,IF(INDIRECT("Hallazgos!G"&amp;B24+3)=CVSSv2!$D$7,CVSSv2!$D$18,IF(INDIRECT("Hallazgos!G"&amp;B24+3)=CVSSv2!$E$7,CVSSv2!$E$18,0)))</f>
        <v>0</v>
      </c>
      <c r="I24" s="57" t="n">
        <f aca="true">IF(INDIRECT("Hallazgos!G"&amp;B24+4)=CVSSv2!$C$8,CVSSv2!$C$19,IF(INDIRECT("Hallazgos!G"&amp;B24+4)=CVSSv2!$D$8,CVSSv2!$D$19,IF(INDIRECT("Hallazgos!G"&amp;B24+4)=CVSSv2!$E$8,CVSSv2!$E$19,0)))</f>
        <v>0</v>
      </c>
      <c r="J24" s="57" t="n">
        <f aca="true">IF(INDIRECT("Hallazgos!G"&amp;B24+5)=CVSSv2!$C$9,CVSSv2!$C$20,IF(INDIRECT("Hallazgos!G"&amp;B24+5)=CVSSv2!$D$9,CVSSv2!$D$20,IF(INDIRECT("Hallazgos!G"&amp;B24+5)=CVSSv2!$E$9,CVSSv2!$E$20,0)))</f>
        <v>0</v>
      </c>
      <c r="K24" s="57"/>
      <c r="L24" s="57" t="str">
        <f aca="false">IF(P24&lt;1,"x",A24&amp;" ")</f>
        <v>19 </v>
      </c>
      <c r="M24" s="57" t="n">
        <f aca="false">10*C24*D24*E24*F24</f>
        <v>0</v>
      </c>
      <c r="N24" s="57" t="n">
        <f aca="false">IF((5.21*(1-(1-H24)*(1-I24)*(1-J24)))=0,0.2,(5.21*(1-(1-H24)*(1-I24)*(1-J24))))</f>
        <v>0.2</v>
      </c>
      <c r="O24" s="57" t="str">
        <f aca="true">L24&amp;INDIRECT("Hallazgos!B"&amp;B24)&amp;" ("&amp;P24&amp;")"</f>
        <v>19 Vulnerabilidad 19 (9,5)</v>
      </c>
      <c r="P24" s="70" t="n">
        <f aca="true">IF(INDIRECT("Hallazgos!I"&amp;B24)&gt;0,INDIRECT("Hallazgos!I"&amp;B24),0)</f>
        <v>9.5</v>
      </c>
    </row>
    <row r="25" customFormat="false" ht="15.75" hidden="false" customHeight="true" outlineLevel="0" collapsed="false">
      <c r="A25" s="65" t="n">
        <v>20</v>
      </c>
      <c r="B25" s="57" t="n">
        <f aca="false">((A25-1)*$B$3)+$B$2+1</f>
        <v>193</v>
      </c>
      <c r="C25" s="57" t="n">
        <f aca="true">IF(INDIRECT("Hallazgos!G"&amp;B25)=CVSSv2!$C$4,CVSSv2!$C$15,IF(INDIRECT("Hallazgos!G"&amp;B25)=CVSSv2!$D$4,CVSSv2!$D$15,IF(INDIRECT("Hallazgos!G"&amp;B25)=CVSSv2!$E$4,CVSSv2!$E$15,0)))</f>
        <v>0</v>
      </c>
      <c r="D25" s="57" t="n">
        <f aca="true">IF(INDIRECT("Hallazgos!G"&amp;B25+1)=CVSSv2!$C$5,CVSSv2!$C$16,IF(INDIRECT("Hallazgos!G"&amp;B25+1)=CVSSv2!$D$5,CVSSv2!$D$16,IF(INDIRECT("Hallazgos!G"&amp;B25+1)=CVSSv2!$E$5,CVSSv2!$E$16,0)))</f>
        <v>0</v>
      </c>
      <c r="E25" s="57" t="n">
        <f aca="true">IF(INDIRECT("Hallazgos!G"&amp;B25+2)=CVSSv2!$C$6,CVSSv2!$C$17,IF(INDIRECT("Hallazgos!G"&amp;B25+2)=CVSSv2!$D$6,CVSSv2!$D$17,IF(INDIRECT("Hallazgos!G"&amp;B25+2)=CVSSv2!$E$6,CVSSv2!$E$17,0)))</f>
        <v>0</v>
      </c>
      <c r="F25" s="57" t="n">
        <f aca="true">IF(INDIRECT("Hallazgos!G"&amp;B25+6)=CVSSv2!$C$10,CVSSv2!$C$21,IF(INDIRECT("Hallazgos!G"&amp;B25+6)=CVSSv2!$D$10,CVSSv2!$D$21,IF(INDIRECT("Hallazgos!G"&amp;B25+6)=CVSSv2!$E$10,CVSSv2!$E$21,IF(INDIRECT("Hallazgos!G"&amp;B25+6)=CVSSv2!$F$10,CVSSv2!$F$21,0))))</f>
        <v>0</v>
      </c>
      <c r="G25" s="57"/>
      <c r="H25" s="57" t="n">
        <f aca="true">IF(INDIRECT("Hallazgos!G"&amp;B25+3)=CVSSv2!$C$7,CVSSv2!$C$18,IF(INDIRECT("Hallazgos!G"&amp;B25+3)=CVSSv2!$D$7,CVSSv2!$D$18,IF(INDIRECT("Hallazgos!G"&amp;B25+3)=CVSSv2!$E$7,CVSSv2!$E$18,0)))</f>
        <v>0</v>
      </c>
      <c r="I25" s="57" t="n">
        <f aca="true">IF(INDIRECT("Hallazgos!G"&amp;B25+4)=CVSSv2!$C$8,CVSSv2!$C$19,IF(INDIRECT("Hallazgos!G"&amp;B25+4)=CVSSv2!$D$8,CVSSv2!$D$19,IF(INDIRECT("Hallazgos!G"&amp;B25+4)=CVSSv2!$E$8,CVSSv2!$E$19,0)))</f>
        <v>0</v>
      </c>
      <c r="J25" s="57" t="n">
        <f aca="true">IF(INDIRECT("Hallazgos!G"&amp;B25+5)=CVSSv2!$C$9,CVSSv2!$C$20,IF(INDIRECT("Hallazgos!G"&amp;B25+5)=CVSSv2!$D$9,CVSSv2!$D$20,IF(INDIRECT("Hallazgos!G"&amp;B25+5)=CVSSv2!$E$9,CVSSv2!$E$20,0)))</f>
        <v>0</v>
      </c>
      <c r="K25" s="57"/>
      <c r="L25" s="57" t="str">
        <f aca="false">IF(P25&lt;1,"x",A25&amp;" ")</f>
        <v>20 </v>
      </c>
      <c r="M25" s="57" t="n">
        <f aca="false">10*C25*D25*E25*F25</f>
        <v>0</v>
      </c>
      <c r="N25" s="57" t="n">
        <f aca="false">IF((5.21*(1-(1-H25)*(1-I25)*(1-J25)))=0,0.2,(5.21*(1-(1-H25)*(1-I25)*(1-J25))))</f>
        <v>0.2</v>
      </c>
      <c r="O25" s="57" t="str">
        <f aca="true">L25&amp;INDIRECT("Hallazgos!B"&amp;B25)&amp;" ("&amp;P25&amp;")"</f>
        <v>20 Vulnerabilidad 20 (9,5)</v>
      </c>
      <c r="P25" s="57" t="n">
        <f aca="true">IF(INDIRECT("Hallazgos!I"&amp;B25)&gt;0,INDIRECT("Hallazgos!I"&amp;B25),0)</f>
        <v>9.5</v>
      </c>
    </row>
    <row r="26" customFormat="false" ht="15.75" hidden="false" customHeight="true" outlineLevel="0" collapsed="false">
      <c r="A26" s="65" t="n">
        <v>21</v>
      </c>
      <c r="B26" s="57" t="n">
        <f aca="false">((A26-1)*$B$3)+$B$2+1</f>
        <v>203</v>
      </c>
      <c r="C26" s="57" t="n">
        <f aca="true">IF(INDIRECT("Hallazgos!G"&amp;B26)=CVSSv2!$C$4,CVSSv2!$C$15,IF(INDIRECT("Hallazgos!G"&amp;B26)=CVSSv2!$D$4,CVSSv2!$D$15,IF(INDIRECT("Hallazgos!G"&amp;B26)=CVSSv2!$E$4,CVSSv2!$E$15,0)))</f>
        <v>0</v>
      </c>
      <c r="D26" s="57" t="n">
        <f aca="true">IF(INDIRECT("Hallazgos!G"&amp;B26+1)=CVSSv2!$C$5,CVSSv2!$C$16,IF(INDIRECT("Hallazgos!G"&amp;B26+1)=CVSSv2!$D$5,CVSSv2!$D$16,IF(INDIRECT("Hallazgos!G"&amp;B26+1)=CVSSv2!$E$5,CVSSv2!$E$16,0)))</f>
        <v>0</v>
      </c>
      <c r="E26" s="57" t="n">
        <f aca="true">IF(INDIRECT("Hallazgos!G"&amp;B26+2)=CVSSv2!$C$6,CVSSv2!$C$17,IF(INDIRECT("Hallazgos!G"&amp;B26+2)=CVSSv2!$D$6,CVSSv2!$D$17,IF(INDIRECT("Hallazgos!G"&amp;B26+2)=CVSSv2!$E$6,CVSSv2!$E$17,0)))</f>
        <v>0</v>
      </c>
      <c r="F26" s="57" t="n">
        <f aca="true">IF(INDIRECT("Hallazgos!G"&amp;B26+6)=CVSSv2!$C$10,CVSSv2!$C$21,IF(INDIRECT("Hallazgos!G"&amp;B26+6)=CVSSv2!$D$10,CVSSv2!$D$21,IF(INDIRECT("Hallazgos!G"&amp;B26+6)=CVSSv2!$E$10,CVSSv2!$E$21,IF(INDIRECT("Hallazgos!G"&amp;B26+6)=CVSSv2!$F$10,CVSSv2!$F$21,0))))</f>
        <v>0</v>
      </c>
      <c r="G26" s="57"/>
      <c r="H26" s="57" t="n">
        <f aca="true">IF(INDIRECT("Hallazgos!G"&amp;B26+3)=CVSSv2!$C$7,CVSSv2!$C$18,IF(INDIRECT("Hallazgos!G"&amp;B26+3)=CVSSv2!$D$7,CVSSv2!$D$18,IF(INDIRECT("Hallazgos!G"&amp;B26+3)=CVSSv2!$E$7,CVSSv2!$E$18,0)))</f>
        <v>0</v>
      </c>
      <c r="I26" s="57" t="n">
        <f aca="true">IF(INDIRECT("Hallazgos!G"&amp;B26+4)=CVSSv2!$C$8,CVSSv2!$C$19,IF(INDIRECT("Hallazgos!G"&amp;B26+4)=CVSSv2!$D$8,CVSSv2!$D$19,IF(INDIRECT("Hallazgos!G"&amp;B26+4)=CVSSv2!$E$8,CVSSv2!$E$19,0)))</f>
        <v>0</v>
      </c>
      <c r="J26" s="57" t="n">
        <f aca="true">IF(INDIRECT("Hallazgos!G"&amp;B26+5)=CVSSv2!$C$9,CVSSv2!$C$20,IF(INDIRECT("Hallazgos!G"&amp;B26+5)=CVSSv2!$D$9,CVSSv2!$D$20,IF(INDIRECT("Hallazgos!G"&amp;B26+5)=CVSSv2!$E$9,CVSSv2!$E$20,0)))</f>
        <v>0</v>
      </c>
      <c r="K26" s="57"/>
      <c r="L26" s="57" t="str">
        <f aca="false">IF(P26&lt;1,"x",A26&amp;" ")</f>
        <v>21 </v>
      </c>
      <c r="M26" s="57" t="n">
        <f aca="false">10*C26*D26*E26*F26</f>
        <v>0</v>
      </c>
      <c r="N26" s="57" t="n">
        <f aca="false">IF((5.21*(1-(1-H26)*(1-I26)*(1-J26)))=0,0.2,(5.21*(1-(1-H26)*(1-I26)*(1-J26))))</f>
        <v>0.2</v>
      </c>
      <c r="O26" s="57" t="str">
        <f aca="true">L26&amp;INDIRECT("Hallazgos!B"&amp;B26)&amp;" ("&amp;P26&amp;")"</f>
        <v>21 Vulnerabilidad 21 (9,5)</v>
      </c>
      <c r="P26" s="57" t="n">
        <f aca="true">IF(INDIRECT("Hallazgos!I"&amp;B26)&gt;0,INDIRECT("Hallazgos!I"&amp;B26),0)</f>
        <v>9.5</v>
      </c>
    </row>
    <row r="27" customFormat="false" ht="15.75" hidden="false" customHeight="true" outlineLevel="0" collapsed="false">
      <c r="A27" s="65" t="n">
        <v>22</v>
      </c>
      <c r="B27" s="57" t="n">
        <f aca="false">((A27-1)*$B$3)+$B$2+1</f>
        <v>213</v>
      </c>
      <c r="C27" s="57" t="n">
        <f aca="true">IF(INDIRECT("Hallazgos!G"&amp;B27)=CVSSv2!$C$4,CVSSv2!$C$15,IF(INDIRECT("Hallazgos!G"&amp;B27)=CVSSv2!$D$4,CVSSv2!$D$15,IF(INDIRECT("Hallazgos!G"&amp;B27)=CVSSv2!$E$4,CVSSv2!$E$15,0)))</f>
        <v>0</v>
      </c>
      <c r="D27" s="57" t="n">
        <f aca="true">IF(INDIRECT("Hallazgos!G"&amp;B27+1)=CVSSv2!$C$5,CVSSv2!$C$16,IF(INDIRECT("Hallazgos!G"&amp;B27+1)=CVSSv2!$D$5,CVSSv2!$D$16,IF(INDIRECT("Hallazgos!G"&amp;B27+1)=CVSSv2!$E$5,CVSSv2!$E$16,0)))</f>
        <v>0</v>
      </c>
      <c r="E27" s="57" t="n">
        <f aca="true">IF(INDIRECT("Hallazgos!G"&amp;B27+2)=CVSSv2!$C$6,CVSSv2!$C$17,IF(INDIRECT("Hallazgos!G"&amp;B27+2)=CVSSv2!$D$6,CVSSv2!$D$17,IF(INDIRECT("Hallazgos!G"&amp;B27+2)=CVSSv2!$E$6,CVSSv2!$E$17,0)))</f>
        <v>0</v>
      </c>
      <c r="F27" s="57" t="n">
        <f aca="true">IF(INDIRECT("Hallazgos!G"&amp;B27+6)=CVSSv2!$C$10,CVSSv2!$C$21,IF(INDIRECT("Hallazgos!G"&amp;B27+6)=CVSSv2!$D$10,CVSSv2!$D$21,IF(INDIRECT("Hallazgos!G"&amp;B27+6)=CVSSv2!$E$10,CVSSv2!$E$21,IF(INDIRECT("Hallazgos!G"&amp;B27+6)=CVSSv2!$F$10,CVSSv2!$F$21,0))))</f>
        <v>0</v>
      </c>
      <c r="G27" s="57"/>
      <c r="H27" s="57" t="n">
        <f aca="true">IF(INDIRECT("Hallazgos!G"&amp;B27+3)=CVSSv2!$C$7,CVSSv2!$C$18,IF(INDIRECT("Hallazgos!G"&amp;B27+3)=CVSSv2!$D$7,CVSSv2!$D$18,IF(INDIRECT("Hallazgos!G"&amp;B27+3)=CVSSv2!$E$7,CVSSv2!$E$18,0)))</f>
        <v>0</v>
      </c>
      <c r="I27" s="57" t="n">
        <f aca="true">IF(INDIRECT("Hallazgos!G"&amp;B27+4)=CVSSv2!$C$8,CVSSv2!$C$19,IF(INDIRECT("Hallazgos!G"&amp;B27+4)=CVSSv2!$D$8,CVSSv2!$D$19,IF(INDIRECT("Hallazgos!G"&amp;B27+4)=CVSSv2!$E$8,CVSSv2!$E$19,0)))</f>
        <v>0</v>
      </c>
      <c r="J27" s="57" t="n">
        <f aca="true">IF(INDIRECT("Hallazgos!G"&amp;B27+5)=CVSSv2!$C$9,CVSSv2!$C$20,IF(INDIRECT("Hallazgos!G"&amp;B27+5)=CVSSv2!$D$9,CVSSv2!$D$20,IF(INDIRECT("Hallazgos!G"&amp;B27+5)=CVSSv2!$E$9,CVSSv2!$E$20,0)))</f>
        <v>0</v>
      </c>
      <c r="K27" s="57"/>
      <c r="L27" s="57" t="str">
        <f aca="false">IF(P27&lt;1,"x",A27&amp;" ")</f>
        <v>22 </v>
      </c>
      <c r="M27" s="57" t="n">
        <f aca="false">10*C27*D27*E27*F27</f>
        <v>0</v>
      </c>
      <c r="N27" s="57" t="n">
        <f aca="false">IF((5.21*(1-(1-H27)*(1-I27)*(1-J27)))=0,0.2,(5.21*(1-(1-H27)*(1-I27)*(1-J27))))</f>
        <v>0.2</v>
      </c>
      <c r="O27" s="57" t="str">
        <f aca="true">L27&amp;INDIRECT("Hallazgos!B"&amp;B27)&amp;" ("&amp;P27&amp;")"</f>
        <v>22 Vulnerabilidad 22 (9,5)</v>
      </c>
      <c r="P27" s="57" t="n">
        <f aca="true">IF(INDIRECT("Hallazgos!I"&amp;B27)&gt;0,INDIRECT("Hallazgos!I"&amp;B27),0)</f>
        <v>9.5</v>
      </c>
    </row>
    <row r="28" customFormat="false" ht="15.75" hidden="false" customHeight="true" outlineLevel="0" collapsed="false">
      <c r="A28" s="65" t="n">
        <v>23</v>
      </c>
      <c r="B28" s="57" t="n">
        <f aca="false">((A28-1)*$B$3)+$B$2+1</f>
        <v>223</v>
      </c>
      <c r="C28" s="57" t="n">
        <f aca="true">IF(INDIRECT("Hallazgos!G"&amp;B28)=CVSSv2!$C$4,CVSSv2!$C$15,IF(INDIRECT("Hallazgos!G"&amp;B28)=CVSSv2!$D$4,CVSSv2!$D$15,IF(INDIRECT("Hallazgos!G"&amp;B28)=CVSSv2!$E$4,CVSSv2!$E$15,0)))</f>
        <v>0</v>
      </c>
      <c r="D28" s="57" t="n">
        <f aca="true">IF(INDIRECT("Hallazgos!G"&amp;B28+1)=CVSSv2!$C$5,CVSSv2!$C$16,IF(INDIRECT("Hallazgos!G"&amp;B28+1)=CVSSv2!$D$5,CVSSv2!$D$16,IF(INDIRECT("Hallazgos!G"&amp;B28+1)=CVSSv2!$E$5,CVSSv2!$E$16,0)))</f>
        <v>0</v>
      </c>
      <c r="E28" s="57" t="n">
        <f aca="true">IF(INDIRECT("Hallazgos!G"&amp;B28+2)=CVSSv2!$C$6,CVSSv2!$C$17,IF(INDIRECT("Hallazgos!G"&amp;B28+2)=CVSSv2!$D$6,CVSSv2!$D$17,IF(INDIRECT("Hallazgos!G"&amp;B28+2)=CVSSv2!$E$6,CVSSv2!$E$17,0)))</f>
        <v>0</v>
      </c>
      <c r="F28" s="57" t="n">
        <f aca="true">IF(INDIRECT("Hallazgos!G"&amp;B28+6)=CVSSv2!$C$10,CVSSv2!$C$21,IF(INDIRECT("Hallazgos!G"&amp;B28+6)=CVSSv2!$D$10,CVSSv2!$D$21,IF(INDIRECT("Hallazgos!G"&amp;B28+6)=CVSSv2!$E$10,CVSSv2!$E$21,IF(INDIRECT("Hallazgos!G"&amp;B28+6)=CVSSv2!$F$10,CVSSv2!$F$21,0))))</f>
        <v>0</v>
      </c>
      <c r="G28" s="57"/>
      <c r="H28" s="57" t="n">
        <f aca="true">IF(INDIRECT("Hallazgos!G"&amp;B28+3)=CVSSv2!$C$7,CVSSv2!$C$18,IF(INDIRECT("Hallazgos!G"&amp;B28+3)=CVSSv2!$D$7,CVSSv2!$D$18,IF(INDIRECT("Hallazgos!G"&amp;B28+3)=CVSSv2!$E$7,CVSSv2!$E$18,0)))</f>
        <v>0</v>
      </c>
      <c r="I28" s="57" t="n">
        <f aca="true">IF(INDIRECT("Hallazgos!G"&amp;B28+4)=CVSSv2!$C$8,CVSSv2!$C$19,IF(INDIRECT("Hallazgos!G"&amp;B28+4)=CVSSv2!$D$8,CVSSv2!$D$19,IF(INDIRECT("Hallazgos!G"&amp;B28+4)=CVSSv2!$E$8,CVSSv2!$E$19,0)))</f>
        <v>0</v>
      </c>
      <c r="J28" s="57" t="n">
        <f aca="true">IF(INDIRECT("Hallazgos!G"&amp;B28+5)=CVSSv2!$C$9,CVSSv2!$C$20,IF(INDIRECT("Hallazgos!G"&amp;B28+5)=CVSSv2!$D$9,CVSSv2!$D$20,IF(INDIRECT("Hallazgos!G"&amp;B28+5)=CVSSv2!$E$9,CVSSv2!$E$20,0)))</f>
        <v>0</v>
      </c>
      <c r="K28" s="57"/>
      <c r="L28" s="57" t="str">
        <f aca="false">IF(P28&lt;1,"x",A28&amp;" ")</f>
        <v>23 </v>
      </c>
      <c r="M28" s="57" t="n">
        <f aca="false">10*C28*D28*E28*F28</f>
        <v>0</v>
      </c>
      <c r="N28" s="57" t="n">
        <f aca="false">IF((5.21*(1-(1-H28)*(1-I28)*(1-J28)))=0,0.2,(5.21*(1-(1-H28)*(1-I28)*(1-J28))))</f>
        <v>0.2</v>
      </c>
      <c r="O28" s="57" t="str">
        <f aca="true">L28&amp;INDIRECT("Hallazgos!B"&amp;B28)&amp;" ("&amp;P28&amp;")"</f>
        <v>23 Vulnerabilidad 23 (9,5)</v>
      </c>
      <c r="P28" s="57" t="n">
        <f aca="true">IF(INDIRECT("Hallazgos!I"&amp;B28)&gt;0,INDIRECT("Hallazgos!I"&amp;B28),0)</f>
        <v>9.5</v>
      </c>
    </row>
    <row r="29" customFormat="false" ht="15.75" hidden="false" customHeight="true" outlineLevel="0" collapsed="false">
      <c r="A29" s="65" t="n">
        <v>24</v>
      </c>
      <c r="B29" s="57" t="n">
        <f aca="false">((A29-1)*$B$3)+$B$2+1</f>
        <v>233</v>
      </c>
      <c r="C29" s="57" t="n">
        <f aca="true">IF(INDIRECT("Hallazgos!G"&amp;B29)=CVSSv2!$C$4,CVSSv2!$C$15,IF(INDIRECT("Hallazgos!G"&amp;B29)=CVSSv2!$D$4,CVSSv2!$D$15,IF(INDIRECT("Hallazgos!G"&amp;B29)=CVSSv2!$E$4,CVSSv2!$E$15,0)))</f>
        <v>0</v>
      </c>
      <c r="D29" s="57" t="n">
        <f aca="true">IF(INDIRECT("Hallazgos!G"&amp;B29+1)=CVSSv2!$C$5,CVSSv2!$C$16,IF(INDIRECT("Hallazgos!G"&amp;B29+1)=CVSSv2!$D$5,CVSSv2!$D$16,IF(INDIRECT("Hallazgos!G"&amp;B29+1)=CVSSv2!$E$5,CVSSv2!$E$16,0)))</f>
        <v>0</v>
      </c>
      <c r="E29" s="57" t="n">
        <f aca="true">IF(INDIRECT("Hallazgos!G"&amp;B29+2)=CVSSv2!$C$6,CVSSv2!$C$17,IF(INDIRECT("Hallazgos!G"&amp;B29+2)=CVSSv2!$D$6,CVSSv2!$D$17,IF(INDIRECT("Hallazgos!G"&amp;B29+2)=CVSSv2!$E$6,CVSSv2!$E$17,0)))</f>
        <v>0</v>
      </c>
      <c r="F29" s="57" t="n">
        <f aca="true">IF(INDIRECT("Hallazgos!G"&amp;B29+6)=CVSSv2!$C$10,CVSSv2!$C$21,IF(INDIRECT("Hallazgos!G"&amp;B29+6)=CVSSv2!$D$10,CVSSv2!$D$21,IF(INDIRECT("Hallazgos!G"&amp;B29+6)=CVSSv2!$E$10,CVSSv2!$E$21,IF(INDIRECT("Hallazgos!G"&amp;B29+6)=CVSSv2!$F$10,CVSSv2!$F$21,0))))</f>
        <v>0</v>
      </c>
      <c r="G29" s="57"/>
      <c r="H29" s="57" t="n">
        <f aca="true">IF(INDIRECT("Hallazgos!G"&amp;B29+3)=CVSSv2!$C$7,CVSSv2!$C$18,IF(INDIRECT("Hallazgos!G"&amp;B29+3)=CVSSv2!$D$7,CVSSv2!$D$18,IF(INDIRECT("Hallazgos!G"&amp;B29+3)=CVSSv2!$E$7,CVSSv2!$E$18,0)))</f>
        <v>0</v>
      </c>
      <c r="I29" s="57" t="n">
        <f aca="true">IF(INDIRECT("Hallazgos!G"&amp;B29+4)=CVSSv2!$C$8,CVSSv2!$C$19,IF(INDIRECT("Hallazgos!G"&amp;B29+4)=CVSSv2!$D$8,CVSSv2!$D$19,IF(INDIRECT("Hallazgos!G"&amp;B29+4)=CVSSv2!$E$8,CVSSv2!$E$19,0)))</f>
        <v>0</v>
      </c>
      <c r="J29" s="57" t="n">
        <f aca="true">IF(INDIRECT("Hallazgos!G"&amp;B29+5)=CVSSv2!$C$9,CVSSv2!$C$20,IF(INDIRECT("Hallazgos!G"&amp;B29+5)=CVSSv2!$D$9,CVSSv2!$D$20,IF(INDIRECT("Hallazgos!G"&amp;B29+5)=CVSSv2!$E$9,CVSSv2!$E$20,0)))</f>
        <v>0</v>
      </c>
      <c r="K29" s="57"/>
      <c r="L29" s="57" t="str">
        <f aca="false">IF(P29&lt;1,"x",A29&amp;" ")</f>
        <v>24 </v>
      </c>
      <c r="M29" s="57" t="n">
        <f aca="false">10*C29*D29*E29*F29</f>
        <v>0</v>
      </c>
      <c r="N29" s="57" t="n">
        <f aca="false">IF((5.21*(1-(1-H29)*(1-I29)*(1-J29)))=0,0.2,(5.21*(1-(1-H29)*(1-I29)*(1-J29))))</f>
        <v>0.2</v>
      </c>
      <c r="O29" s="57" t="str">
        <f aca="true">L29&amp;INDIRECT("Hallazgos!B"&amp;B29)&amp;" ("&amp;P29&amp;")"</f>
        <v>24 Vulnerabilidad 24 (9,5)</v>
      </c>
      <c r="P29" s="57" t="n">
        <f aca="true">IF(INDIRECT("Hallazgos!I"&amp;B29)&gt;0,INDIRECT("Hallazgos!I"&amp;B29),0)</f>
        <v>9.5</v>
      </c>
    </row>
    <row r="30" customFormat="false" ht="15.75" hidden="false" customHeight="true" outlineLevel="0" collapsed="false">
      <c r="A30" s="65" t="n">
        <v>25</v>
      </c>
      <c r="B30" s="57" t="n">
        <f aca="false">((A30-1)*$B$3)+$B$2+1</f>
        <v>243</v>
      </c>
      <c r="C30" s="57" t="n">
        <f aca="true">IF(INDIRECT("Hallazgos!G"&amp;B30)=CVSSv2!$C$4,CVSSv2!$C$15,IF(INDIRECT("Hallazgos!G"&amp;B30)=CVSSv2!$D$4,CVSSv2!$D$15,IF(INDIRECT("Hallazgos!G"&amp;B30)=CVSSv2!$E$4,CVSSv2!$E$15,0)))</f>
        <v>0</v>
      </c>
      <c r="D30" s="57" t="n">
        <f aca="true">IF(INDIRECT("Hallazgos!G"&amp;B30+1)=CVSSv2!$C$5,CVSSv2!$C$16,IF(INDIRECT("Hallazgos!G"&amp;B30+1)=CVSSv2!$D$5,CVSSv2!$D$16,IF(INDIRECT("Hallazgos!G"&amp;B30+1)=CVSSv2!$E$5,CVSSv2!$E$16,0)))</f>
        <v>0</v>
      </c>
      <c r="E30" s="57" t="n">
        <f aca="true">IF(INDIRECT("Hallazgos!G"&amp;B30+2)=CVSSv2!$C$6,CVSSv2!$C$17,IF(INDIRECT("Hallazgos!G"&amp;B30+2)=CVSSv2!$D$6,CVSSv2!$D$17,IF(INDIRECT("Hallazgos!G"&amp;B30+2)=CVSSv2!$E$6,CVSSv2!$E$17,0)))</f>
        <v>0</v>
      </c>
      <c r="F30" s="57" t="n">
        <f aca="true">IF(INDIRECT("Hallazgos!G"&amp;B30+6)=CVSSv2!$C$10,CVSSv2!$C$21,IF(INDIRECT("Hallazgos!G"&amp;B30+6)=CVSSv2!$D$10,CVSSv2!$D$21,IF(INDIRECT("Hallazgos!G"&amp;B30+6)=CVSSv2!$E$10,CVSSv2!$E$21,IF(INDIRECT("Hallazgos!G"&amp;B30+6)=CVSSv2!$F$10,CVSSv2!$F$21,0))))</f>
        <v>0</v>
      </c>
      <c r="G30" s="57"/>
      <c r="H30" s="57" t="n">
        <f aca="true">IF(INDIRECT("Hallazgos!G"&amp;B30+3)=CVSSv2!$C$7,CVSSv2!$C$18,IF(INDIRECT("Hallazgos!G"&amp;B30+3)=CVSSv2!$D$7,CVSSv2!$D$18,IF(INDIRECT("Hallazgos!G"&amp;B30+3)=CVSSv2!$E$7,CVSSv2!$E$18,0)))</f>
        <v>0</v>
      </c>
      <c r="I30" s="57" t="n">
        <f aca="true">IF(INDIRECT("Hallazgos!G"&amp;B30+4)=CVSSv2!$C$8,CVSSv2!$C$19,IF(INDIRECT("Hallazgos!G"&amp;B30+4)=CVSSv2!$D$8,CVSSv2!$D$19,IF(INDIRECT("Hallazgos!G"&amp;B30+4)=CVSSv2!$E$8,CVSSv2!$E$19,0)))</f>
        <v>0</v>
      </c>
      <c r="J30" s="57" t="n">
        <f aca="true">IF(INDIRECT("Hallazgos!G"&amp;B30+5)=CVSSv2!$C$9,CVSSv2!$C$20,IF(INDIRECT("Hallazgos!G"&amp;B30+5)=CVSSv2!$D$9,CVSSv2!$D$20,IF(INDIRECT("Hallazgos!G"&amp;B30+5)=CVSSv2!$E$9,CVSSv2!$E$20,0)))</f>
        <v>0</v>
      </c>
      <c r="K30" s="57"/>
      <c r="L30" s="57" t="str">
        <f aca="false">IF(P30&lt;1,"x",A30&amp;" ")</f>
        <v>25 </v>
      </c>
      <c r="M30" s="57" t="n">
        <f aca="false">10*C30*D30*E30*F30</f>
        <v>0</v>
      </c>
      <c r="N30" s="57" t="n">
        <f aca="false">IF((5.21*(1-(1-H30)*(1-I30)*(1-J30)))=0,0.2,(5.21*(1-(1-H30)*(1-I30)*(1-J30))))</f>
        <v>0.2</v>
      </c>
      <c r="O30" s="57" t="str">
        <f aca="true">L30&amp;INDIRECT("Hallazgos!B"&amp;B30)&amp;" ("&amp;P30&amp;")"</f>
        <v>25 Vulnerabilidad 25 (9,5)</v>
      </c>
      <c r="P30" s="57" t="n">
        <f aca="true">IF(INDIRECT("Hallazgos!I"&amp;B30)&gt;0,INDIRECT("Hallazgos!I"&amp;B30),0)</f>
        <v>9.5</v>
      </c>
    </row>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00FF"/>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6.2"/>
    <col collapsed="false" customWidth="true" hidden="false" outlineLevel="0" max="2" min="2" style="0" width="13.36"/>
    <col collapsed="false" customWidth="true" hidden="false" outlineLevel="0" max="5" min="3" style="0" width="16.2"/>
    <col collapsed="false" customWidth="true" hidden="false" outlineLevel="0" max="6" min="6" style="0" width="76.14"/>
    <col collapsed="false" customWidth="true" hidden="false" outlineLevel="0" max="26" min="7" style="0" width="16.2"/>
    <col collapsed="false" customWidth="true" hidden="false" outlineLevel="0" max="1025" min="27" style="0" width="19.44"/>
  </cols>
  <sheetData>
    <row r="1" customFormat="false" ht="15.75" hidden="false" customHeight="true" outlineLevel="0" collapsed="false">
      <c r="A1" s="71" t="s">
        <v>921</v>
      </c>
      <c r="B1" s="71" t="s">
        <v>922</v>
      </c>
      <c r="C1" s="72"/>
      <c r="F1" s="73"/>
    </row>
    <row r="2" customFormat="false" ht="15.75" hidden="false" customHeight="true" outlineLevel="0" collapsed="false">
      <c r="A2" s="40" t="s">
        <v>923</v>
      </c>
      <c r="B2" s="74" t="str">
        <f aca="false">IFERROR(__xludf.dummyfunction("IF(IFERROR(QUERY(Hallazgos!H:I,""SELECT count(H) where H&gt;6.9 label count(H) ''""),0)=0,0,QUERY(Hallazgos!H:I,""SELECT count(H) where H&gt;6.9 label count(H)  ''""))"),"0")</f>
        <v>0</v>
      </c>
      <c r="C2" s="72"/>
      <c r="F2" s="73"/>
    </row>
    <row r="3" customFormat="false" ht="15.75" hidden="false" customHeight="true" outlineLevel="0" collapsed="false">
      <c r="A3" s="40" t="s">
        <v>924</v>
      </c>
      <c r="B3" s="75" t="str">
        <f aca="false">IFERROR(__xludf.dummyfunction("IF(IFERROR(QUERY(Hallazgos!H:I,""SELECT count(H) where H&gt;3.9 and H&lt;7 label count(H) ''""),0)=0,0,QUERY(Hallazgos!H:I,""SELECT count(H) where H&gt;3.9 and H&lt;7 label count(H) ''""))"),"0")</f>
        <v>0</v>
      </c>
      <c r="C3" s="60"/>
      <c r="F3" s="73"/>
    </row>
    <row r="4" customFormat="false" ht="15.75" hidden="false" customHeight="true" outlineLevel="0" collapsed="false">
      <c r="A4" s="40" t="s">
        <v>925</v>
      </c>
      <c r="B4" s="75" t="str">
        <f aca="false">IFERROR(__xludf.dummyfunction("IF(IFERROR(QUERY(Hallazgos!H:I,""SELECT count(H) where H&lt;4 label count(H) ''""),0)=0,0,QUERY(Hallazgos!H:I,""SELECT count(H) where H&lt;4 label count(H) ''""))"),"0")</f>
        <v>0</v>
      </c>
      <c r="C4" s="60"/>
      <c r="F4" s="73"/>
    </row>
    <row r="5" customFormat="false" ht="15.75" hidden="false" customHeight="true" outlineLevel="0" collapsed="false">
      <c r="A5" s="76"/>
      <c r="B5" s="76"/>
      <c r="F5" s="73"/>
    </row>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00FF"/>
    <pageSetUpPr fitToPage="false"/>
  </sheetPr>
  <dimension ref="A1:AB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0.37"/>
    <col collapsed="false" customWidth="true" hidden="false" outlineLevel="0" max="2" min="2" style="0" width="7.68"/>
    <col collapsed="false" customWidth="true" hidden="false" outlineLevel="0" max="3" min="3" style="0" width="2.57"/>
    <col collapsed="false" customWidth="true" hidden="false" outlineLevel="0" max="4" min="4" style="0" width="6.75"/>
    <col collapsed="false" customWidth="true" hidden="false" outlineLevel="0" max="5" min="5" style="0" width="22.68"/>
    <col collapsed="false" customWidth="true" hidden="false" outlineLevel="0" max="11" min="6" style="0" width="6.75"/>
    <col collapsed="false" customWidth="true" hidden="false" outlineLevel="0" max="12" min="12" style="0" width="10.53"/>
    <col collapsed="false" customWidth="true" hidden="false" outlineLevel="0" max="15" min="13" style="0" width="6.75"/>
    <col collapsed="false" customWidth="true" hidden="false" outlineLevel="0" max="16" min="16" style="0" width="56.16"/>
    <col collapsed="false" customWidth="true" hidden="false" outlineLevel="0" max="17" min="17" style="0" width="4.86"/>
    <col collapsed="false" customWidth="true" hidden="false" outlineLevel="0" max="21" min="18" style="0" width="16.2"/>
    <col collapsed="false" customWidth="true" hidden="false" outlineLevel="0" max="22" min="22" style="0" width="2.84"/>
    <col collapsed="false" customWidth="true" hidden="false" outlineLevel="0" max="23" min="23" style="0" width="16.2"/>
    <col collapsed="false" customWidth="true" hidden="false" outlineLevel="0" max="24" min="24" style="0" width="4.86"/>
    <col collapsed="false" customWidth="true" hidden="false" outlineLevel="0" max="25" min="25" style="0" width="5.28"/>
    <col collapsed="false" customWidth="true" hidden="false" outlineLevel="0" max="26" min="26" style="0" width="16.2"/>
    <col collapsed="false" customWidth="true" hidden="false" outlineLevel="0" max="27" min="27" style="0" width="4.71"/>
    <col collapsed="false" customWidth="true" hidden="false" outlineLevel="0" max="28" min="28" style="0" width="6.48"/>
    <col collapsed="false" customWidth="true" hidden="false" outlineLevel="0" max="1025" min="29" style="0" width="19.44"/>
  </cols>
  <sheetData>
    <row r="1" customFormat="false" ht="15.75" hidden="false" customHeight="true" outlineLevel="0" collapsed="false">
      <c r="A1" s="77" t="s">
        <v>926</v>
      </c>
      <c r="B1" s="78" t="s">
        <v>927</v>
      </c>
      <c r="C1" s="58"/>
      <c r="D1" s="77" t="s">
        <v>928</v>
      </c>
      <c r="E1" s="77" t="s">
        <v>926</v>
      </c>
      <c r="F1" s="61" t="s">
        <v>929</v>
      </c>
      <c r="G1" s="61" t="s">
        <v>930</v>
      </c>
      <c r="H1" s="61" t="s">
        <v>931</v>
      </c>
      <c r="I1" s="58"/>
      <c r="J1" s="58"/>
      <c r="K1" s="58"/>
      <c r="L1" s="58" t="s">
        <v>932</v>
      </c>
      <c r="M1" s="58"/>
      <c r="N1" s="58"/>
      <c r="O1" s="58"/>
      <c r="P1" s="79" t="str">
        <f aca="false">IFERROR(__xludf.dummyfunction("QUERY(TRANSPOSE((SPLIT(SUBSTITUTE(CONCATENATE(ARRAYFORMULA(QUERY(Hallazgos!A:F,""SELECT E"")&amp;CHAR(9))), CHAR(10), CHAR(9)),CHAR(9)))),""SELECT Col1 WHERE Col1 starts with 'REQ'"")"),"#N/A")</f>
        <v>#N/A</v>
      </c>
      <c r="Q1" s="79" t="n">
        <f aca="true">IFERROR(MATCH(LEFT(P1,8),INDIRECT($L$1&amp;"!A:A"),1),2)</f>
        <v>2</v>
      </c>
      <c r="R1" s="79" t="str">
        <f aca="true">IF(Q1=2,"",INDIRECT($L$1&amp;"!C"&amp;Q1))</f>
        <v/>
      </c>
      <c r="S1" s="79" t="str">
        <f aca="true">IF(Q1=2,"",INDIRECT($L$1&amp;"!D"&amp;Q1))</f>
        <v/>
      </c>
      <c r="T1" s="79" t="str">
        <f aca="true">IF(Q1=2,"",INDIRECT($L$1&amp;"!E"&amp;Q1))</f>
        <v/>
      </c>
      <c r="U1" s="79" t="str">
        <f aca="true">IF(Q1=2,"",INDIRECT($L$1&amp;"!F"&amp;Q1))</f>
        <v/>
      </c>
      <c r="V1" s="79"/>
      <c r="W1" s="79" t="str">
        <f aca="false">IFERROR(__xludf.dummyfunction("ArrayFormula(Query(IF({1,1},IF(S:S="""","""",S:S)),""SELECT Col1, COUNT(Col2) WHERE Col1 &lt;&gt; '' GROUP BY Col1 Label Col1 '', COUNT(Col2) ''""))"),"#REF!")</f>
        <v>#REF!</v>
      </c>
      <c r="X1" s="79" t="n">
        <v>1</v>
      </c>
      <c r="Y1" s="79" t="str">
        <f aca="false">IFERROR(__xludf.dummyfunction("IF(W1="""","""",QUERY(Hallazgos!C:I,""SELECT max(H) WHERE E CONTAINS 'Activo:""&amp;W1&amp;""' LABEL max(H) ''""))"),"#REF!")</f>
        <v>#REF!</v>
      </c>
      <c r="Z1" s="79" t="str">
        <f aca="false">IFERROR(__xludf.dummyfunction("ArrayFormula(Query(IF({1,1},IF(T:T="""","""",T:T)),""SELECT Col1, COUNT(Col2) WHERE Col1 &lt;&gt; '' GROUP BY Col1 Label Col1 '', COUNT(Col2) ''""))"),"#REF!")</f>
        <v>#REF!</v>
      </c>
      <c r="AA1" s="79" t="n">
        <v>1</v>
      </c>
      <c r="AB1" s="79" t="str">
        <f aca="false">IFERROR(__xludf.dummyfunction("IF(Z1="""","""",QUERY(Hallazgos!C:I,""SELECT max(H) WHERE E CONTAINS 'Alcance:""&amp;Z1&amp;""' LABEL max(H) ''""))"),"#REF!")</f>
        <v>#REF!</v>
      </c>
    </row>
    <row r="2" customFormat="false" ht="15.75" hidden="false" customHeight="true" outlineLevel="0" collapsed="false">
      <c r="A2" s="77" t="str">
        <f aca="false">IFERROR(__xludf.dummyfunction("QUERY(Z:AA,""SELECT Z, AA WHERE Z &lt;&gt;'' ORDER BY AA DESC"")"),"#REF!")</f>
        <v>#REF!</v>
      </c>
      <c r="B2" s="61" t="n">
        <v>2</v>
      </c>
      <c r="C2" s="58"/>
      <c r="D2" s="77" t="str">
        <f aca="false">IFERROR(__xludf.dummyfunction("QUERY(Z:AB,""SELECT AB, Z WHERE Z&lt;&gt;'' ORDER BY AB DESC"")"),"#REF!")</f>
        <v>#REF!</v>
      </c>
      <c r="E2" s="80" t="s">
        <v>15</v>
      </c>
      <c r="F2" s="57" t="str">
        <f aca="false">IF(D2&gt;6.9,D2,0)</f>
        <v>#REF!</v>
      </c>
      <c r="G2" s="57" t="n">
        <f aca="false">IF(AND(D2&lt;7,D2&gt;3.9),D2,0)</f>
        <v>0</v>
      </c>
      <c r="H2" s="57" t="n">
        <f aca="false">IF(D2&lt;4,D2,0)</f>
        <v>0</v>
      </c>
      <c r="I2" s="58"/>
      <c r="J2" s="58"/>
      <c r="K2" s="58"/>
      <c r="L2" s="58"/>
      <c r="M2" s="58"/>
      <c r="N2" s="58"/>
      <c r="O2" s="58"/>
      <c r="P2" s="81" t="s">
        <v>933</v>
      </c>
      <c r="Q2" s="79" t="n">
        <f aca="true">IFERROR(MATCH(LEFT(P2,8),INDIRECT($L$1&amp;"!A:A"),1),2)</f>
        <v>4</v>
      </c>
      <c r="R2" s="79" t="str">
        <f aca="true">IF(Q2=2,"",INDIRECT($L$1&amp;"!C"&amp;Q2))</f>
        <v>Capa de Recursos</v>
      </c>
      <c r="S2" s="79" t="str">
        <f aca="true">IF(Q2=2,"",INDIRECT($L$1&amp;"!D"&amp;Q2))</f>
        <v>Activos de información</v>
      </c>
      <c r="T2" s="79" t="str">
        <f aca="true">IF(Q2=2,"",INDIRECT($L$1&amp;"!E"&amp;Q2))</f>
        <v>Adherencia</v>
      </c>
      <c r="U2" s="79" t="str">
        <f aca="true">IF(Q2=2,"",INDIRECT($L$1&amp;"!F"&amp;Q2))</f>
        <v>Análisis</v>
      </c>
      <c r="V2" s="79"/>
      <c r="W2" s="79" t="s">
        <v>95</v>
      </c>
      <c r="X2" s="79" t="n">
        <v>1</v>
      </c>
      <c r="Y2" s="79" t="str">
        <f aca="false">IFERROR(__xludf.dummyfunction("IF(W2="""","""",QUERY(Hallazgos!C:I,""SELECT max(H) WHERE E CONTAINS 'Activo:""&amp;W2&amp;""' LABEL max(H) ''""))"),"#N/A")</f>
        <v>#N/A</v>
      </c>
      <c r="Z2" s="79" t="s">
        <v>98</v>
      </c>
      <c r="AA2" s="79" t="n">
        <v>1</v>
      </c>
      <c r="AB2" s="79" t="str">
        <f aca="false">IFERROR(__xludf.dummyfunction("IF(Z2="""","""",QUERY(Hallazgos!C:I,""SELECT max(H) WHERE E CONTAINS 'Alcance:""&amp;Z2&amp;""' LABEL max(H) ''""))"),"#N/A")</f>
        <v>#N/A</v>
      </c>
    </row>
    <row r="3" customFormat="false" ht="15.75" hidden="false" customHeight="true" outlineLevel="0" collapsed="false">
      <c r="A3" s="77" t="s">
        <v>15</v>
      </c>
      <c r="B3" s="61" t="n">
        <v>1</v>
      </c>
      <c r="C3" s="58"/>
      <c r="D3" s="77" t="n">
        <v>10</v>
      </c>
      <c r="E3" s="80" t="s">
        <v>98</v>
      </c>
      <c r="F3" s="57" t="n">
        <f aca="false">IF(D3&gt;6.9,D3,0)</f>
        <v>10</v>
      </c>
      <c r="G3" s="57" t="n">
        <f aca="false">IF(AND(D3&lt;7,D3&gt;3.9),D3,0)</f>
        <v>0</v>
      </c>
      <c r="H3" s="57" t="n">
        <f aca="false">IF(D3&lt;4,D3,0)</f>
        <v>0</v>
      </c>
      <c r="I3" s="58"/>
      <c r="J3" s="58"/>
      <c r="K3" s="58"/>
      <c r="L3" s="58"/>
      <c r="M3" s="58"/>
      <c r="N3" s="58"/>
      <c r="O3" s="58"/>
      <c r="P3" s="79" t="s">
        <v>934</v>
      </c>
      <c r="Q3" s="79" t="n">
        <f aca="true">IFERROR(MATCH(LEFT(P3,8),INDIRECT($L$1&amp;"!A:A"),1),2)</f>
        <v>52</v>
      </c>
      <c r="R3" s="79" t="str">
        <f aca="true">IF(Q3=2,"",INDIRECT($L$1&amp;"!C"&amp;Q3))</f>
        <v>Capa de Aplicación</v>
      </c>
      <c r="S3" s="79" t="str">
        <f aca="true">IF(Q3=2,"",INDIRECT($L$1&amp;"!D"&amp;Q3))</f>
        <v>Arquitectura de seguridad</v>
      </c>
      <c r="T3" s="79" t="str">
        <f aca="true">IF(Q3=2,"",INDIRECT($L$1&amp;"!E"&amp;Q3))</f>
        <v>Confidencialidad</v>
      </c>
      <c r="U3" s="79" t="str">
        <f aca="true">IF(Q3=2,"",INDIRECT($L$1&amp;"!F"&amp;Q3))</f>
        <v>Construcción</v>
      </c>
      <c r="V3" s="79"/>
      <c r="W3" s="79" t="s">
        <v>189</v>
      </c>
      <c r="X3" s="79" t="n">
        <v>1</v>
      </c>
      <c r="Y3" s="79" t="str">
        <f aca="false">IFERROR(__xludf.dummyfunction("IF(W3="""","""",QUERY(Hallazgos!C:I,""SELECT max(H) WHERE E CONTAINS 'Activo:""&amp;W3&amp;""' LABEL max(H) ''""))"),"#N/A")</f>
        <v>#N/A</v>
      </c>
      <c r="Z3" s="79" t="s">
        <v>81</v>
      </c>
      <c r="AA3" s="79" t="n">
        <v>2</v>
      </c>
      <c r="AB3" s="79" t="str">
        <f aca="false">IFERROR(__xludf.dummyfunction("IF(Z3="""","""",QUERY(Hallazgos!C:I,""SELECT max(H) WHERE E CONTAINS 'Alcance:""&amp;Z3&amp;""' LABEL max(H) ''""))"),"#N/A")</f>
        <v>#N/A</v>
      </c>
    </row>
    <row r="4" customFormat="false" ht="15.75" hidden="false" customHeight="true" outlineLevel="0" collapsed="false">
      <c r="A4" s="77" t="s">
        <v>98</v>
      </c>
      <c r="B4" s="61" t="n">
        <v>1</v>
      </c>
      <c r="C4" s="58"/>
      <c r="D4" s="77" t="n">
        <v>10</v>
      </c>
      <c r="E4" s="80" t="s">
        <v>81</v>
      </c>
      <c r="F4" s="57" t="n">
        <f aca="false">IF(D4&gt;6.9,D4,0)</f>
        <v>10</v>
      </c>
      <c r="G4" s="57" t="n">
        <f aca="false">IF(AND(D4&lt;7,D4&gt;3.9),D4,0)</f>
        <v>0</v>
      </c>
      <c r="H4" s="57" t="n">
        <f aca="false">IF(D4&lt;4,D4,0)</f>
        <v>0</v>
      </c>
      <c r="I4" s="58"/>
      <c r="J4" s="58"/>
      <c r="K4" s="58"/>
      <c r="L4" s="58"/>
      <c r="M4" s="58"/>
      <c r="N4" s="58"/>
      <c r="O4" s="58"/>
      <c r="P4" s="79" t="s">
        <v>935</v>
      </c>
      <c r="Q4" s="79" t="n">
        <f aca="true">IFERROR(MATCH(LEFT(P4,8),INDIRECT($L$1&amp;"!A:A"),1),2)</f>
        <v>251</v>
      </c>
      <c r="R4" s="79" t="str">
        <f aca="true">IF(Q4=2,"",INDIRECT($L$1&amp;"!C"&amp;Q4))</f>
        <v>Capa de Recursos</v>
      </c>
      <c r="S4" s="79" t="str">
        <f aca="true">IF(Q4=2,"",INDIRECT($L$1&amp;"!D"&amp;Q4))</f>
        <v>Redes inalámbricas</v>
      </c>
      <c r="T4" s="79" t="str">
        <f aca="true">IF(Q4=2,"",INDIRECT($L$1&amp;"!E"&amp;Q4))</f>
        <v>Autorización</v>
      </c>
      <c r="U4" s="79" t="str">
        <f aca="true">IF(Q4=2,"",INDIRECT($L$1&amp;"!F"&amp;Q4))</f>
        <v>Operación</v>
      </c>
      <c r="V4" s="79"/>
      <c r="W4" s="79" t="s">
        <v>352</v>
      </c>
      <c r="X4" s="79" t="n">
        <v>1</v>
      </c>
      <c r="Y4" s="79" t="str">
        <f aca="false">IFERROR(__xludf.dummyfunction("IF(W4="""","""",QUERY(Hallazgos!C:I,""SELECT max(H) WHERE E CONTAINS 'Activo:""&amp;W4&amp;""' LABEL max(H) ''""))"),"#N/A")</f>
        <v>#N/A</v>
      </c>
      <c r="Z4" s="79" t="s">
        <v>116</v>
      </c>
      <c r="AA4" s="79" t="n">
        <v>1</v>
      </c>
      <c r="AB4" s="79" t="str">
        <f aca="false">IFERROR(__xludf.dummyfunction("IF(Z4="""","""",QUERY(Hallazgos!C:I,""SELECT max(H) WHERE E CONTAINS 'Alcance:""&amp;Z4&amp;""' LABEL max(H) ''""))"),"#N/A")</f>
        <v>#N/A</v>
      </c>
    </row>
    <row r="5" customFormat="false" ht="15.75" hidden="false" customHeight="true" outlineLevel="0" collapsed="false">
      <c r="A5" s="77" t="s">
        <v>116</v>
      </c>
      <c r="B5" s="61" t="n">
        <v>1</v>
      </c>
      <c r="C5" s="58"/>
      <c r="D5" s="77" t="n">
        <v>10</v>
      </c>
      <c r="E5" s="80" t="s">
        <v>116</v>
      </c>
      <c r="F5" s="57" t="n">
        <f aca="false">IF(D5&gt;6.9,D5,0)</f>
        <v>10</v>
      </c>
      <c r="G5" s="57" t="n">
        <f aca="false">IF(AND(D5&lt;7,D5&gt;3.9),D5,0)</f>
        <v>0</v>
      </c>
      <c r="H5" s="57" t="n">
        <f aca="false">IF(D5&lt;4,D5,0)</f>
        <v>0</v>
      </c>
      <c r="I5" s="58"/>
      <c r="J5" s="58"/>
      <c r="K5" s="58"/>
      <c r="L5" s="58"/>
      <c r="M5" s="58"/>
      <c r="N5" s="58"/>
      <c r="O5" s="58"/>
      <c r="P5" s="79" t="s">
        <v>936</v>
      </c>
      <c r="Q5" s="79" t="n">
        <f aca="true">IFERROR(MATCH(LEFT(P5,8),INDIRECT($L$1&amp;"!A:A"),1),2)</f>
        <v>42</v>
      </c>
      <c r="R5" s="79" t="str">
        <f aca="true">IF(Q5=2,"",INDIRECT($L$1&amp;"!C"&amp;Q5))</f>
        <v>Capa de Aplicación</v>
      </c>
      <c r="S5" s="79" t="str">
        <f aca="true">IF(Q5=2,"",INDIRECT($L$1&amp;"!D"&amp;Q5))</f>
        <v>Archivos</v>
      </c>
      <c r="T5" s="79" t="str">
        <f aca="true">IF(Q5=2,"",INDIRECT($L$1&amp;"!E"&amp;Q5))</f>
        <v>Integridad</v>
      </c>
      <c r="U5" s="79" t="str">
        <f aca="true">IF(Q5=2,"",INDIRECT($L$1&amp;"!F"&amp;Q5))</f>
        <v>Operación</v>
      </c>
      <c r="V5" s="79"/>
      <c r="W5" s="79" t="s">
        <v>790</v>
      </c>
      <c r="X5" s="79" t="n">
        <v>1</v>
      </c>
      <c r="Y5" s="79" t="str">
        <f aca="false">IFERROR(__xludf.dummyfunction("IF(W5="""","""",QUERY(Hallazgos!C:I,""SELECT max(H) WHERE E CONTAINS 'Activo:""&amp;W5&amp;""' LABEL max(H) ''""))"),"#N/A")</f>
        <v>#N/A</v>
      </c>
      <c r="Z5" s="79"/>
      <c r="AA5" s="79"/>
      <c r="AB5" s="79" t="str">
        <f aca="false">IFERROR(__xludf.dummyfunction("IF(Z5="""","""",QUERY(Hallazgos!C:I,""SELECT max(H) WHERE E CONTAINS 'Alcance:""&amp;Z5&amp;""' LABEL max(H) ''""))"),"")</f>
        <v/>
      </c>
    </row>
    <row r="6" customFormat="false" ht="15.75" hidden="false" customHeight="true" outlineLevel="0" collapsed="false">
      <c r="A6" s="77"/>
      <c r="B6" s="61"/>
      <c r="C6" s="58"/>
      <c r="D6" s="77"/>
      <c r="E6" s="80"/>
      <c r="F6" s="57" t="n">
        <f aca="false">IF(D6&gt;6.9,D6,0)</f>
        <v>0</v>
      </c>
      <c r="G6" s="57" t="n">
        <f aca="false">IF(AND(D6&lt;7,D6&gt;3.9),D6,0)</f>
        <v>0</v>
      </c>
      <c r="H6" s="57" t="n">
        <f aca="false">IF(D6&lt;4,D6,0)</f>
        <v>0</v>
      </c>
      <c r="I6" s="58"/>
      <c r="J6" s="58"/>
      <c r="K6" s="58"/>
      <c r="L6" s="58"/>
      <c r="M6" s="58"/>
      <c r="N6" s="58"/>
      <c r="O6" s="58"/>
      <c r="P6" s="79"/>
      <c r="Q6" s="79" t="n">
        <f aca="true">IFERROR(MATCH(LEFT(P6,8),INDIRECT($L$1&amp;"!A:A"),1),2)</f>
        <v>2</v>
      </c>
      <c r="R6" s="79" t="str">
        <f aca="true">IF(Q6=2,"",INDIRECT($L$1&amp;"!C"&amp;Q6))</f>
        <v/>
      </c>
      <c r="S6" s="79" t="str">
        <f aca="true">IF(Q6=2,"",INDIRECT($L$1&amp;"!D"&amp;Q6))</f>
        <v/>
      </c>
      <c r="T6" s="79" t="str">
        <f aca="true">IF(Q6=2,"",INDIRECT($L$1&amp;"!E"&amp;Q6))</f>
        <v/>
      </c>
      <c r="U6" s="79" t="str">
        <f aca="true">IF(Q6=2,"",INDIRECT($L$1&amp;"!F"&amp;Q6))</f>
        <v/>
      </c>
      <c r="V6" s="79"/>
      <c r="W6" s="79"/>
      <c r="X6" s="79"/>
      <c r="Y6" s="79" t="str">
        <f aca="false">IFERROR(__xludf.dummyfunction("IF(W6="""","""",QUERY(Hallazgos!C:I,""SELECT max(H) WHERE E CONTAINS 'Activo:""&amp;W6&amp;""' LABEL max(H) ''""))"),"")</f>
        <v/>
      </c>
      <c r="Z6" s="79"/>
      <c r="AA6" s="79"/>
      <c r="AB6" s="79" t="str">
        <f aca="false">IFERROR(__xludf.dummyfunction("IF(Z6="""","""",QUERY(Hallazgos!C:I,""SELECT max(H) WHERE E CONTAINS 'Alcance:""&amp;Z6&amp;""' LABEL max(H) ''""))"),"")</f>
        <v/>
      </c>
    </row>
    <row r="7" customFormat="false" ht="15.75" hidden="false" customHeight="true" outlineLevel="0" collapsed="false">
      <c r="A7" s="77"/>
      <c r="B7" s="61"/>
      <c r="C7" s="61"/>
      <c r="D7" s="77"/>
      <c r="E7" s="80"/>
      <c r="F7" s="57" t="n">
        <f aca="false">IF(D7&gt;6.9,D7,0)</f>
        <v>0</v>
      </c>
      <c r="G7" s="57" t="n">
        <f aca="false">IF(AND(D7&lt;7,D7&gt;3.9),D7,0)</f>
        <v>0</v>
      </c>
      <c r="H7" s="57" t="n">
        <f aca="false">IF(D7&lt;4,D7,0)</f>
        <v>0</v>
      </c>
      <c r="I7" s="58"/>
      <c r="J7" s="58"/>
      <c r="K7" s="58"/>
      <c r="L7" s="58"/>
      <c r="M7" s="58"/>
      <c r="N7" s="58"/>
      <c r="O7" s="58"/>
      <c r="P7" s="82"/>
      <c r="Q7" s="79" t="n">
        <f aca="true">IFERROR(MATCH(LEFT(P7,8),INDIRECT($L$1&amp;"!A:A"),1),2)</f>
        <v>2</v>
      </c>
      <c r="R7" s="79" t="str">
        <f aca="true">IF(Q7=2,"",INDIRECT($L$1&amp;"!C"&amp;Q7))</f>
        <v/>
      </c>
      <c r="S7" s="79" t="str">
        <f aca="true">IF(Q7=2,"",INDIRECT($L$1&amp;"!D"&amp;Q7))</f>
        <v/>
      </c>
      <c r="T7" s="79" t="str">
        <f aca="true">IF(Q7=2,"",INDIRECT($L$1&amp;"!E"&amp;Q7))</f>
        <v/>
      </c>
      <c r="U7" s="79" t="str">
        <f aca="true">IF(Q7=2,"",INDIRECT($L$1&amp;"!F"&amp;Q7))</f>
        <v/>
      </c>
      <c r="V7" s="79"/>
      <c r="W7" s="79"/>
      <c r="X7" s="79"/>
      <c r="Y7" s="79" t="str">
        <f aca="false">IFERROR(__xludf.dummyfunction("IF(W7="""","""",QUERY(Hallazgos!C:I,""SELECT max(H) WHERE E CONTAINS 'Activo:""&amp;W7&amp;""' LABEL max(H) ''""))"),"")</f>
        <v/>
      </c>
      <c r="Z7" s="79"/>
      <c r="AA7" s="79"/>
      <c r="AB7" s="79" t="str">
        <f aca="false">IFERROR(__xludf.dummyfunction("IF(Z7="""","""",QUERY(Hallazgos!C:I,""SELECT max(H) WHERE E CONTAINS 'Alcance:""&amp;Z7&amp;""' LABEL max(H) ''""))"),"")</f>
        <v/>
      </c>
    </row>
    <row r="8" customFormat="false" ht="15.75" hidden="false" customHeight="true" outlineLevel="0" collapsed="false">
      <c r="A8" s="83"/>
      <c r="B8" s="84"/>
      <c r="C8" s="61"/>
      <c r="D8" s="77"/>
      <c r="E8" s="80"/>
      <c r="F8" s="57" t="n">
        <f aca="false">IF(D8&gt;6.9,D8,0)</f>
        <v>0</v>
      </c>
      <c r="G8" s="57" t="n">
        <f aca="false">IF(AND(D8&lt;7,D8&gt;3.9),D8,0)</f>
        <v>0</v>
      </c>
      <c r="H8" s="57" t="n">
        <f aca="false">IF(D8&lt;4,D8,0)</f>
        <v>0</v>
      </c>
      <c r="I8" s="58"/>
      <c r="J8" s="58"/>
      <c r="K8" s="58"/>
      <c r="L8" s="58"/>
      <c r="M8" s="58"/>
      <c r="N8" s="58"/>
      <c r="O8" s="58"/>
      <c r="P8" s="82"/>
      <c r="Q8" s="79" t="n">
        <f aca="true">IFERROR(MATCH(LEFT(P8,8),INDIRECT($L$1&amp;"!A:A"),1),2)</f>
        <v>2</v>
      </c>
      <c r="R8" s="79" t="str">
        <f aca="true">IF(Q8=2,"",INDIRECT($L$1&amp;"!C"&amp;Q8))</f>
        <v/>
      </c>
      <c r="S8" s="79" t="str">
        <f aca="true">IF(Q8=2,"",INDIRECT($L$1&amp;"!D"&amp;Q8))</f>
        <v/>
      </c>
      <c r="T8" s="79" t="str">
        <f aca="true">IF(Q8=2,"",INDIRECT($L$1&amp;"!E"&amp;Q8))</f>
        <v/>
      </c>
      <c r="U8" s="79" t="str">
        <f aca="true">IF(Q8=2,"",INDIRECT($L$1&amp;"!F"&amp;Q8))</f>
        <v/>
      </c>
      <c r="V8" s="79"/>
      <c r="W8" s="79"/>
      <c r="X8" s="79"/>
      <c r="Y8" s="79" t="str">
        <f aca="false">IFERROR(__xludf.dummyfunction("IF(W8="""","""",QUERY(Hallazgos!C:I,""SELECT max(H) WHERE E CONTAINS 'Activo:""&amp;W8&amp;""' LABEL max(H) ''""))"),"")</f>
        <v/>
      </c>
      <c r="Z8" s="79"/>
      <c r="AA8" s="79"/>
      <c r="AB8" s="79" t="str">
        <f aca="false">IFERROR(__xludf.dummyfunction("IF(Z8="""","""",QUERY(Hallazgos!C:I,""SELECT max(H) WHERE E CONTAINS 'Alcance:""&amp;Z8&amp;""' LABEL max(H) ''""))"),"")</f>
        <v/>
      </c>
    </row>
    <row r="9" customFormat="false" ht="15.75" hidden="false" customHeight="true" outlineLevel="0" collapsed="false">
      <c r="A9" s="77"/>
      <c r="B9" s="61"/>
      <c r="C9" s="61"/>
      <c r="D9" s="77"/>
      <c r="E9" s="80"/>
      <c r="F9" s="57" t="n">
        <f aca="false">IF(D9&gt;6.9,D9,0)</f>
        <v>0</v>
      </c>
      <c r="G9" s="57" t="n">
        <f aca="false">IF(AND(D9&lt;7,D9&gt;3.9),D9,0)</f>
        <v>0</v>
      </c>
      <c r="H9" s="57" t="n">
        <f aca="false">IF(D9&lt;4,D9,0)</f>
        <v>0</v>
      </c>
      <c r="I9" s="58"/>
      <c r="J9" s="58"/>
      <c r="K9" s="58"/>
      <c r="L9" s="58"/>
      <c r="M9" s="58"/>
      <c r="N9" s="58"/>
      <c r="O9" s="58"/>
      <c r="P9" s="79"/>
      <c r="Q9" s="79" t="n">
        <f aca="true">IFERROR(MATCH(LEFT(P9,8),INDIRECT($L$1&amp;"!A:A"),1),2)</f>
        <v>2</v>
      </c>
      <c r="R9" s="79" t="str">
        <f aca="true">IF(Q9=2,"",INDIRECT($L$1&amp;"!C"&amp;Q9))</f>
        <v/>
      </c>
      <c r="S9" s="79" t="str">
        <f aca="true">IF(Q9=2,"",INDIRECT($L$1&amp;"!D"&amp;Q9))</f>
        <v/>
      </c>
      <c r="T9" s="79" t="str">
        <f aca="true">IF(Q9=2,"",INDIRECT($L$1&amp;"!E"&amp;Q9))</f>
        <v/>
      </c>
      <c r="U9" s="79" t="str">
        <f aca="true">IF(Q9=2,"",INDIRECT($L$1&amp;"!F"&amp;Q9))</f>
        <v/>
      </c>
      <c r="V9" s="79"/>
      <c r="W9" s="79"/>
      <c r="X9" s="79"/>
      <c r="Y9" s="79" t="str">
        <f aca="false">IFERROR(__xludf.dummyfunction("IF(W9="""","""",QUERY(Hallazgos!C:I,""SELECT max(H) WHERE E CONTAINS 'Activo:""&amp;W9&amp;""' LABEL max(H) ''""))"),"")</f>
        <v/>
      </c>
      <c r="Z9" s="79"/>
      <c r="AA9" s="79"/>
      <c r="AB9" s="79" t="str">
        <f aca="false">IFERROR(__xludf.dummyfunction("IF(Z9="""","""",QUERY(Hallazgos!C:I,""SELECT max(H) WHERE E CONTAINS 'Alcance:""&amp;Z9&amp;""' LABEL max(H) ''""))"),"")</f>
        <v/>
      </c>
    </row>
    <row r="10" customFormat="false" ht="15.75" hidden="false" customHeight="true" outlineLevel="0" collapsed="false">
      <c r="A10" s="77"/>
      <c r="B10" s="61"/>
      <c r="C10" s="58"/>
      <c r="D10" s="77"/>
      <c r="E10" s="80"/>
      <c r="F10" s="57" t="n">
        <f aca="false">IF(D10&gt;6.9,D10,0)</f>
        <v>0</v>
      </c>
      <c r="G10" s="57" t="n">
        <f aca="false">IF(AND(D10&lt;7,D10&gt;3.9),D10,0)</f>
        <v>0</v>
      </c>
      <c r="H10" s="57" t="n">
        <f aca="false">IF(D10&lt;4,D10,0)</f>
        <v>0</v>
      </c>
      <c r="I10" s="58"/>
      <c r="J10" s="58"/>
      <c r="K10" s="58"/>
      <c r="L10" s="58"/>
      <c r="M10" s="58"/>
      <c r="N10" s="58"/>
      <c r="O10" s="58"/>
      <c r="P10" s="79"/>
      <c r="Q10" s="79" t="n">
        <f aca="true">IFERROR(MATCH(LEFT(P10,8),INDIRECT($L$1&amp;"!A:A"),1),2)</f>
        <v>2</v>
      </c>
      <c r="R10" s="79" t="str">
        <f aca="true">IF(Q10=2,"",INDIRECT($L$1&amp;"!C"&amp;Q10))</f>
        <v/>
      </c>
      <c r="S10" s="79" t="str">
        <f aca="true">IF(Q10=2,"",INDIRECT($L$1&amp;"!D"&amp;Q10))</f>
        <v/>
      </c>
      <c r="T10" s="79" t="str">
        <f aca="true">IF(Q10=2,"",INDIRECT($L$1&amp;"!E"&amp;Q10))</f>
        <v/>
      </c>
      <c r="U10" s="79" t="str">
        <f aca="true">IF(Q10=2,"",INDIRECT($L$1&amp;"!F"&amp;Q10))</f>
        <v/>
      </c>
      <c r="V10" s="79"/>
      <c r="W10" s="79"/>
      <c r="X10" s="79"/>
      <c r="Y10" s="79" t="str">
        <f aca="false">IFERROR(__xludf.dummyfunction("IF(W10="""","""",QUERY(Hallazgos!C:I,""SELECT max(H) WHERE E CONTAINS 'Activo:""&amp;W10&amp;""' LABEL max(H) ''""))"),"")</f>
        <v/>
      </c>
      <c r="Z10" s="79"/>
      <c r="AA10" s="79"/>
      <c r="AB10" s="79" t="str">
        <f aca="false">IFERROR(__xludf.dummyfunction("IF(Z10="""","""",QUERY(Hallazgos!C:I,""SELECT max(H) WHERE E CONTAINS 'Alcance:""&amp;Z10&amp;""' LABEL max(H) ''""))"),"")</f>
        <v/>
      </c>
    </row>
    <row r="11" customFormat="false" ht="15.75" hidden="false" customHeight="true" outlineLevel="0" collapsed="false">
      <c r="A11" s="77"/>
      <c r="B11" s="61"/>
      <c r="C11" s="58"/>
      <c r="D11" s="77"/>
      <c r="E11" s="80"/>
      <c r="F11" s="57" t="n">
        <f aca="false">IF(D11&gt;6.9,D11,0)</f>
        <v>0</v>
      </c>
      <c r="G11" s="57" t="n">
        <f aca="false">IF(AND(D11&lt;7,D11&gt;3.9),D11,0)</f>
        <v>0</v>
      </c>
      <c r="H11" s="57" t="n">
        <f aca="false">IF(D11&lt;4,D11,0)</f>
        <v>0</v>
      </c>
      <c r="I11" s="58"/>
      <c r="J11" s="58"/>
      <c r="K11" s="58"/>
      <c r="L11" s="58"/>
      <c r="M11" s="58"/>
      <c r="N11" s="58"/>
      <c r="O11" s="58"/>
      <c r="P11" s="79"/>
      <c r="Q11" s="79" t="n">
        <f aca="true">IFERROR(MATCH(LEFT(P11,8),INDIRECT($L$1&amp;"!A:A"),1),2)</f>
        <v>2</v>
      </c>
      <c r="R11" s="79" t="str">
        <f aca="true">IF(Q11=2,"",INDIRECT($L$1&amp;"!C"&amp;Q11))</f>
        <v/>
      </c>
      <c r="S11" s="79" t="str">
        <f aca="true">IF(Q11=2,"",INDIRECT($L$1&amp;"!D"&amp;Q11))</f>
        <v/>
      </c>
      <c r="T11" s="79" t="str">
        <f aca="true">IF(Q11=2,"",INDIRECT($L$1&amp;"!E"&amp;Q11))</f>
        <v/>
      </c>
      <c r="U11" s="79" t="str">
        <f aca="true">IF(Q11=2,"",INDIRECT($L$1&amp;"!F"&amp;Q11))</f>
        <v/>
      </c>
      <c r="V11" s="79"/>
      <c r="W11" s="79"/>
      <c r="X11" s="79"/>
      <c r="Y11" s="79" t="str">
        <f aca="false">IFERROR(__xludf.dummyfunction("IF(W11="""","""",QUERY(Hallazgos!C:I,""SELECT max(H) WHERE E CONTAINS 'Activo:""&amp;W11&amp;""' LABEL max(H) ''""))"),"")</f>
        <v/>
      </c>
      <c r="Z11" s="79"/>
      <c r="AA11" s="79"/>
      <c r="AB11" s="79" t="str">
        <f aca="false">IFERROR(__xludf.dummyfunction("IF(Z11="""","""",QUERY(Hallazgos!C:I,""SELECT max(H) WHERE E CONTAINS 'Alcance:""&amp;Z11&amp;""' LABEL max(H) ''""))"),"")</f>
        <v/>
      </c>
    </row>
    <row r="12" customFormat="false" ht="15.75" hidden="false" customHeight="true" outlineLevel="0" collapsed="false">
      <c r="A12" s="77"/>
      <c r="B12" s="61"/>
      <c r="C12" s="58"/>
      <c r="D12" s="77"/>
      <c r="E12" s="80"/>
      <c r="F12" s="57" t="n">
        <f aca="false">IF(D12&gt;6.9,D12,0)</f>
        <v>0</v>
      </c>
      <c r="G12" s="57" t="n">
        <f aca="false">IF(AND(D12&lt;7,D12&gt;3.9),D12,0)</f>
        <v>0</v>
      </c>
      <c r="H12" s="57" t="n">
        <f aca="false">IF(D12&lt;4,D12,0)</f>
        <v>0</v>
      </c>
      <c r="I12" s="58"/>
      <c r="J12" s="58"/>
      <c r="K12" s="58"/>
      <c r="L12" s="58"/>
      <c r="M12" s="58"/>
      <c r="N12" s="58"/>
      <c r="O12" s="58"/>
      <c r="P12" s="79"/>
      <c r="Q12" s="79" t="n">
        <f aca="true">IFERROR(MATCH(LEFT(P12,8),INDIRECT($L$1&amp;"!A:A"),1),2)</f>
        <v>2</v>
      </c>
      <c r="R12" s="79" t="str">
        <f aca="true">IF(Q12=2,"",INDIRECT($L$1&amp;"!C"&amp;Q12))</f>
        <v/>
      </c>
      <c r="S12" s="79" t="str">
        <f aca="true">IF(Q12=2,"",INDIRECT($L$1&amp;"!D"&amp;Q12))</f>
        <v/>
      </c>
      <c r="T12" s="79" t="str">
        <f aca="true">IF(Q12=2,"",INDIRECT($L$1&amp;"!E"&amp;Q12))</f>
        <v/>
      </c>
      <c r="U12" s="79" t="str">
        <f aca="true">IF(Q12=2,"",INDIRECT($L$1&amp;"!F"&amp;Q12))</f>
        <v/>
      </c>
      <c r="V12" s="79"/>
      <c r="W12" s="79"/>
      <c r="X12" s="79"/>
      <c r="Y12" s="79" t="str">
        <f aca="false">IFERROR(__xludf.dummyfunction("IF(W12="""","""",QUERY(Hallazgos!C:I,""SELECT max(H) WHERE E CONTAINS 'Activo:""&amp;W12&amp;""' LABEL max(H) ''""))"),"")</f>
        <v/>
      </c>
      <c r="Z12" s="79"/>
      <c r="AA12" s="79"/>
      <c r="AB12" s="79" t="str">
        <f aca="false">IFERROR(__xludf.dummyfunction("IF(Z12="""","""",QUERY(Hallazgos!C:I,""SELECT max(H) WHERE E CONTAINS 'Alcance:""&amp;Z12&amp;""' LABEL max(H) ''""))"),"")</f>
        <v/>
      </c>
    </row>
    <row r="13" customFormat="false" ht="15.75" hidden="false" customHeight="true" outlineLevel="0" collapsed="false">
      <c r="A13" s="83"/>
      <c r="B13" s="84"/>
      <c r="C13" s="58"/>
      <c r="D13" s="77"/>
      <c r="E13" s="80"/>
      <c r="F13" s="57" t="n">
        <f aca="false">IF(D13&gt;6.9,D13,0)</f>
        <v>0</v>
      </c>
      <c r="G13" s="57" t="n">
        <f aca="false">IF(AND(D13&lt;7,D13&gt;3.9),D13,0)</f>
        <v>0</v>
      </c>
      <c r="H13" s="57" t="n">
        <f aca="false">IF(D13&lt;4,D13,0)</f>
        <v>0</v>
      </c>
      <c r="I13" s="58"/>
      <c r="J13" s="58"/>
      <c r="K13" s="58"/>
      <c r="L13" s="58" t="str">
        <f aca="false">IFERROR(__xludf.dummyfunction("IF(I13="""","""",QUERY(Hallazgos!D:I,""SELECT max(J) WHERE G CONTAINS '""&amp;I13&amp;""' LABEL max(J) ''""))"),"")</f>
        <v/>
      </c>
      <c r="M13" s="58"/>
      <c r="N13" s="58"/>
      <c r="O13" s="58"/>
      <c r="P13" s="79"/>
      <c r="Q13" s="79" t="n">
        <f aca="true">IFERROR(MATCH(LEFT(P13,8),INDIRECT($L$1&amp;"!A:A"),1),2)</f>
        <v>2</v>
      </c>
      <c r="R13" s="79" t="str">
        <f aca="true">IF(Q13=2,"",INDIRECT($L$1&amp;"!C"&amp;Q13))</f>
        <v/>
      </c>
      <c r="S13" s="79" t="str">
        <f aca="true">IF(Q13=2,"",INDIRECT($L$1&amp;"!D"&amp;Q13))</f>
        <v/>
      </c>
      <c r="T13" s="79" t="str">
        <f aca="true">IF(Q13=2,"",INDIRECT($L$1&amp;"!E"&amp;Q13))</f>
        <v/>
      </c>
      <c r="U13" s="79" t="str">
        <f aca="true">IF(Q13=2,"",INDIRECT($L$1&amp;"!F"&amp;Q13))</f>
        <v/>
      </c>
      <c r="V13" s="79"/>
      <c r="W13" s="79"/>
      <c r="X13" s="79"/>
      <c r="Y13" s="79" t="str">
        <f aca="false">IFERROR(__xludf.dummyfunction("IF(W13="""","""",QUERY(Hallazgos!C:I,""SELECT max(H) WHERE E CONTAINS 'Activo:""&amp;W13&amp;""' LABEL max(H) ''""))"),"")</f>
        <v/>
      </c>
      <c r="Z13" s="79"/>
      <c r="AA13" s="79"/>
      <c r="AB13" s="79" t="str">
        <f aca="false">IFERROR(__xludf.dummyfunction("IF(Z13="""","""",QUERY(Hallazgos!C:I,""SELECT max(H) WHERE E CONTAINS 'Alcance:""&amp;Z13&amp;""' LABEL max(H) ''""))"),"")</f>
        <v/>
      </c>
    </row>
    <row r="14" customFormat="false" ht="15.75" hidden="false" customHeight="true" outlineLevel="0" collapsed="false">
      <c r="A14" s="77"/>
      <c r="B14" s="61"/>
      <c r="C14" s="58"/>
      <c r="D14" s="77"/>
      <c r="E14" s="80"/>
      <c r="F14" s="57" t="n">
        <f aca="false">IF(D14&gt;6.9,D14,0)</f>
        <v>0</v>
      </c>
      <c r="G14" s="57" t="n">
        <f aca="false">IF(AND(D14&lt;7,D14&gt;3.9),D14,0)</f>
        <v>0</v>
      </c>
      <c r="H14" s="57" t="n">
        <f aca="false">IF(D14&lt;4,D14,0)</f>
        <v>0</v>
      </c>
      <c r="I14" s="58"/>
      <c r="J14" s="58"/>
      <c r="K14" s="58"/>
      <c r="L14" s="58" t="str">
        <f aca="false">IFERROR(__xludf.dummyfunction("IF(I14="""","""",QUERY(Hallazgos!D:I,""SELECT max(J) WHERE G CONTAINS '""&amp;I14&amp;""' LABEL max(J) ''""))"),"")</f>
        <v/>
      </c>
      <c r="M14" s="58"/>
      <c r="N14" s="58"/>
      <c r="O14" s="58"/>
      <c r="P14" s="79"/>
      <c r="Q14" s="79" t="n">
        <f aca="true">IFERROR(MATCH(LEFT(P14,8),INDIRECT($L$1&amp;"!A:A"),1),2)</f>
        <v>2</v>
      </c>
      <c r="R14" s="79" t="str">
        <f aca="true">IF(Q14=2,"",INDIRECT($L$1&amp;"!C"&amp;Q14))</f>
        <v/>
      </c>
      <c r="S14" s="79" t="str">
        <f aca="true">IF(Q14=2,"",INDIRECT($L$1&amp;"!D"&amp;Q14))</f>
        <v/>
      </c>
      <c r="T14" s="79" t="str">
        <f aca="true">IF(Q14=2,"",INDIRECT($L$1&amp;"!E"&amp;Q14))</f>
        <v/>
      </c>
      <c r="U14" s="79" t="str">
        <f aca="true">IF(Q14=2,"",INDIRECT($L$1&amp;"!F"&amp;Q14))</f>
        <v/>
      </c>
      <c r="V14" s="79"/>
      <c r="W14" s="79"/>
      <c r="X14" s="79"/>
      <c r="Y14" s="79" t="str">
        <f aca="false">IFERROR(__xludf.dummyfunction("IF(W14="""","""",QUERY(Hallazgos!C:I,""SELECT max(H) WHERE E CONTAINS 'Activo:""&amp;W14&amp;""' LABEL max(H) ''""))"),"")</f>
        <v/>
      </c>
      <c r="Z14" s="79"/>
      <c r="AA14" s="79"/>
      <c r="AB14" s="79" t="str">
        <f aca="false">IFERROR(__xludf.dummyfunction("IF(Z14="""","""",QUERY(Hallazgos!C:I,""SELECT max(H) WHERE E CONTAINS 'Alcance:""&amp;Z14&amp;""' LABEL max(H) ''""))"),"")</f>
        <v/>
      </c>
    </row>
    <row r="15" customFormat="false" ht="15.75" hidden="false" customHeight="true" outlineLevel="0" collapsed="false">
      <c r="A15" s="77"/>
      <c r="B15" s="61"/>
      <c r="C15" s="58"/>
      <c r="D15" s="77"/>
      <c r="E15" s="80"/>
      <c r="F15" s="57" t="n">
        <f aca="false">IF(D15&gt;6.9,D15,0)</f>
        <v>0</v>
      </c>
      <c r="G15" s="57" t="n">
        <f aca="false">IF(AND(D15&lt;7,D15&gt;3.9),D15,0)</f>
        <v>0</v>
      </c>
      <c r="H15" s="57" t="n">
        <f aca="false">IF(D15&lt;4,D15,0)</f>
        <v>0</v>
      </c>
      <c r="I15" s="58"/>
      <c r="J15" s="58"/>
      <c r="K15" s="58"/>
      <c r="L15" s="58" t="str">
        <f aca="false">IFERROR(__xludf.dummyfunction("IF(I15="""","""",QUERY(Hallazgos!D:I,""SELECT max(J) WHERE G CONTAINS '""&amp;I15&amp;""' LABEL max(J) ''""))"),"")</f>
        <v/>
      </c>
      <c r="M15" s="58"/>
      <c r="N15" s="58"/>
      <c r="O15" s="58"/>
      <c r="P15" s="79"/>
      <c r="Q15" s="79" t="n">
        <f aca="true">IFERROR(MATCH(LEFT(P15,8),INDIRECT($L$1&amp;"!A:A"),1),2)</f>
        <v>2</v>
      </c>
      <c r="R15" s="79" t="str">
        <f aca="true">IF(Q15=2,"",INDIRECT($L$1&amp;"!C"&amp;Q15))</f>
        <v/>
      </c>
      <c r="S15" s="79" t="str">
        <f aca="true">IF(Q15=2,"",INDIRECT($L$1&amp;"!D"&amp;Q15))</f>
        <v/>
      </c>
      <c r="T15" s="79" t="str">
        <f aca="true">IF(Q15=2,"",INDIRECT($L$1&amp;"!E"&amp;Q15))</f>
        <v/>
      </c>
      <c r="U15" s="79" t="str">
        <f aca="true">IF(Q15=2,"",INDIRECT($L$1&amp;"!F"&amp;Q15))</f>
        <v/>
      </c>
      <c r="V15" s="79"/>
      <c r="W15" s="79"/>
      <c r="X15" s="79"/>
      <c r="Y15" s="79" t="str">
        <f aca="false">IFERROR(__xludf.dummyfunction("IF(W15="""","""",QUERY(Hallazgos!C:I,""SELECT max(H) WHERE E CONTAINS 'Activo:""&amp;W15&amp;""' LABEL max(H) ''""))"),"")</f>
        <v/>
      </c>
      <c r="Z15" s="79"/>
      <c r="AA15" s="79"/>
      <c r="AB15" s="79" t="str">
        <f aca="false">IFERROR(__xludf.dummyfunction("IF(Z15="""","""",QUERY(Hallazgos!C:I,""SELECT max(H) WHERE E CONTAINS 'Alcance:""&amp;Z15&amp;""' LABEL max(H) ''""))"),"")</f>
        <v/>
      </c>
    </row>
    <row r="16" customFormat="false" ht="15.75" hidden="false" customHeight="true" outlineLevel="0" collapsed="false">
      <c r="A16" s="77"/>
      <c r="B16" s="61"/>
      <c r="C16" s="58"/>
      <c r="D16" s="77"/>
      <c r="E16" s="80"/>
      <c r="F16" s="57" t="n">
        <f aca="false">IF(D16&gt;6.9,D16,0)</f>
        <v>0</v>
      </c>
      <c r="G16" s="57" t="n">
        <f aca="false">IF(AND(D16&lt;7,D16&gt;3.9),D16,0)</f>
        <v>0</v>
      </c>
      <c r="H16" s="57" t="n">
        <f aca="false">IF(D16&lt;4,D16,0)</f>
        <v>0</v>
      </c>
      <c r="I16" s="58"/>
      <c r="J16" s="58"/>
      <c r="K16" s="58"/>
      <c r="L16" s="58" t="str">
        <f aca="false">IFERROR(__xludf.dummyfunction("IF(I16="""","""",QUERY(Hallazgos!D:I,""SELECT max(J) WHERE G CONTAINS '""&amp;I16&amp;""' LABEL max(J) ''""))"),"")</f>
        <v/>
      </c>
      <c r="M16" s="58"/>
      <c r="N16" s="58"/>
      <c r="O16" s="58"/>
      <c r="P16" s="79"/>
      <c r="Q16" s="79" t="n">
        <f aca="true">IFERROR(MATCH(LEFT(P16,8),INDIRECT($L$1&amp;"!A:A"),1),2)</f>
        <v>2</v>
      </c>
      <c r="R16" s="79" t="str">
        <f aca="true">IF(Q16=2,"",INDIRECT($L$1&amp;"!C"&amp;Q16))</f>
        <v/>
      </c>
      <c r="S16" s="79" t="str">
        <f aca="true">IF(Q16=2,"",INDIRECT($L$1&amp;"!D"&amp;Q16))</f>
        <v/>
      </c>
      <c r="T16" s="79" t="str">
        <f aca="true">IF(Q16=2,"",INDIRECT($L$1&amp;"!E"&amp;Q16))</f>
        <v/>
      </c>
      <c r="U16" s="79" t="str">
        <f aca="true">IF(Q16=2,"",INDIRECT($L$1&amp;"!F"&amp;Q16))</f>
        <v/>
      </c>
      <c r="V16" s="79"/>
      <c r="W16" s="79"/>
      <c r="X16" s="79"/>
      <c r="Y16" s="79" t="str">
        <f aca="false">IFERROR(__xludf.dummyfunction("IF(W16="""","""",QUERY(Hallazgos!C:I,""SELECT max(H) WHERE E CONTAINS 'Activo:""&amp;W16&amp;""' LABEL max(H) ''""))"),"")</f>
        <v/>
      </c>
      <c r="Z16" s="79"/>
      <c r="AA16" s="79"/>
      <c r="AB16" s="79" t="str">
        <f aca="false">IFERROR(__xludf.dummyfunction("IF(Z16="""","""",QUERY(Hallazgos!C:I,""SELECT max(H) WHERE E CONTAINS 'Alcance:""&amp;Z16&amp;""' LABEL max(H) ''""))"),"")</f>
        <v/>
      </c>
    </row>
    <row r="17" customFormat="false" ht="15.75" hidden="false" customHeight="true" outlineLevel="0" collapsed="false">
      <c r="A17" s="77"/>
      <c r="B17" s="61"/>
      <c r="C17" s="58"/>
      <c r="D17" s="77"/>
      <c r="E17" s="80"/>
      <c r="F17" s="57" t="n">
        <f aca="false">IF(D17&gt;6.9,D17,0)</f>
        <v>0</v>
      </c>
      <c r="G17" s="57" t="n">
        <f aca="false">IF(AND(D17&lt;7,D17&gt;3.9),D17,0)</f>
        <v>0</v>
      </c>
      <c r="H17" s="57" t="n">
        <f aca="false">IF(D17&lt;4,D17,0)</f>
        <v>0</v>
      </c>
      <c r="I17" s="58"/>
      <c r="J17" s="58"/>
      <c r="K17" s="58"/>
      <c r="L17" s="58" t="str">
        <f aca="false">IFERROR(__xludf.dummyfunction("IF(I17="""","""",QUERY(Hallazgos!D:I,""SELECT max(J) WHERE G CONTAINS '""&amp;I17&amp;""' LABEL max(J) ''""))"),"")</f>
        <v/>
      </c>
      <c r="M17" s="58"/>
      <c r="N17" s="58"/>
      <c r="O17" s="58"/>
      <c r="P17" s="79"/>
      <c r="Q17" s="79" t="n">
        <f aca="true">IFERROR(MATCH(LEFT(P17,8),INDIRECT($L$1&amp;"!A:A"),1),2)</f>
        <v>2</v>
      </c>
      <c r="R17" s="79" t="str">
        <f aca="true">IF(Q17=2,"",INDIRECT($L$1&amp;"!C"&amp;Q17))</f>
        <v/>
      </c>
      <c r="S17" s="79" t="str">
        <f aca="true">IF(Q17=2,"",INDIRECT($L$1&amp;"!D"&amp;Q17))</f>
        <v/>
      </c>
      <c r="T17" s="79" t="str">
        <f aca="true">IF(Q17=2,"",INDIRECT($L$1&amp;"!E"&amp;Q17))</f>
        <v/>
      </c>
      <c r="U17" s="79" t="str">
        <f aca="true">IF(Q17=2,"",INDIRECT($L$1&amp;"!F"&amp;Q17))</f>
        <v/>
      </c>
      <c r="V17" s="79"/>
      <c r="W17" s="79"/>
      <c r="X17" s="79"/>
      <c r="Y17" s="79" t="str">
        <f aca="false">IFERROR(__xludf.dummyfunction("IF(W17="""","""",QUERY(Hallazgos!C:I,""SELECT max(H) WHERE E CONTAINS 'Activo:""&amp;W17&amp;""' LABEL max(H) ''""))"),"")</f>
        <v/>
      </c>
      <c r="Z17" s="79"/>
      <c r="AA17" s="79"/>
      <c r="AB17" s="79" t="str">
        <f aca="false">IFERROR(__xludf.dummyfunction("IF(Z17="""","""",QUERY(Hallazgos!C:I,""SELECT max(H) WHERE E CONTAINS 'Alcance:""&amp;Z17&amp;""' LABEL max(H) ''""))"),"")</f>
        <v/>
      </c>
    </row>
    <row r="18" customFormat="false" ht="15.75" hidden="false" customHeight="true" outlineLevel="0" collapsed="false">
      <c r="A18" s="77"/>
      <c r="B18" s="61"/>
      <c r="C18" s="58"/>
      <c r="D18" s="77"/>
      <c r="E18" s="80"/>
      <c r="F18" s="57" t="n">
        <f aca="false">IF(D18&gt;6.9,D18,0)</f>
        <v>0</v>
      </c>
      <c r="G18" s="57" t="n">
        <f aca="false">IF(AND(D18&lt;7,D18&gt;3.9),D18,0)</f>
        <v>0</v>
      </c>
      <c r="H18" s="57" t="n">
        <f aca="false">IF(D18&lt;4,D18,0)</f>
        <v>0</v>
      </c>
      <c r="I18" s="58"/>
      <c r="J18" s="58"/>
      <c r="K18" s="58"/>
      <c r="L18" s="58" t="str">
        <f aca="false">IFERROR(__xludf.dummyfunction("IF(I18="""","""",QUERY(Hallazgos!D:I,""SELECT max(J) WHERE G CONTAINS '""&amp;I18&amp;""' LABEL max(J) ''""))"),"")</f>
        <v/>
      </c>
      <c r="M18" s="58"/>
      <c r="N18" s="58"/>
      <c r="O18" s="58"/>
      <c r="P18" s="79"/>
      <c r="Q18" s="79" t="n">
        <f aca="true">IFERROR(MATCH(LEFT(P18,8),INDIRECT($L$1&amp;"!A:A"),1),2)</f>
        <v>2</v>
      </c>
      <c r="R18" s="79" t="str">
        <f aca="true">IF(Q18=2,"",INDIRECT($L$1&amp;"!C"&amp;Q18))</f>
        <v/>
      </c>
      <c r="S18" s="79" t="str">
        <f aca="true">IF(Q18=2,"",INDIRECT($L$1&amp;"!D"&amp;Q18))</f>
        <v/>
      </c>
      <c r="T18" s="79" t="str">
        <f aca="true">IF(Q18=2,"",INDIRECT($L$1&amp;"!E"&amp;Q18))</f>
        <v/>
      </c>
      <c r="U18" s="79" t="str">
        <f aca="true">IF(Q18=2,"",INDIRECT($L$1&amp;"!F"&amp;Q18))</f>
        <v/>
      </c>
      <c r="V18" s="79"/>
      <c r="W18" s="79"/>
      <c r="X18" s="79"/>
      <c r="Y18" s="79" t="str">
        <f aca="false">IFERROR(__xludf.dummyfunction("IF(W18="""","""",QUERY(Hallazgos!C:I,""SELECT max(H) WHERE E CONTAINS 'Activo:""&amp;W18&amp;""' LABEL max(H) ''""))"),"")</f>
        <v/>
      </c>
      <c r="Z18" s="79"/>
      <c r="AA18" s="79"/>
      <c r="AB18" s="79" t="str">
        <f aca="false">IFERROR(__xludf.dummyfunction("IF(Z18="""","""",QUERY(Hallazgos!C:I,""SELECT max(H) WHERE E CONTAINS 'Alcance:""&amp;Z18&amp;""' LABEL max(H) ''""))"),"")</f>
        <v/>
      </c>
    </row>
    <row r="19" customFormat="false" ht="15.75" hidden="false" customHeight="true" outlineLevel="0" collapsed="false">
      <c r="A19" s="77"/>
      <c r="B19" s="61"/>
      <c r="C19" s="58"/>
      <c r="D19" s="77"/>
      <c r="E19" s="80"/>
      <c r="F19" s="57" t="n">
        <f aca="false">IF(D19&gt;6.9,D19,0)</f>
        <v>0</v>
      </c>
      <c r="G19" s="57" t="n">
        <f aca="false">IF(AND(D19&lt;7,D19&gt;3.9),D19,0)</f>
        <v>0</v>
      </c>
      <c r="H19" s="57" t="n">
        <f aca="false">IF(D19&lt;4,D19,0)</f>
        <v>0</v>
      </c>
      <c r="I19" s="58"/>
      <c r="J19" s="58"/>
      <c r="K19" s="58"/>
      <c r="L19" s="58" t="str">
        <f aca="false">IFERROR(__xludf.dummyfunction("IF(I19="""","""",QUERY(Hallazgos!D:I,""SELECT max(J) WHERE G CONTAINS '""&amp;I19&amp;""' LABEL max(J) ''""))"),"")</f>
        <v/>
      </c>
      <c r="M19" s="58"/>
      <c r="N19" s="58"/>
      <c r="O19" s="58"/>
      <c r="P19" s="79"/>
      <c r="Q19" s="79" t="n">
        <f aca="true">IFERROR(MATCH(LEFT(P19,8),INDIRECT($L$1&amp;"!A:A"),1),2)</f>
        <v>2</v>
      </c>
      <c r="R19" s="79" t="str">
        <f aca="true">IF(Q19=2,"",INDIRECT($L$1&amp;"!C"&amp;Q19))</f>
        <v/>
      </c>
      <c r="S19" s="79" t="str">
        <f aca="true">IF(Q19=2,"",INDIRECT($L$1&amp;"!D"&amp;Q19))</f>
        <v/>
      </c>
      <c r="T19" s="79" t="str">
        <f aca="true">IF(Q19=2,"",INDIRECT($L$1&amp;"!E"&amp;Q19))</f>
        <v/>
      </c>
      <c r="U19" s="79" t="str">
        <f aca="true">IF(Q19=2,"",INDIRECT($L$1&amp;"!F"&amp;Q19))</f>
        <v/>
      </c>
      <c r="V19" s="79"/>
      <c r="W19" s="79"/>
      <c r="X19" s="79"/>
      <c r="Y19" s="79" t="str">
        <f aca="false">IFERROR(__xludf.dummyfunction("IF(W19="""","""",QUERY(Hallazgos!C:I,""SELECT max(H) WHERE E CONTAINS 'Activo:""&amp;W19&amp;""' LABEL max(H) ''""))"),"")</f>
        <v/>
      </c>
      <c r="Z19" s="79"/>
      <c r="AA19" s="79"/>
      <c r="AB19" s="79" t="str">
        <f aca="false">IFERROR(__xludf.dummyfunction("IF(Z19="""","""",QUERY(Hallazgos!C:I,""SELECT max(H) WHERE E CONTAINS 'Alcance:""&amp;Z19&amp;""' LABEL max(H) ''""))"),"")</f>
        <v/>
      </c>
    </row>
    <row r="20" customFormat="false" ht="15.75" hidden="false" customHeight="true" outlineLevel="0" collapsed="false">
      <c r="A20" s="77"/>
      <c r="B20" s="61"/>
      <c r="C20" s="58"/>
      <c r="D20" s="77"/>
      <c r="E20" s="80"/>
      <c r="F20" s="57" t="n">
        <f aca="false">IF(D20&gt;6.9,D20,0)</f>
        <v>0</v>
      </c>
      <c r="G20" s="57" t="n">
        <f aca="false">IF(AND(D20&lt;7,D20&gt;3.9),D20,0)</f>
        <v>0</v>
      </c>
      <c r="H20" s="57" t="n">
        <f aca="false">IF(D20&lt;4,D20,0)</f>
        <v>0</v>
      </c>
      <c r="I20" s="58"/>
      <c r="J20" s="58"/>
      <c r="K20" s="58"/>
      <c r="L20" s="58" t="str">
        <f aca="false">IFERROR(__xludf.dummyfunction("IF(I20="""","""",QUERY(Hallazgos!D:I,""SELECT max(J) WHERE G CONTAINS '""&amp;I20&amp;""' LABEL max(J) ''""))"),"")</f>
        <v/>
      </c>
      <c r="M20" s="58"/>
      <c r="N20" s="58"/>
      <c r="O20" s="58"/>
      <c r="P20" s="79"/>
      <c r="Q20" s="79" t="n">
        <f aca="true">IFERROR(MATCH(LEFT(P20,8),INDIRECT($L$1&amp;"!A:A"),1),2)</f>
        <v>2</v>
      </c>
      <c r="R20" s="79" t="str">
        <f aca="true">IF(Q20=2,"",INDIRECT($L$1&amp;"!C"&amp;Q20))</f>
        <v/>
      </c>
      <c r="S20" s="79" t="str">
        <f aca="true">IF(Q20=2,"",INDIRECT($L$1&amp;"!D"&amp;Q20))</f>
        <v/>
      </c>
      <c r="T20" s="79" t="str">
        <f aca="true">IF(Q20=2,"",INDIRECT($L$1&amp;"!E"&amp;Q20))</f>
        <v/>
      </c>
      <c r="U20" s="79" t="str">
        <f aca="true">IF(Q20=2,"",INDIRECT($L$1&amp;"!F"&amp;Q20))</f>
        <v/>
      </c>
      <c r="V20" s="79"/>
      <c r="W20" s="79"/>
      <c r="X20" s="79"/>
      <c r="Y20" s="79" t="str">
        <f aca="false">IFERROR(__xludf.dummyfunction("IF(W20="""","""",QUERY(Hallazgos!C:I,""SELECT max(H) WHERE E CONTAINS 'Activo:""&amp;W20&amp;""' LABEL max(H) ''""))"),"")</f>
        <v/>
      </c>
      <c r="Z20" s="79"/>
      <c r="AA20" s="79"/>
      <c r="AB20" s="79" t="str">
        <f aca="false">IFERROR(__xludf.dummyfunction("IF(Z20="""","""",QUERY(Hallazgos!C:I,""SELECT max(H) WHERE E CONTAINS 'Alcance:""&amp;Z20&amp;""' LABEL max(H) ''""))"),"")</f>
        <v/>
      </c>
    </row>
    <row r="21" customFormat="false" ht="15.75" hidden="false" customHeight="true" outlineLevel="0" collapsed="false">
      <c r="A21" s="77"/>
      <c r="B21" s="61"/>
      <c r="C21" s="58"/>
      <c r="D21" s="77"/>
      <c r="E21" s="80"/>
      <c r="F21" s="57" t="n">
        <f aca="false">IF(D21&gt;6.9,D21,0)</f>
        <v>0</v>
      </c>
      <c r="G21" s="57" t="n">
        <f aca="false">IF(AND(D21&lt;7,D21&gt;3.9),D21,0)</f>
        <v>0</v>
      </c>
      <c r="H21" s="57" t="n">
        <f aca="false">IF(D21&lt;4,D21,0)</f>
        <v>0</v>
      </c>
      <c r="I21" s="58"/>
      <c r="J21" s="58"/>
      <c r="K21" s="58"/>
      <c r="L21" s="58" t="str">
        <f aca="false">IFERROR(__xludf.dummyfunction("IF(I21="""","""",QUERY(Hallazgos!D:I,""SELECT max(J) WHERE G CONTAINS '""&amp;I21&amp;""' LABEL max(J) ''""))"),"")</f>
        <v/>
      </c>
      <c r="M21" s="58"/>
      <c r="N21" s="58"/>
      <c r="O21" s="58"/>
      <c r="P21" s="79"/>
      <c r="Q21" s="79" t="n">
        <f aca="true">IFERROR(MATCH(LEFT(P21,8),INDIRECT($L$1&amp;"!A:A"),1),2)</f>
        <v>2</v>
      </c>
      <c r="R21" s="79" t="str">
        <f aca="true">IF(Q21=2,"",INDIRECT($L$1&amp;"!C"&amp;Q21))</f>
        <v/>
      </c>
      <c r="S21" s="79" t="str">
        <f aca="true">IF(Q21=2,"",INDIRECT($L$1&amp;"!D"&amp;Q21))</f>
        <v/>
      </c>
      <c r="T21" s="79" t="str">
        <f aca="true">IF(Q21=2,"",INDIRECT($L$1&amp;"!E"&amp;Q21))</f>
        <v/>
      </c>
      <c r="U21" s="79" t="str">
        <f aca="true">IF(Q21=2,"",INDIRECT($L$1&amp;"!F"&amp;Q21))</f>
        <v/>
      </c>
      <c r="V21" s="79"/>
      <c r="W21" s="79"/>
      <c r="X21" s="79"/>
      <c r="Y21" s="79" t="str">
        <f aca="false">IFERROR(__xludf.dummyfunction("IF(W21="""","""",QUERY(Hallazgos!C:I,""SELECT max(H) WHERE E CONTAINS 'Activo:""&amp;W21&amp;""' LABEL max(H) ''""))"),"")</f>
        <v/>
      </c>
      <c r="Z21" s="79"/>
      <c r="AA21" s="79"/>
      <c r="AB21" s="79" t="str">
        <f aca="false">IFERROR(__xludf.dummyfunction("IF(Z21="""","""",QUERY(Hallazgos!C:I,""SELECT max(H) WHERE E CONTAINS 'Alcance:""&amp;Z21&amp;""' LABEL max(H) ''""))"),"")</f>
        <v/>
      </c>
    </row>
    <row r="22" customFormat="false" ht="15.75" hidden="false" customHeight="true" outlineLevel="0" collapsed="false">
      <c r="A22" s="77"/>
      <c r="B22" s="61"/>
      <c r="C22" s="58"/>
      <c r="D22" s="77"/>
      <c r="E22" s="80"/>
      <c r="F22" s="57" t="n">
        <f aca="false">IF(D22&gt;6.9,D22,0)</f>
        <v>0</v>
      </c>
      <c r="G22" s="57" t="n">
        <f aca="false">IF(AND(D22&lt;7,D22&gt;3.9),D22,0)</f>
        <v>0</v>
      </c>
      <c r="H22" s="57" t="n">
        <f aca="false">IF(D22&lt;4,D22,0)</f>
        <v>0</v>
      </c>
      <c r="I22" s="58"/>
      <c r="J22" s="58"/>
      <c r="K22" s="58"/>
      <c r="L22" s="58" t="str">
        <f aca="false">IFERROR(__xludf.dummyfunction("IF(I22="""","""",QUERY(Hallazgos!D:I,""SELECT max(J) WHERE G CONTAINS '""&amp;I22&amp;""' LABEL max(J) ''""))"),"")</f>
        <v/>
      </c>
      <c r="M22" s="58"/>
      <c r="N22" s="58"/>
      <c r="O22" s="58"/>
      <c r="P22" s="79"/>
      <c r="Q22" s="79" t="n">
        <f aca="true">IFERROR(MATCH(LEFT(P22,8),INDIRECT($L$1&amp;"!A:A"),1),2)</f>
        <v>2</v>
      </c>
      <c r="R22" s="79" t="str">
        <f aca="true">IF(Q22=2,"",INDIRECT($L$1&amp;"!C"&amp;Q22))</f>
        <v/>
      </c>
      <c r="S22" s="79" t="str">
        <f aca="true">IF(Q22=2,"",INDIRECT($L$1&amp;"!D"&amp;Q22))</f>
        <v/>
      </c>
      <c r="T22" s="79" t="str">
        <f aca="true">IF(Q22=2,"",INDIRECT($L$1&amp;"!E"&amp;Q22))</f>
        <v/>
      </c>
      <c r="U22" s="79" t="str">
        <f aca="true">IF(Q22=2,"",INDIRECT($L$1&amp;"!F"&amp;Q22))</f>
        <v/>
      </c>
      <c r="V22" s="79"/>
      <c r="W22" s="79"/>
      <c r="X22" s="79"/>
      <c r="Y22" s="79" t="str">
        <f aca="false">IFERROR(__xludf.dummyfunction("IF(W22="""","""",QUERY(Hallazgos!C:I,""SELECT max(H) WHERE E CONTAINS 'Activo:""&amp;W22&amp;""' LABEL max(H) ''""))"),"")</f>
        <v/>
      </c>
      <c r="Z22" s="79"/>
      <c r="AA22" s="79"/>
      <c r="AB22" s="79" t="str">
        <f aca="false">IFERROR(__xludf.dummyfunction("IF(Z22="""","""",QUERY(Hallazgos!C:I,""SELECT max(H) WHERE E CONTAINS 'Alcance:""&amp;Z22&amp;""' LABEL max(H) ''""))"),"")</f>
        <v/>
      </c>
    </row>
    <row r="23" customFormat="false" ht="15.75" hidden="false" customHeight="true" outlineLevel="0" collapsed="false">
      <c r="A23" s="77"/>
      <c r="B23" s="61"/>
      <c r="C23" s="58"/>
      <c r="D23" s="77"/>
      <c r="E23" s="80"/>
      <c r="F23" s="79"/>
      <c r="G23" s="58" t="str">
        <f aca="false">LEFT(F23,3)</f>
        <v/>
      </c>
      <c r="H23" s="58" t="str">
        <f aca="false">LEFT(F23,3)</f>
        <v/>
      </c>
      <c r="I23" s="58"/>
      <c r="J23" s="58"/>
      <c r="K23" s="58"/>
      <c r="L23" s="58" t="str">
        <f aca="false">IFERROR(__xludf.dummyfunction("IF(I23="""","""",QUERY(Hallazgos!D:I,""SELECT max(J) WHERE G CONTAINS '""&amp;I23&amp;""' LABEL max(J) ''""))"),"")</f>
        <v/>
      </c>
      <c r="M23" s="58"/>
      <c r="N23" s="58"/>
      <c r="O23" s="58"/>
      <c r="P23" s="79"/>
      <c r="Q23" s="79" t="n">
        <f aca="true">IFERROR(MATCH(LEFT(P23,8),INDIRECT($L$1&amp;"!A:A"),1),2)</f>
        <v>2</v>
      </c>
      <c r="R23" s="79" t="str">
        <f aca="true">IF(Q23=2,"",INDIRECT($L$1&amp;"!C"&amp;Q23))</f>
        <v/>
      </c>
      <c r="S23" s="79" t="str">
        <f aca="true">IF(Q23=2,"",INDIRECT($L$1&amp;"!D"&amp;Q23))</f>
        <v/>
      </c>
      <c r="T23" s="79" t="str">
        <f aca="true">IF(Q23=2,"",INDIRECT($L$1&amp;"!E"&amp;Q23))</f>
        <v/>
      </c>
      <c r="U23" s="79" t="str">
        <f aca="true">IF(Q23=2,"",INDIRECT($L$1&amp;"!F"&amp;Q23))</f>
        <v/>
      </c>
      <c r="V23" s="79"/>
      <c r="W23" s="79"/>
      <c r="X23" s="79"/>
      <c r="Y23" s="79" t="str">
        <f aca="false">IFERROR(__xludf.dummyfunction("IF(W23="""","""",QUERY(Hallazgos!C:I,""SELECT max(H) WHERE E CONTAINS 'Activo:""&amp;W23&amp;""' LABEL max(H) ''""))"),"")</f>
        <v/>
      </c>
      <c r="Z23" s="79"/>
      <c r="AA23" s="79"/>
      <c r="AB23" s="79" t="str">
        <f aca="false">IFERROR(__xludf.dummyfunction("IF(Z23="""","""",QUERY(Hallazgos!C:I,""SELECT max(H) WHERE E CONTAINS 'Alcance:""&amp;Z23&amp;""' LABEL max(H) ''""))"),"")</f>
        <v/>
      </c>
    </row>
    <row r="24" customFormat="false" ht="15.75" hidden="false" customHeight="true" outlineLevel="0" collapsed="false">
      <c r="A24" s="77" t="s">
        <v>937</v>
      </c>
      <c r="B24" s="78" t="s">
        <v>927</v>
      </c>
      <c r="C24" s="58"/>
      <c r="D24" s="77" t="s">
        <v>928</v>
      </c>
      <c r="E24" s="77" t="s">
        <v>937</v>
      </c>
      <c r="F24" s="61" t="s">
        <v>929</v>
      </c>
      <c r="G24" s="61" t="s">
        <v>930</v>
      </c>
      <c r="H24" s="61" t="s">
        <v>931</v>
      </c>
      <c r="I24" s="58"/>
      <c r="J24" s="58"/>
      <c r="K24" s="58"/>
      <c r="L24" s="58" t="str">
        <f aca="false">IFERROR(__xludf.dummyfunction("IF(I24="""","""",QUERY(Hallazgos!D:I,""SELECT max(J) WHERE G CONTAINS '""&amp;I24&amp;""' LABEL max(J) ''""))"),"")</f>
        <v/>
      </c>
      <c r="M24" s="58"/>
      <c r="N24" s="58"/>
      <c r="O24" s="58"/>
      <c r="P24" s="79"/>
      <c r="Q24" s="79" t="n">
        <f aca="true">IFERROR(MATCH(LEFT(P24,8),INDIRECT($L$1&amp;"!A:A"),1),2)</f>
        <v>2</v>
      </c>
      <c r="R24" s="79" t="str">
        <f aca="true">IF(Q24=2,"",INDIRECT($L$1&amp;"!C"&amp;Q24))</f>
        <v/>
      </c>
      <c r="S24" s="79" t="str">
        <f aca="true">IF(Q24=2,"",INDIRECT($L$1&amp;"!D"&amp;Q24))</f>
        <v/>
      </c>
      <c r="T24" s="79" t="str">
        <f aca="true">IF(Q24=2,"",INDIRECT($L$1&amp;"!E"&amp;Q24))</f>
        <v/>
      </c>
      <c r="U24" s="79" t="str">
        <f aca="true">IF(Q24=2,"",INDIRECT($L$1&amp;"!F"&amp;Q24))</f>
        <v/>
      </c>
      <c r="V24" s="79"/>
      <c r="W24" s="79"/>
      <c r="X24" s="79"/>
      <c r="Y24" s="79" t="str">
        <f aca="false">IFERROR(__xludf.dummyfunction("IF(W24="""","""",QUERY(Hallazgos!C:I,""SELECT max(H) WHERE E CONTAINS 'Activo:""&amp;W24&amp;""' LABEL max(H) ''""))"),"")</f>
        <v/>
      </c>
      <c r="Z24" s="79"/>
      <c r="AA24" s="79"/>
      <c r="AB24" s="79" t="str">
        <f aca="false">IFERROR(__xludf.dummyfunction("IF(Z24="""","""",QUERY(Hallazgos!C:I,""SELECT max(H) WHERE E CONTAINS 'Alcance:""&amp;Z24&amp;""' LABEL max(H) ''""))"),"")</f>
        <v/>
      </c>
    </row>
    <row r="25" customFormat="false" ht="15.75" hidden="false" customHeight="true" outlineLevel="0" collapsed="false">
      <c r="A25" s="77" t="str">
        <f aca="false">IFERROR(__xludf.dummyfunction("QUERY(W:X,""SELECT W, X WHERE W &lt;&gt;'' ORDER BY X DESC"")"),"#REF!")</f>
        <v>#REF!</v>
      </c>
      <c r="B25" s="61" t="n">
        <v>1</v>
      </c>
      <c r="C25" s="58"/>
      <c r="D25" s="77" t="str">
        <f aca="false">IFERROR(__xludf.dummyfunction("QUERY(W:Y,""SELECT Y, W WHERE W&lt;&gt;'' ORDER BY Y DESC"")"),"#REF!")</f>
        <v>#REF!</v>
      </c>
      <c r="E25" s="80" t="s">
        <v>14</v>
      </c>
      <c r="F25" s="57" t="str">
        <f aca="false">IF(D25&gt;6.9,D25,0)</f>
        <v>#REF!</v>
      </c>
      <c r="G25" s="57" t="n">
        <f aca="false">IF(AND(D25&lt;7,D25&gt;3.9),D25,0)</f>
        <v>0</v>
      </c>
      <c r="H25" s="57" t="n">
        <f aca="false">IF(D25&lt;4,D25,0)</f>
        <v>0</v>
      </c>
      <c r="I25" s="58"/>
      <c r="J25" s="58"/>
      <c r="K25" s="58"/>
      <c r="L25" s="58" t="str">
        <f aca="false">IFERROR(__xludf.dummyfunction("IF(I25="""","""",QUERY(Hallazgos!D:I,""SELECT max(J) WHERE G CONTAINS '""&amp;I25&amp;""' LABEL max(J) ''""))"),"")</f>
        <v/>
      </c>
      <c r="M25" s="58"/>
      <c r="N25" s="58"/>
      <c r="O25" s="58"/>
      <c r="P25" s="79"/>
      <c r="Q25" s="79" t="n">
        <f aca="true">IFERROR(MATCH(LEFT(P25,8),INDIRECT($L$1&amp;"!A:A"),1),2)</f>
        <v>2</v>
      </c>
      <c r="R25" s="79" t="str">
        <f aca="true">IF(Q25=2,"",INDIRECT($L$1&amp;"!C"&amp;Q25))</f>
        <v/>
      </c>
      <c r="S25" s="79" t="str">
        <f aca="true">IF(Q25=2,"",INDIRECT($L$1&amp;"!D"&amp;Q25))</f>
        <v/>
      </c>
      <c r="T25" s="79" t="str">
        <f aca="true">IF(Q25=2,"",INDIRECT($L$1&amp;"!E"&amp;Q25))</f>
        <v/>
      </c>
      <c r="U25" s="79" t="str">
        <f aca="true">IF(Q25=2,"",INDIRECT($L$1&amp;"!F"&amp;Q25))</f>
        <v/>
      </c>
      <c r="V25" s="79"/>
      <c r="W25" s="79"/>
      <c r="X25" s="79"/>
      <c r="Y25" s="79" t="str">
        <f aca="false">IFERROR(__xludf.dummyfunction("IF(W25="""","""",QUERY(Hallazgos!C:I,""SELECT max(H) WHERE E CONTAINS 'Activo:""&amp;W25&amp;""' LABEL max(H) ''""))"),"")</f>
        <v/>
      </c>
      <c r="Z25" s="79"/>
      <c r="AA25" s="79"/>
      <c r="AB25" s="79" t="str">
        <f aca="false">IFERROR(__xludf.dummyfunction("IF(Z25="""","""",QUERY(Hallazgos!C:I,""SELECT max(H) WHERE E CONTAINS 'Alcance:""&amp;Z25&amp;""' LABEL max(H) ''""))"),"")</f>
        <v/>
      </c>
    </row>
    <row r="26" customFormat="false" ht="15.75" hidden="false" customHeight="true" outlineLevel="0" collapsed="false">
      <c r="A26" s="77" t="s">
        <v>95</v>
      </c>
      <c r="B26" s="61" t="n">
        <v>1</v>
      </c>
      <c r="C26" s="58"/>
      <c r="D26" s="77" t="n">
        <v>10</v>
      </c>
      <c r="E26" s="80" t="s">
        <v>95</v>
      </c>
      <c r="F26" s="57" t="n">
        <f aca="false">IF(D26&gt;6.9,D26,0)</f>
        <v>10</v>
      </c>
      <c r="G26" s="57" t="n">
        <f aca="false">IF(AND(D26&lt;7,D26&gt;3.9),D26,0)</f>
        <v>0</v>
      </c>
      <c r="H26" s="57" t="n">
        <f aca="false">IF(D26&lt;4,D26,0)</f>
        <v>0</v>
      </c>
      <c r="I26" s="58"/>
      <c r="J26" s="58"/>
      <c r="K26" s="58"/>
      <c r="L26" s="58"/>
      <c r="M26" s="58"/>
      <c r="N26" s="58"/>
      <c r="O26" s="58"/>
      <c r="P26" s="79"/>
      <c r="Q26" s="79" t="n">
        <f aca="true">IFERROR(MATCH(LEFT(P26,8),INDIRECT($L$1&amp;"!A:A"),1),2)</f>
        <v>2</v>
      </c>
      <c r="R26" s="79" t="str">
        <f aca="true">IF(Q26=2,"",INDIRECT($L$1&amp;"!C"&amp;Q26))</f>
        <v/>
      </c>
      <c r="S26" s="79" t="str">
        <f aca="true">IF(Q26=2,"",INDIRECT($L$1&amp;"!D"&amp;Q26))</f>
        <v/>
      </c>
      <c r="T26" s="79" t="str">
        <f aca="true">IF(Q26=2,"",INDIRECT($L$1&amp;"!E"&amp;Q26))</f>
        <v/>
      </c>
      <c r="U26" s="79" t="str">
        <f aca="true">IF(Q26=2,"",INDIRECT($L$1&amp;"!F"&amp;Q26))</f>
        <v/>
      </c>
      <c r="V26" s="79"/>
      <c r="W26" s="79"/>
      <c r="X26" s="79"/>
      <c r="Y26" s="79" t="str">
        <f aca="false">IFERROR(__xludf.dummyfunction("IF(W26="""","""",QUERY(Hallazgos!C:I,""SELECT max(H) WHERE E CONTAINS 'Activo:""&amp;W26&amp;""' LABEL max(H) ''""))"),"")</f>
        <v/>
      </c>
      <c r="Z26" s="79"/>
      <c r="AA26" s="79"/>
      <c r="AB26" s="79" t="str">
        <f aca="false">IFERROR(__xludf.dummyfunction("IF(Z26="""","""",QUERY(Hallazgos!C:I,""SELECT max(H) WHERE E CONTAINS 'Alcance:""&amp;Z26&amp;""' LABEL max(H) ''""))"),"")</f>
        <v/>
      </c>
    </row>
    <row r="27" customFormat="false" ht="15.75" hidden="false" customHeight="true" outlineLevel="0" collapsed="false">
      <c r="A27" s="77" t="s">
        <v>189</v>
      </c>
      <c r="B27" s="61" t="n">
        <v>1</v>
      </c>
      <c r="C27" s="58"/>
      <c r="D27" s="77" t="n">
        <v>10</v>
      </c>
      <c r="E27" s="80" t="s">
        <v>189</v>
      </c>
      <c r="F27" s="57" t="n">
        <f aca="false">IF(D27&gt;6.9,D27,0)</f>
        <v>10</v>
      </c>
      <c r="G27" s="57" t="n">
        <f aca="false">IF(AND(D27&lt;7,D27&gt;3.9),D27,0)</f>
        <v>0</v>
      </c>
      <c r="H27" s="57" t="n">
        <f aca="false">IF(D27&lt;4,D27,0)</f>
        <v>0</v>
      </c>
      <c r="I27" s="58"/>
      <c r="J27" s="58"/>
      <c r="K27" s="58"/>
      <c r="L27" s="58"/>
      <c r="M27" s="58"/>
      <c r="N27" s="58"/>
      <c r="O27" s="58"/>
      <c r="P27" s="79"/>
      <c r="Q27" s="79" t="n">
        <f aca="true">IFERROR(MATCH(LEFT(P27,8),INDIRECT($L$1&amp;"!A:A"),1),2)</f>
        <v>2</v>
      </c>
      <c r="R27" s="79" t="str">
        <f aca="true">IF(Q27=2,"",INDIRECT($L$1&amp;"!C"&amp;Q27))</f>
        <v/>
      </c>
      <c r="S27" s="79" t="str">
        <f aca="true">IF(Q27=2,"",INDIRECT($L$1&amp;"!D"&amp;Q27))</f>
        <v/>
      </c>
      <c r="T27" s="79" t="str">
        <f aca="true">IF(Q27=2,"",INDIRECT($L$1&amp;"!E"&amp;Q27))</f>
        <v/>
      </c>
      <c r="U27" s="79" t="str">
        <f aca="true">IF(Q27=2,"",INDIRECT($L$1&amp;"!F"&amp;Q27))</f>
        <v/>
      </c>
      <c r="V27" s="79"/>
      <c r="W27" s="79"/>
      <c r="X27" s="79"/>
      <c r="Y27" s="79" t="str">
        <f aca="false">IFERROR(__xludf.dummyfunction("IF(W27="""","""",QUERY(Hallazgos!C:I,""SELECT max(H) WHERE E CONTAINS 'Activo:""&amp;W27&amp;""' LABEL max(H) ''""))"),"")</f>
        <v/>
      </c>
      <c r="Z27" s="79"/>
      <c r="AA27" s="79"/>
      <c r="AB27" s="79" t="str">
        <f aca="false">IFERROR(__xludf.dummyfunction("IF(Z27="""","""",QUERY(Hallazgos!C:I,""SELECT max(H) WHERE E CONTAINS 'Alcance:""&amp;Z27&amp;""' LABEL max(H) ''""))"),"")</f>
        <v/>
      </c>
    </row>
    <row r="28" customFormat="false" ht="15.75" hidden="false" customHeight="true" outlineLevel="0" collapsed="false">
      <c r="A28" s="77" t="s">
        <v>352</v>
      </c>
      <c r="B28" s="61" t="n">
        <v>1</v>
      </c>
      <c r="C28" s="58"/>
      <c r="D28" s="77" t="n">
        <v>10</v>
      </c>
      <c r="E28" s="80" t="s">
        <v>352</v>
      </c>
      <c r="F28" s="57" t="n">
        <f aca="false">IF(D28&gt;6.9,D28,0)</f>
        <v>10</v>
      </c>
      <c r="G28" s="57" t="n">
        <f aca="false">IF(AND(D28&lt;7,D28&gt;3.9),D28,0)</f>
        <v>0</v>
      </c>
      <c r="H28" s="57" t="n">
        <f aca="false">IF(D28&lt;4,D28,0)</f>
        <v>0</v>
      </c>
      <c r="I28" s="58"/>
      <c r="J28" s="58"/>
      <c r="K28" s="58"/>
      <c r="L28" s="58"/>
      <c r="M28" s="58"/>
      <c r="N28" s="58"/>
      <c r="O28" s="58"/>
      <c r="P28" s="79"/>
      <c r="Q28" s="79" t="n">
        <f aca="true">IFERROR(MATCH(LEFT(P28,8),INDIRECT($L$1&amp;"!A:A"),1),2)</f>
        <v>2</v>
      </c>
      <c r="R28" s="79" t="str">
        <f aca="true">IF(Q28=2,"",INDIRECT($L$1&amp;"!C"&amp;Q28))</f>
        <v/>
      </c>
      <c r="S28" s="79" t="str">
        <f aca="true">IF(Q28=2,"",INDIRECT($L$1&amp;"!D"&amp;Q28))</f>
        <v/>
      </c>
      <c r="T28" s="79" t="str">
        <f aca="true">IF(Q28=2,"",INDIRECT($L$1&amp;"!E"&amp;Q28))</f>
        <v/>
      </c>
      <c r="U28" s="79" t="str">
        <f aca="true">IF(Q28=2,"",INDIRECT($L$1&amp;"!F"&amp;Q28))</f>
        <v/>
      </c>
      <c r="V28" s="79"/>
      <c r="W28" s="79"/>
      <c r="X28" s="79"/>
      <c r="Y28" s="79" t="str">
        <f aca="false">IFERROR(__xludf.dummyfunction("IF(W28="""","""",QUERY(Hallazgos!C:I,""SELECT max(H) WHERE E CONTAINS 'Activo:""&amp;W28&amp;""' LABEL max(H) ''""))"),"")</f>
        <v/>
      </c>
      <c r="Z28" s="79"/>
      <c r="AA28" s="79"/>
      <c r="AB28" s="79" t="str">
        <f aca="false">IFERROR(__xludf.dummyfunction("IF(Z28="""","""",QUERY(Hallazgos!C:I,""SELECT max(H) WHERE E CONTAINS 'Alcance:""&amp;Z28&amp;""' LABEL max(H) ''""))"),"")</f>
        <v/>
      </c>
    </row>
    <row r="29" customFormat="false" ht="15.75" hidden="false" customHeight="true" outlineLevel="0" collapsed="false">
      <c r="A29" s="77" t="s">
        <v>790</v>
      </c>
      <c r="B29" s="61" t="n">
        <v>1</v>
      </c>
      <c r="C29" s="58"/>
      <c r="D29" s="77" t="n">
        <v>10</v>
      </c>
      <c r="E29" s="80" t="s">
        <v>790</v>
      </c>
      <c r="F29" s="57" t="n">
        <f aca="false">IF(D29&gt;6.9,D29,0)</f>
        <v>10</v>
      </c>
      <c r="G29" s="57" t="n">
        <f aca="false">IF(AND(D29&lt;7,D29&gt;3.9),D29,0)</f>
        <v>0</v>
      </c>
      <c r="H29" s="57" t="n">
        <f aca="false">IF(D29&lt;4,D29,0)</f>
        <v>0</v>
      </c>
      <c r="I29" s="58"/>
      <c r="J29" s="58"/>
      <c r="K29" s="58"/>
      <c r="L29" s="58"/>
      <c r="M29" s="58"/>
      <c r="N29" s="58"/>
      <c r="O29" s="58"/>
      <c r="P29" s="79"/>
      <c r="Q29" s="79" t="n">
        <f aca="true">IFERROR(MATCH(LEFT(P29,8),INDIRECT($L$1&amp;"!A:A"),1),2)</f>
        <v>2</v>
      </c>
      <c r="R29" s="79" t="str">
        <f aca="true">IF(Q29=2,"",INDIRECT($L$1&amp;"!C"&amp;Q29))</f>
        <v/>
      </c>
      <c r="S29" s="79" t="str">
        <f aca="true">IF(Q29=2,"",INDIRECT($L$1&amp;"!D"&amp;Q29))</f>
        <v/>
      </c>
      <c r="T29" s="79" t="str">
        <f aca="true">IF(Q29=2,"",INDIRECT($L$1&amp;"!E"&amp;Q29))</f>
        <v/>
      </c>
      <c r="U29" s="79" t="str">
        <f aca="true">IF(Q29=2,"",INDIRECT($L$1&amp;"!F"&amp;Q29))</f>
        <v/>
      </c>
      <c r="V29" s="79"/>
      <c r="W29" s="79"/>
      <c r="X29" s="79"/>
      <c r="Y29" s="79" t="str">
        <f aca="false">IFERROR(__xludf.dummyfunction("IF(W29="""","""",QUERY(Hallazgos!C:I,""SELECT max(H) WHERE E CONTAINS 'Activo:""&amp;W29&amp;""' LABEL max(H) ''""))"),"")</f>
        <v/>
      </c>
      <c r="Z29" s="79"/>
      <c r="AA29" s="79"/>
      <c r="AB29" s="79" t="str">
        <f aca="false">IFERROR(__xludf.dummyfunction("IF(Z29="""","""",QUERY(Hallazgos!C:I,""SELECT max(H) WHERE E CONTAINS 'Alcance:""&amp;Z29&amp;""' LABEL max(H) ''""))"),"")</f>
        <v/>
      </c>
    </row>
    <row r="30" customFormat="false" ht="15.75" hidden="false" customHeight="true" outlineLevel="0" collapsed="false">
      <c r="A30" s="77"/>
      <c r="B30" s="61"/>
      <c r="C30" s="58"/>
      <c r="D30" s="77"/>
      <c r="E30" s="80"/>
      <c r="F30" s="57" t="n">
        <f aca="false">IF(D30&gt;6.9,D30,0)</f>
        <v>0</v>
      </c>
      <c r="G30" s="57" t="n">
        <f aca="false">IF(AND(D30&lt;7,D30&gt;3.9),D30,0)</f>
        <v>0</v>
      </c>
      <c r="H30" s="57" t="n">
        <f aca="false">IF(D30&lt;4,D30,0)</f>
        <v>0</v>
      </c>
      <c r="I30" s="58"/>
      <c r="J30" s="58"/>
      <c r="K30" s="58"/>
      <c r="L30" s="58"/>
      <c r="M30" s="58"/>
      <c r="N30" s="58"/>
      <c r="O30" s="58"/>
      <c r="P30" s="79"/>
      <c r="Q30" s="79" t="n">
        <f aca="true">IFERROR(MATCH(LEFT(P30,8),INDIRECT($L$1&amp;"!A:A"),1),2)</f>
        <v>2</v>
      </c>
      <c r="R30" s="79" t="str">
        <f aca="true">IF(Q30=2,"",INDIRECT($L$1&amp;"!C"&amp;Q30))</f>
        <v/>
      </c>
      <c r="S30" s="79" t="str">
        <f aca="true">IF(Q30=2,"",INDIRECT($L$1&amp;"!D"&amp;Q30))</f>
        <v/>
      </c>
      <c r="T30" s="79" t="str">
        <f aca="true">IF(Q30=2,"",INDIRECT($L$1&amp;"!E"&amp;Q30))</f>
        <v/>
      </c>
      <c r="U30" s="79" t="str">
        <f aca="true">IF(Q30=2,"",INDIRECT($L$1&amp;"!F"&amp;Q30))</f>
        <v/>
      </c>
      <c r="V30" s="79"/>
      <c r="W30" s="79"/>
      <c r="X30" s="79"/>
      <c r="Y30" s="79" t="str">
        <f aca="false">IFERROR(__xludf.dummyfunction("IF(W30="""","""",QUERY(Hallazgos!C:I,""SELECT max(H) WHERE E CONTAINS 'Activo:""&amp;W30&amp;""' LABEL max(H) ''""))"),"")</f>
        <v/>
      </c>
      <c r="Z30" s="79"/>
      <c r="AA30" s="79"/>
      <c r="AB30" s="79" t="str">
        <f aca="false">IFERROR(__xludf.dummyfunction("IF(Z30="""","""",QUERY(Hallazgos!C:I,""SELECT max(H) WHERE E CONTAINS 'Alcance:""&amp;Z30&amp;""' LABEL max(H) ''""))"),"")</f>
        <v/>
      </c>
    </row>
    <row r="31" customFormat="false" ht="15.75" hidden="false" customHeight="true" outlineLevel="0" collapsed="false">
      <c r="A31" s="77"/>
      <c r="B31" s="61"/>
      <c r="C31" s="58"/>
      <c r="D31" s="77"/>
      <c r="E31" s="80"/>
      <c r="F31" s="57" t="n">
        <f aca="false">IF(D31&gt;6.9,D31,0)</f>
        <v>0</v>
      </c>
      <c r="G31" s="57" t="n">
        <f aca="false">IF(AND(D31&lt;7,D31&gt;3.9),D31,0)</f>
        <v>0</v>
      </c>
      <c r="H31" s="57" t="n">
        <f aca="false">IF(D31&lt;4,D31,0)</f>
        <v>0</v>
      </c>
      <c r="I31" s="58"/>
      <c r="J31" s="58"/>
      <c r="K31" s="58"/>
      <c r="L31" s="58"/>
      <c r="M31" s="58"/>
      <c r="N31" s="58"/>
      <c r="O31" s="58"/>
      <c r="P31" s="79"/>
      <c r="Q31" s="79" t="n">
        <f aca="true">IFERROR(MATCH(LEFT(P31,8),INDIRECT($L$1&amp;"!A:A"),1),2)</f>
        <v>2</v>
      </c>
      <c r="R31" s="79" t="str">
        <f aca="true">IF(Q31=2,"",INDIRECT($L$1&amp;"!C"&amp;Q31))</f>
        <v/>
      </c>
      <c r="S31" s="79" t="str">
        <f aca="true">IF(Q31=2,"",INDIRECT($L$1&amp;"!D"&amp;Q31))</f>
        <v/>
      </c>
      <c r="T31" s="79" t="str">
        <f aca="true">IF(Q31=2,"",INDIRECT($L$1&amp;"!E"&amp;Q31))</f>
        <v/>
      </c>
      <c r="U31" s="79" t="str">
        <f aca="true">IF(Q31=2,"",INDIRECT($L$1&amp;"!F"&amp;Q31))</f>
        <v/>
      </c>
      <c r="V31" s="79"/>
      <c r="W31" s="79"/>
      <c r="X31" s="79"/>
      <c r="Y31" s="79" t="str">
        <f aca="false">IFERROR(__xludf.dummyfunction("IF(W31="""","""",QUERY(Hallazgos!C:I,""SELECT max(H) WHERE E CONTAINS 'Activo:""&amp;W31&amp;""' LABEL max(H) ''""))"),"")</f>
        <v/>
      </c>
      <c r="Z31" s="79"/>
      <c r="AA31" s="79"/>
      <c r="AB31" s="79" t="str">
        <f aca="false">IFERROR(__xludf.dummyfunction("IF(Z31="""","""",QUERY(Hallazgos!C:I,""SELECT max(H) WHERE E CONTAINS 'Alcance:""&amp;Z31&amp;""' LABEL max(H) ''""))"),"")</f>
        <v/>
      </c>
    </row>
    <row r="32" customFormat="false" ht="15.75" hidden="false" customHeight="true" outlineLevel="0" collapsed="false">
      <c r="A32" s="77"/>
      <c r="B32" s="61"/>
      <c r="C32" s="58"/>
      <c r="D32" s="77"/>
      <c r="E32" s="80"/>
      <c r="F32" s="57" t="n">
        <f aca="false">IF(D32&gt;6.9,D32,0)</f>
        <v>0</v>
      </c>
      <c r="G32" s="57" t="n">
        <f aca="false">IF(AND(D32&lt;7,D32&gt;3.9),D32,0)</f>
        <v>0</v>
      </c>
      <c r="H32" s="57" t="n">
        <f aca="false">IF(D32&lt;4,D32,0)</f>
        <v>0</v>
      </c>
      <c r="I32" s="58"/>
      <c r="J32" s="58"/>
      <c r="K32" s="58"/>
      <c r="L32" s="58"/>
      <c r="M32" s="58"/>
      <c r="N32" s="58"/>
      <c r="O32" s="58"/>
      <c r="P32" s="79"/>
      <c r="Q32" s="79" t="n">
        <f aca="true">IFERROR(MATCH(LEFT(P32,8),INDIRECT($L$1&amp;"!A:A"),1),2)</f>
        <v>2</v>
      </c>
      <c r="R32" s="79" t="str">
        <f aca="true">IF(Q32=2,"",INDIRECT($L$1&amp;"!C"&amp;Q32))</f>
        <v/>
      </c>
      <c r="S32" s="79" t="str">
        <f aca="true">IF(Q32=2,"",INDIRECT($L$1&amp;"!D"&amp;Q32))</f>
        <v/>
      </c>
      <c r="T32" s="79" t="str">
        <f aca="true">IF(Q32=2,"",INDIRECT($L$1&amp;"!E"&amp;Q32))</f>
        <v/>
      </c>
      <c r="U32" s="79" t="str">
        <f aca="true">IF(Q32=2,"",INDIRECT($L$1&amp;"!F"&amp;Q32))</f>
        <v/>
      </c>
      <c r="V32" s="79"/>
      <c r="W32" s="79"/>
      <c r="X32" s="79"/>
      <c r="Y32" s="79" t="str">
        <f aca="false">IFERROR(__xludf.dummyfunction("IF(W32="""","""",QUERY(Hallazgos!C:I,""SELECT max(H) WHERE E CONTAINS 'Activo:""&amp;W32&amp;""' LABEL max(H) ''""))"),"")</f>
        <v/>
      </c>
      <c r="Z32" s="79"/>
      <c r="AA32" s="79"/>
      <c r="AB32" s="79" t="str">
        <f aca="false">IFERROR(__xludf.dummyfunction("IF(Z32="""","""",QUERY(Hallazgos!C:I,""SELECT max(H) WHERE E CONTAINS 'Alcance:""&amp;Z32&amp;""' LABEL max(H) ''""))"),"")</f>
        <v/>
      </c>
    </row>
    <row r="33" customFormat="false" ht="15.75" hidden="false" customHeight="true" outlineLevel="0" collapsed="false">
      <c r="A33" s="77"/>
      <c r="B33" s="61"/>
      <c r="C33" s="58"/>
      <c r="D33" s="77"/>
      <c r="E33" s="80"/>
      <c r="F33" s="57" t="n">
        <f aca="false">IF(D33&gt;6.9,D33,0)</f>
        <v>0</v>
      </c>
      <c r="G33" s="57" t="n">
        <f aca="false">IF(AND(D33&lt;7,D33&gt;3.9),D33,0)</f>
        <v>0</v>
      </c>
      <c r="H33" s="57" t="n">
        <f aca="false">IF(D33&lt;4,D33,0)</f>
        <v>0</v>
      </c>
      <c r="I33" s="58"/>
      <c r="J33" s="58"/>
      <c r="K33" s="58"/>
      <c r="L33" s="58"/>
      <c r="M33" s="58"/>
      <c r="N33" s="58"/>
      <c r="O33" s="58"/>
      <c r="P33" s="79"/>
      <c r="Q33" s="79" t="n">
        <f aca="true">IFERROR(MATCH(LEFT(P33,8),INDIRECT($L$1&amp;"!A:A"),1),2)</f>
        <v>2</v>
      </c>
      <c r="R33" s="79" t="str">
        <f aca="true">IF(Q33=2,"",INDIRECT($L$1&amp;"!C"&amp;Q33))</f>
        <v/>
      </c>
      <c r="S33" s="79" t="str">
        <f aca="true">IF(Q33=2,"",INDIRECT($L$1&amp;"!D"&amp;Q33))</f>
        <v/>
      </c>
      <c r="T33" s="79" t="str">
        <f aca="true">IF(Q33=2,"",INDIRECT($L$1&amp;"!E"&amp;Q33))</f>
        <v/>
      </c>
      <c r="U33" s="79" t="str">
        <f aca="true">IF(Q33=2,"",INDIRECT($L$1&amp;"!F"&amp;Q33))</f>
        <v/>
      </c>
      <c r="V33" s="79"/>
      <c r="W33" s="79"/>
      <c r="X33" s="79"/>
      <c r="Y33" s="79" t="str">
        <f aca="false">IFERROR(__xludf.dummyfunction("IF(W33="""","""",QUERY(Hallazgos!C:I,""SELECT max(H) WHERE E CONTAINS 'Activo:""&amp;W33&amp;""' LABEL max(H) ''""))"),"")</f>
        <v/>
      </c>
      <c r="Z33" s="79"/>
      <c r="AA33" s="79"/>
      <c r="AB33" s="79" t="str">
        <f aca="false">IFERROR(__xludf.dummyfunction("IF(Z33="""","""",QUERY(Hallazgos!C:I,""SELECT max(H) WHERE E CONTAINS 'Alcance:""&amp;Z33&amp;""' LABEL max(H) ''""))"),"")</f>
        <v/>
      </c>
    </row>
    <row r="34" customFormat="false" ht="15.75" hidden="false" customHeight="true" outlineLevel="0" collapsed="false">
      <c r="A34" s="77"/>
      <c r="B34" s="61"/>
      <c r="C34" s="58"/>
      <c r="D34" s="77"/>
      <c r="E34" s="80"/>
      <c r="F34" s="57" t="n">
        <f aca="false">IF(D34&gt;6.9,D34,0)</f>
        <v>0</v>
      </c>
      <c r="G34" s="57" t="n">
        <f aca="false">IF(AND(D34&lt;7,D34&gt;3.9),D34,0)</f>
        <v>0</v>
      </c>
      <c r="H34" s="57" t="n">
        <f aca="false">IF(D34&lt;4,D34,0)</f>
        <v>0</v>
      </c>
      <c r="I34" s="58"/>
      <c r="J34" s="58"/>
      <c r="K34" s="58"/>
      <c r="L34" s="58"/>
      <c r="M34" s="58"/>
      <c r="N34" s="58"/>
      <c r="O34" s="58"/>
      <c r="P34" s="79"/>
      <c r="Q34" s="79" t="n">
        <f aca="true">IFERROR(MATCH(LEFT(P34,8),INDIRECT($L$1&amp;"!A:A"),1),2)</f>
        <v>2</v>
      </c>
      <c r="R34" s="79" t="str">
        <f aca="true">IF(Q34=2,"",INDIRECT($L$1&amp;"!C"&amp;Q34))</f>
        <v/>
      </c>
      <c r="S34" s="79" t="str">
        <f aca="true">IF(Q34=2,"",INDIRECT($L$1&amp;"!D"&amp;Q34))</f>
        <v/>
      </c>
      <c r="T34" s="79" t="str">
        <f aca="true">IF(Q34=2,"",INDIRECT($L$1&amp;"!E"&amp;Q34))</f>
        <v/>
      </c>
      <c r="U34" s="79" t="str">
        <f aca="true">IF(Q34=2,"",INDIRECT($L$1&amp;"!F"&amp;Q34))</f>
        <v/>
      </c>
      <c r="V34" s="79"/>
      <c r="W34" s="79"/>
      <c r="X34" s="79"/>
      <c r="Y34" s="79" t="str">
        <f aca="false">IFERROR(__xludf.dummyfunction("IF(W34="""","""",QUERY(Hallazgos!C:I,""SELECT max(H) WHERE E CONTAINS 'Activo:""&amp;W34&amp;""' LABEL max(H) ''""))"),"")</f>
        <v/>
      </c>
      <c r="Z34" s="79"/>
      <c r="AA34" s="79"/>
      <c r="AB34" s="79" t="str">
        <f aca="false">IFERROR(__xludf.dummyfunction("IF(Z34="""","""",QUERY(Hallazgos!C:I,""SELECT max(H) WHERE E CONTAINS 'Alcance:""&amp;Z34&amp;""' LABEL max(H) ''""))"),"")</f>
        <v/>
      </c>
    </row>
    <row r="35" customFormat="false" ht="15.75" hidden="false" customHeight="true" outlineLevel="0" collapsed="false">
      <c r="A35" s="80"/>
      <c r="B35" s="61"/>
      <c r="C35" s="61"/>
      <c r="D35" s="77"/>
      <c r="E35" s="77"/>
      <c r="F35" s="57" t="n">
        <f aca="false">IF(D35&gt;6.9,D35,0)</f>
        <v>0</v>
      </c>
      <c r="G35" s="57" t="n">
        <f aca="false">IF(AND(D35&lt;7,D35&gt;3.9),D35,0)</f>
        <v>0</v>
      </c>
      <c r="H35" s="57" t="n">
        <f aca="false">IF(D35&lt;4,D35,0)</f>
        <v>0</v>
      </c>
      <c r="I35" s="58"/>
      <c r="J35" s="58"/>
      <c r="K35" s="58"/>
      <c r="L35" s="58"/>
      <c r="M35" s="58"/>
      <c r="N35" s="58"/>
      <c r="O35" s="58"/>
      <c r="P35" s="79"/>
      <c r="Q35" s="79" t="n">
        <f aca="true">IFERROR(MATCH(LEFT(P35,8),INDIRECT($L$1&amp;"!A:A"),1),2)</f>
        <v>2</v>
      </c>
      <c r="R35" s="79" t="str">
        <f aca="true">IF(Q35=2,"",INDIRECT($L$1&amp;"!C"&amp;Q35))</f>
        <v/>
      </c>
      <c r="S35" s="79" t="str">
        <f aca="true">IF(Q35=2,"",INDIRECT($L$1&amp;"!D"&amp;Q35))</f>
        <v/>
      </c>
      <c r="T35" s="79" t="str">
        <f aca="true">IF(Q35=2,"",INDIRECT($L$1&amp;"!E"&amp;Q35))</f>
        <v/>
      </c>
      <c r="U35" s="79" t="str">
        <f aca="true">IF(Q35=2,"",INDIRECT($L$1&amp;"!F"&amp;Q35))</f>
        <v/>
      </c>
      <c r="V35" s="79"/>
      <c r="W35" s="79"/>
      <c r="X35" s="79"/>
      <c r="Y35" s="79" t="str">
        <f aca="false">IFERROR(__xludf.dummyfunction("IF(W35="""","""",QUERY(Hallazgos!C:I,""SELECT max(H) WHERE E CONTAINS 'Activo:""&amp;W35&amp;""' LABEL max(H) ''""))"),"")</f>
        <v/>
      </c>
      <c r="Z35" s="79"/>
      <c r="AA35" s="79"/>
      <c r="AB35" s="79" t="str">
        <f aca="false">IFERROR(__xludf.dummyfunction("IF(Z35="""","""",QUERY(Hallazgos!C:I,""SELECT max(H) WHERE E CONTAINS 'Alcance:""&amp;Z35&amp;""' LABEL max(H) ''""))"),"")</f>
        <v/>
      </c>
    </row>
    <row r="36" customFormat="false" ht="15.75" hidden="false" customHeight="true" outlineLevel="0" collapsed="false">
      <c r="A36" s="77"/>
      <c r="B36" s="61"/>
      <c r="C36" s="58"/>
      <c r="D36" s="77"/>
      <c r="E36" s="80"/>
      <c r="F36" s="57" t="n">
        <f aca="false">IF(D36&gt;6.9,D36,0)</f>
        <v>0</v>
      </c>
      <c r="G36" s="57" t="n">
        <f aca="false">IF(AND(D36&lt;7,D36&gt;3.9),D36,0)</f>
        <v>0</v>
      </c>
      <c r="H36" s="57" t="n">
        <f aca="false">IF(D36&lt;4,D36,0)</f>
        <v>0</v>
      </c>
      <c r="I36" s="58"/>
      <c r="J36" s="58"/>
      <c r="K36" s="58"/>
      <c r="L36" s="58"/>
      <c r="M36" s="58"/>
      <c r="N36" s="58"/>
      <c r="O36" s="58"/>
      <c r="P36" s="79"/>
      <c r="Q36" s="79" t="n">
        <f aca="true">IFERROR(MATCH(LEFT(P36,8),INDIRECT($L$1&amp;"!A:A"),1),2)</f>
        <v>2</v>
      </c>
      <c r="R36" s="79" t="str">
        <f aca="true">IF(Q36=2,"",INDIRECT($L$1&amp;"!C"&amp;Q36))</f>
        <v/>
      </c>
      <c r="S36" s="79" t="str">
        <f aca="true">IF(Q36=2,"",INDIRECT($L$1&amp;"!D"&amp;Q36))</f>
        <v/>
      </c>
      <c r="T36" s="79" t="str">
        <f aca="true">IF(Q36=2,"",INDIRECT($L$1&amp;"!E"&amp;Q36))</f>
        <v/>
      </c>
      <c r="U36" s="79" t="str">
        <f aca="true">IF(Q36=2,"",INDIRECT($L$1&amp;"!F"&amp;Q36))</f>
        <v/>
      </c>
      <c r="V36" s="79"/>
      <c r="W36" s="79"/>
      <c r="X36" s="79"/>
      <c r="Y36" s="79" t="str">
        <f aca="false">IFERROR(__xludf.dummyfunction("IF(W36="""","""",QUERY(Hallazgos!C:I,""SELECT max(H) WHERE E CONTAINS 'Activo:""&amp;W36&amp;""' LABEL max(H) ''""))"),"")</f>
        <v/>
      </c>
      <c r="Z36" s="79"/>
      <c r="AA36" s="79"/>
      <c r="AB36" s="79" t="str">
        <f aca="false">IFERROR(__xludf.dummyfunction("IF(Z36="""","""",QUERY(Hallazgos!C:I,""SELECT max(H) WHERE E CONTAINS 'Alcance:""&amp;Z36&amp;""' LABEL max(H) ''""))"),"")</f>
        <v/>
      </c>
    </row>
    <row r="37" customFormat="false" ht="15.75" hidden="false" customHeight="true" outlineLevel="0" collapsed="false">
      <c r="A37" s="77"/>
      <c r="B37" s="61"/>
      <c r="C37" s="58"/>
      <c r="D37" s="77"/>
      <c r="E37" s="80"/>
      <c r="F37" s="57" t="n">
        <f aca="false">IF(D37&gt;6.9,D37,0)</f>
        <v>0</v>
      </c>
      <c r="G37" s="57" t="n">
        <f aca="false">IF(AND(D37&lt;7,D37&gt;3.9),D37,0)</f>
        <v>0</v>
      </c>
      <c r="H37" s="57" t="n">
        <f aca="false">IF(D37&lt;4,D37,0)</f>
        <v>0</v>
      </c>
      <c r="I37" s="58"/>
      <c r="J37" s="58"/>
      <c r="K37" s="58"/>
      <c r="L37" s="58"/>
      <c r="M37" s="58"/>
      <c r="N37" s="58"/>
      <c r="O37" s="58"/>
      <c r="P37" s="79"/>
      <c r="Q37" s="79" t="n">
        <f aca="true">IFERROR(MATCH(LEFT(P37,8),INDIRECT($L$1&amp;"!A:A"),1),2)</f>
        <v>2</v>
      </c>
      <c r="R37" s="79" t="str">
        <f aca="true">IF(Q37=2,"",INDIRECT($L$1&amp;"!C"&amp;Q37))</f>
        <v/>
      </c>
      <c r="S37" s="79" t="str">
        <f aca="true">IF(Q37=2,"",INDIRECT($L$1&amp;"!D"&amp;Q37))</f>
        <v/>
      </c>
      <c r="T37" s="79" t="str">
        <f aca="true">IF(Q37=2,"",INDIRECT($L$1&amp;"!E"&amp;Q37))</f>
        <v/>
      </c>
      <c r="U37" s="79" t="str">
        <f aca="true">IF(Q37=2,"",INDIRECT($L$1&amp;"!F"&amp;Q37))</f>
        <v/>
      </c>
      <c r="V37" s="79"/>
      <c r="W37" s="79"/>
      <c r="X37" s="79"/>
      <c r="Y37" s="79" t="str">
        <f aca="false">IFERROR(__xludf.dummyfunction("IF(W37="""","""",QUERY(Hallazgos!C:I,""SELECT max(H) WHERE E CONTAINS 'Activo:""&amp;W37&amp;""' LABEL max(H) ''""))"),"")</f>
        <v/>
      </c>
      <c r="Z37" s="79"/>
      <c r="AA37" s="79"/>
      <c r="AB37" s="79" t="str">
        <f aca="false">IFERROR(__xludf.dummyfunction("IF(Z37="""","""",QUERY(Hallazgos!C:I,""SELECT max(H) WHERE E CONTAINS 'Alcance:""&amp;Z37&amp;""' LABEL max(H) ''""))"),"")</f>
        <v/>
      </c>
    </row>
    <row r="38" customFormat="false" ht="15.75" hidden="false" customHeight="true" outlineLevel="0" collapsed="false">
      <c r="A38" s="77"/>
      <c r="B38" s="61"/>
      <c r="C38" s="58"/>
      <c r="D38" s="77"/>
      <c r="E38" s="80"/>
      <c r="F38" s="57" t="n">
        <f aca="false">IF(D38&gt;6.9,D38,0)</f>
        <v>0</v>
      </c>
      <c r="G38" s="57" t="n">
        <f aca="false">IF(AND(D38&lt;7,D38&gt;3.9),D38,0)</f>
        <v>0</v>
      </c>
      <c r="H38" s="57" t="n">
        <f aca="false">IF(D38&lt;4,D38,0)</f>
        <v>0</v>
      </c>
      <c r="I38" s="58"/>
      <c r="J38" s="58"/>
      <c r="K38" s="58"/>
      <c r="L38" s="58"/>
      <c r="M38" s="58"/>
      <c r="N38" s="58"/>
      <c r="O38" s="58"/>
      <c r="P38" s="79"/>
      <c r="Q38" s="79" t="n">
        <f aca="true">IFERROR(MATCH(LEFT(P38,8),INDIRECT($L$1&amp;"!A:A"),1),2)</f>
        <v>2</v>
      </c>
      <c r="R38" s="79" t="str">
        <f aca="true">IF(Q38=2,"",INDIRECT($L$1&amp;"!C"&amp;Q38))</f>
        <v/>
      </c>
      <c r="S38" s="79" t="str">
        <f aca="true">IF(Q38=2,"",INDIRECT($L$1&amp;"!D"&amp;Q38))</f>
        <v/>
      </c>
      <c r="T38" s="79" t="str">
        <f aca="true">IF(Q38=2,"",INDIRECT($L$1&amp;"!E"&amp;Q38))</f>
        <v/>
      </c>
      <c r="U38" s="79" t="str">
        <f aca="true">IF(Q38=2,"",INDIRECT($L$1&amp;"!F"&amp;Q38))</f>
        <v/>
      </c>
      <c r="V38" s="79"/>
      <c r="W38" s="79"/>
      <c r="X38" s="79"/>
      <c r="Y38" s="79" t="str">
        <f aca="false">IFERROR(__xludf.dummyfunction("IF(W38="""","""",QUERY(Hallazgos!C:I,""SELECT max(H) WHERE E CONTAINS 'Activo:""&amp;W38&amp;""' LABEL max(H) ''""))"),"")</f>
        <v/>
      </c>
      <c r="Z38" s="79"/>
      <c r="AA38" s="79"/>
      <c r="AB38" s="79" t="str">
        <f aca="false">IFERROR(__xludf.dummyfunction("IF(Z38="""","""",QUERY(Hallazgos!C:I,""SELECT max(H) WHERE E CONTAINS 'Alcance:""&amp;Z38&amp;""' LABEL max(H) ''""))"),"")</f>
        <v/>
      </c>
    </row>
    <row r="39" customFormat="false" ht="15.75" hidden="false" customHeight="true" outlineLevel="0" collapsed="false">
      <c r="A39" s="77"/>
      <c r="B39" s="61"/>
      <c r="C39" s="58"/>
      <c r="D39" s="77"/>
      <c r="E39" s="80"/>
      <c r="F39" s="57" t="n">
        <f aca="false">IF(D39&gt;6.9,D39,0)</f>
        <v>0</v>
      </c>
      <c r="G39" s="57" t="n">
        <f aca="false">IF(AND(D39&lt;7,D39&gt;3.9),D39,0)</f>
        <v>0</v>
      </c>
      <c r="H39" s="57" t="n">
        <f aca="false">IF(D39&lt;4,D39,0)</f>
        <v>0</v>
      </c>
      <c r="I39" s="58"/>
      <c r="J39" s="58"/>
      <c r="K39" s="58"/>
      <c r="L39" s="58"/>
      <c r="M39" s="58"/>
      <c r="N39" s="58"/>
      <c r="O39" s="58"/>
      <c r="P39" s="79"/>
      <c r="Q39" s="79" t="n">
        <f aca="true">IFERROR(MATCH(LEFT(P39,8),INDIRECT($L$1&amp;"!A:A"),1),2)</f>
        <v>2</v>
      </c>
      <c r="R39" s="79" t="str">
        <f aca="true">IF(Q39=2,"",INDIRECT($L$1&amp;"!C"&amp;Q39))</f>
        <v/>
      </c>
      <c r="S39" s="79" t="str">
        <f aca="true">IF(Q39=2,"",INDIRECT($L$1&amp;"!D"&amp;Q39))</f>
        <v/>
      </c>
      <c r="T39" s="79" t="str">
        <f aca="true">IF(Q39=2,"",INDIRECT($L$1&amp;"!E"&amp;Q39))</f>
        <v/>
      </c>
      <c r="U39" s="79" t="str">
        <f aca="true">IF(Q39=2,"",INDIRECT($L$1&amp;"!F"&amp;Q39))</f>
        <v/>
      </c>
      <c r="V39" s="79"/>
      <c r="W39" s="79"/>
      <c r="X39" s="79"/>
      <c r="Y39" s="79" t="str">
        <f aca="false">IFERROR(__xludf.dummyfunction("IF(W39="""","""",QUERY(Hallazgos!C:I,""SELECT max(H) WHERE E CONTAINS 'Activo:""&amp;W39&amp;""' LABEL max(H) ''""))"),"")</f>
        <v/>
      </c>
      <c r="Z39" s="79"/>
      <c r="AA39" s="79"/>
      <c r="AB39" s="79" t="str">
        <f aca="false">IFERROR(__xludf.dummyfunction("IF(Z39="""","""",QUERY(Hallazgos!C:I,""SELECT max(H) WHERE E CONTAINS 'Alcance:""&amp;Z39&amp;""' LABEL max(H) ''""))"),"")</f>
        <v/>
      </c>
    </row>
    <row r="40" customFormat="false" ht="15.75" hidden="false" customHeight="true" outlineLevel="0" collapsed="false">
      <c r="A40" s="77"/>
      <c r="B40" s="61"/>
      <c r="C40" s="58"/>
      <c r="D40" s="77"/>
      <c r="E40" s="80"/>
      <c r="F40" s="57" t="n">
        <f aca="false">IF(D40&gt;6.9,D40,0)</f>
        <v>0</v>
      </c>
      <c r="G40" s="57" t="n">
        <f aca="false">IF(AND(D40&lt;7,D40&gt;3.9),D40,0)</f>
        <v>0</v>
      </c>
      <c r="H40" s="57" t="n">
        <f aca="false">IF(D40&lt;4,D40,0)</f>
        <v>0</v>
      </c>
      <c r="I40" s="58"/>
      <c r="J40" s="58"/>
      <c r="K40" s="58"/>
      <c r="L40" s="58"/>
      <c r="M40" s="58"/>
      <c r="N40" s="58"/>
      <c r="O40" s="58"/>
      <c r="P40" s="79"/>
      <c r="Q40" s="79" t="n">
        <f aca="true">IFERROR(MATCH(LEFT(P40,8),INDIRECT($L$1&amp;"!A:A"),1),2)</f>
        <v>2</v>
      </c>
      <c r="R40" s="79" t="str">
        <f aca="true">IF(Q40=2,"",INDIRECT($L$1&amp;"!C"&amp;Q40))</f>
        <v/>
      </c>
      <c r="S40" s="79" t="str">
        <f aca="true">IF(Q40=2,"",INDIRECT($L$1&amp;"!D"&amp;Q40))</f>
        <v/>
      </c>
      <c r="T40" s="79" t="str">
        <f aca="true">IF(Q40=2,"",INDIRECT($L$1&amp;"!E"&amp;Q40))</f>
        <v/>
      </c>
      <c r="U40" s="79" t="str">
        <f aca="true">IF(Q40=2,"",INDIRECT($L$1&amp;"!F"&amp;Q40))</f>
        <v/>
      </c>
      <c r="V40" s="79"/>
      <c r="W40" s="79"/>
      <c r="X40" s="79"/>
      <c r="Y40" s="79" t="str">
        <f aca="false">IFERROR(__xludf.dummyfunction("IF(W40="""","""",QUERY(Hallazgos!C:I,""SELECT max(H) WHERE E CONTAINS 'Activo:""&amp;W40&amp;""' LABEL max(H) ''""))"),"")</f>
        <v/>
      </c>
      <c r="Z40" s="79"/>
      <c r="AA40" s="79"/>
      <c r="AB40" s="79" t="str">
        <f aca="false">IFERROR(__xludf.dummyfunction("IF(Z40="""","""",QUERY(Hallazgos!C:I,""SELECT max(H) WHERE E CONTAINS 'Alcance:""&amp;Z40&amp;""' LABEL max(H) ''""))"),"")</f>
        <v/>
      </c>
    </row>
    <row r="41" customFormat="false" ht="15.75" hidden="false" customHeight="true" outlineLevel="0" collapsed="false">
      <c r="A41" s="77"/>
      <c r="B41" s="61"/>
      <c r="C41" s="58"/>
      <c r="D41" s="77"/>
      <c r="E41" s="80"/>
      <c r="F41" s="57" t="n">
        <f aca="false">IF(D41&gt;6.9,D41,0)</f>
        <v>0</v>
      </c>
      <c r="G41" s="57" t="n">
        <f aca="false">IF(AND(D41&lt;7,D41&gt;3.9),D41,0)</f>
        <v>0</v>
      </c>
      <c r="H41" s="57" t="n">
        <f aca="false">IF(D41&lt;4,D41,0)</f>
        <v>0</v>
      </c>
      <c r="I41" s="58"/>
      <c r="J41" s="58"/>
      <c r="K41" s="58"/>
      <c r="L41" s="58"/>
      <c r="M41" s="58"/>
      <c r="N41" s="58"/>
      <c r="O41" s="58"/>
      <c r="P41" s="79"/>
      <c r="Q41" s="79" t="n">
        <f aca="true">IFERROR(MATCH(LEFT(P41,8),INDIRECT($L$1&amp;"!A:A"),1),2)</f>
        <v>2</v>
      </c>
      <c r="R41" s="79" t="str">
        <f aca="true">IF(Q41=2,"",INDIRECT($L$1&amp;"!C"&amp;Q41))</f>
        <v/>
      </c>
      <c r="S41" s="79" t="str">
        <f aca="true">IF(Q41=2,"",INDIRECT($L$1&amp;"!D"&amp;Q41))</f>
        <v/>
      </c>
      <c r="T41" s="79" t="str">
        <f aca="true">IF(Q41=2,"",INDIRECT($L$1&amp;"!E"&amp;Q41))</f>
        <v/>
      </c>
      <c r="U41" s="79" t="str">
        <f aca="true">IF(Q41=2,"",INDIRECT($L$1&amp;"!F"&amp;Q41))</f>
        <v/>
      </c>
      <c r="V41" s="79"/>
      <c r="W41" s="79"/>
      <c r="X41" s="79"/>
      <c r="Y41" s="79" t="str">
        <f aca="false">IFERROR(__xludf.dummyfunction("IF(W41="""","""",QUERY(Hallazgos!C:I,""SELECT max(H) WHERE E CONTAINS 'Activo:""&amp;W41&amp;""' LABEL max(H) ''""))"),"")</f>
        <v/>
      </c>
      <c r="Z41" s="79"/>
      <c r="AA41" s="79"/>
      <c r="AB41" s="79" t="str">
        <f aca="false">IFERROR(__xludf.dummyfunction("IF(Z41="""","""",QUERY(Hallazgos!C:I,""SELECT max(H) WHERE E CONTAINS 'Alcance:""&amp;Z41&amp;""' LABEL max(H) ''""))"),"")</f>
        <v/>
      </c>
    </row>
    <row r="42" customFormat="false" ht="15.75" hidden="false" customHeight="true" outlineLevel="0" collapsed="false">
      <c r="A42" s="77"/>
      <c r="B42" s="61"/>
      <c r="C42" s="58"/>
      <c r="D42" s="77"/>
      <c r="E42" s="80"/>
      <c r="F42" s="57" t="n">
        <f aca="false">IF(D42&gt;6.9,D42,0)</f>
        <v>0</v>
      </c>
      <c r="G42" s="57" t="n">
        <f aca="false">IF(AND(D42&lt;7,D42&gt;3.9),D42,0)</f>
        <v>0</v>
      </c>
      <c r="H42" s="57" t="n">
        <f aca="false">IF(D42&lt;4,D42,0)</f>
        <v>0</v>
      </c>
      <c r="I42" s="58"/>
      <c r="J42" s="58"/>
      <c r="K42" s="58"/>
      <c r="L42" s="58"/>
      <c r="M42" s="58"/>
      <c r="N42" s="58"/>
      <c r="O42" s="58"/>
      <c r="P42" s="79"/>
      <c r="Q42" s="79" t="n">
        <f aca="true">IFERROR(MATCH(LEFT(P42,8),INDIRECT($L$1&amp;"!A:A"),1),2)</f>
        <v>2</v>
      </c>
      <c r="R42" s="79" t="str">
        <f aca="true">IF(Q42=2,"",INDIRECT($L$1&amp;"!C"&amp;Q42))</f>
        <v/>
      </c>
      <c r="S42" s="79" t="str">
        <f aca="true">IF(Q42=2,"",INDIRECT($L$1&amp;"!D"&amp;Q42))</f>
        <v/>
      </c>
      <c r="T42" s="79" t="str">
        <f aca="true">IF(Q42=2,"",INDIRECT($L$1&amp;"!E"&amp;Q42))</f>
        <v/>
      </c>
      <c r="U42" s="79" t="str">
        <f aca="true">IF(Q42=2,"",INDIRECT($L$1&amp;"!F"&amp;Q42))</f>
        <v/>
      </c>
      <c r="V42" s="79"/>
      <c r="W42" s="79"/>
      <c r="X42" s="79"/>
      <c r="Y42" s="79" t="str">
        <f aca="false">IFERROR(__xludf.dummyfunction("IF(W42="""","""",QUERY(Hallazgos!C:I,""SELECT max(H) WHERE E CONTAINS 'Activo:""&amp;W42&amp;""' LABEL max(H) ''""))"),"")</f>
        <v/>
      </c>
      <c r="Z42" s="79"/>
      <c r="AA42" s="79"/>
      <c r="AB42" s="79" t="str">
        <f aca="false">IFERROR(__xludf.dummyfunction("IF(Z42="""","""",QUERY(Hallazgos!C:I,""SELECT max(H) WHERE E CONTAINS 'Alcance:""&amp;Z42&amp;""' LABEL max(H) ''""))"),"")</f>
        <v/>
      </c>
    </row>
    <row r="43" customFormat="false" ht="15.75" hidden="false" customHeight="true" outlineLevel="0" collapsed="false">
      <c r="A43" s="77"/>
      <c r="B43" s="61"/>
      <c r="C43" s="58"/>
      <c r="D43" s="77"/>
      <c r="E43" s="80"/>
      <c r="F43" s="57" t="n">
        <f aca="false">IF(D43&gt;6.9,D43,0)</f>
        <v>0</v>
      </c>
      <c r="G43" s="57" t="n">
        <f aca="false">IF(AND(D43&lt;7,D43&gt;3.9),D43,0)</f>
        <v>0</v>
      </c>
      <c r="H43" s="57" t="n">
        <f aca="false">IF(D43&lt;4,D43,0)</f>
        <v>0</v>
      </c>
      <c r="I43" s="58"/>
      <c r="J43" s="58"/>
      <c r="K43" s="58"/>
      <c r="L43" s="58"/>
      <c r="M43" s="58"/>
      <c r="N43" s="58"/>
      <c r="O43" s="58"/>
      <c r="P43" s="79"/>
      <c r="Q43" s="79" t="n">
        <f aca="true">IFERROR(MATCH(LEFT(P43,8),INDIRECT($L$1&amp;"!A:A"),1),2)</f>
        <v>2</v>
      </c>
      <c r="R43" s="79" t="str">
        <f aca="true">IF(Q43=2,"",INDIRECT($L$1&amp;"!C"&amp;Q43))</f>
        <v/>
      </c>
      <c r="S43" s="79" t="str">
        <f aca="true">IF(Q43=2,"",INDIRECT($L$1&amp;"!D"&amp;Q43))</f>
        <v/>
      </c>
      <c r="T43" s="79" t="str">
        <f aca="true">IF(Q43=2,"",INDIRECT($L$1&amp;"!E"&amp;Q43))</f>
        <v/>
      </c>
      <c r="U43" s="79" t="str">
        <f aca="true">IF(Q43=2,"",INDIRECT($L$1&amp;"!F"&amp;Q43))</f>
        <v/>
      </c>
      <c r="V43" s="79"/>
      <c r="W43" s="79"/>
      <c r="X43" s="79"/>
      <c r="Y43" s="79" t="str">
        <f aca="false">IFERROR(__xludf.dummyfunction("IF(W43="""","""",QUERY(Hallazgos!C:I,""SELECT max(H) WHERE E CONTAINS 'Activo:""&amp;W43&amp;""' LABEL max(H) ''""))"),"")</f>
        <v/>
      </c>
      <c r="Z43" s="79"/>
      <c r="AA43" s="79"/>
      <c r="AB43" s="79" t="str">
        <f aca="false">IFERROR(__xludf.dummyfunction("IF(Z43="""","""",QUERY(Hallazgos!C:I,""SELECT max(H) WHERE E CONTAINS 'Alcance:""&amp;Z43&amp;""' LABEL max(H) ''""))"),"")</f>
        <v/>
      </c>
    </row>
    <row r="44" customFormat="false" ht="15.75" hidden="false" customHeight="true" outlineLevel="0" collapsed="false">
      <c r="A44" s="77"/>
      <c r="B44" s="61"/>
      <c r="C44" s="58"/>
      <c r="D44" s="77"/>
      <c r="E44" s="80"/>
      <c r="F44" s="79"/>
      <c r="G44" s="58" t="str">
        <f aca="false">LEFT(F44,3)</f>
        <v/>
      </c>
      <c r="H44" s="58" t="str">
        <f aca="false">LEFT(F44,3)</f>
        <v/>
      </c>
      <c r="I44" s="58"/>
      <c r="J44" s="58"/>
      <c r="K44" s="58"/>
      <c r="L44" s="58"/>
      <c r="M44" s="58"/>
      <c r="N44" s="58"/>
      <c r="O44" s="58"/>
      <c r="P44" s="79"/>
      <c r="Q44" s="79"/>
      <c r="R44" s="79"/>
      <c r="S44" s="79"/>
      <c r="T44" s="79"/>
      <c r="U44" s="79"/>
      <c r="V44" s="79"/>
      <c r="W44" s="79"/>
      <c r="X44" s="79"/>
      <c r="Y44" s="79"/>
      <c r="Z44" s="79"/>
      <c r="AA44" s="79"/>
      <c r="AB44" s="73"/>
    </row>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G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9.29"/>
    <col collapsed="false" customWidth="true" hidden="false" outlineLevel="0" max="2" min="2" style="0" width="9.18"/>
    <col collapsed="false" customWidth="true" hidden="false" outlineLevel="0" max="3" min="3" style="0" width="16.07"/>
    <col collapsed="false" customWidth="true" hidden="false" outlineLevel="0" max="4" min="4" style="0" width="16.87"/>
    <col collapsed="false" customWidth="true" hidden="false" outlineLevel="0" max="5" min="5" style="0" width="13.09"/>
    <col collapsed="false" customWidth="true" hidden="false" outlineLevel="0" max="6" min="6" style="0" width="12.29"/>
    <col collapsed="false" customWidth="true" hidden="false" outlineLevel="0" max="7" min="7" style="0" width="3.11"/>
    <col collapsed="false" customWidth="true" hidden="false" outlineLevel="0" max="26" min="8" style="0" width="16.2"/>
    <col collapsed="false" customWidth="true" hidden="false" outlineLevel="0" max="1025" min="27" style="0" width="19.44"/>
  </cols>
  <sheetData>
    <row r="1" customFormat="false" ht="15.75" hidden="false" customHeight="true" outlineLevel="0" collapsed="false">
      <c r="A1" s="85" t="s">
        <v>938</v>
      </c>
      <c r="B1" s="85"/>
      <c r="C1" s="85"/>
      <c r="D1" s="85"/>
      <c r="E1" s="85"/>
      <c r="F1" s="85"/>
      <c r="G1" s="57"/>
    </row>
    <row r="2" customFormat="false" ht="15.75" hidden="false" customHeight="true" outlineLevel="0" collapsed="false">
      <c r="A2" s="86"/>
      <c r="B2" s="86"/>
      <c r="C2" s="86"/>
      <c r="D2" s="86"/>
      <c r="E2" s="86"/>
      <c r="F2" s="86"/>
      <c r="G2" s="57"/>
    </row>
    <row r="3" customFormat="false" ht="15.75" hidden="false" customHeight="true" outlineLevel="0" collapsed="false">
      <c r="A3" s="87" t="s">
        <v>939</v>
      </c>
      <c r="B3" s="87" t="s">
        <v>940</v>
      </c>
      <c r="C3" s="87" t="s">
        <v>941</v>
      </c>
      <c r="D3" s="87"/>
      <c r="E3" s="87"/>
      <c r="F3" s="87"/>
      <c r="G3" s="60"/>
    </row>
    <row r="4" customFormat="false" ht="15.75" hidden="false" customHeight="true" outlineLevel="0" collapsed="false">
      <c r="A4" s="88" t="s">
        <v>942</v>
      </c>
      <c r="B4" s="63" t="s">
        <v>943</v>
      </c>
      <c r="C4" s="88" t="s">
        <v>944</v>
      </c>
      <c r="D4" s="88" t="s">
        <v>945</v>
      </c>
      <c r="E4" s="88" t="s">
        <v>706</v>
      </c>
      <c r="F4" s="88"/>
      <c r="G4" s="60"/>
    </row>
    <row r="5" customFormat="false" ht="15.75" hidden="false" customHeight="true" outlineLevel="0" collapsed="false">
      <c r="A5" s="88" t="s">
        <v>946</v>
      </c>
      <c r="B5" s="63" t="s">
        <v>947</v>
      </c>
      <c r="C5" s="88" t="s">
        <v>712</v>
      </c>
      <c r="D5" s="88" t="s">
        <v>948</v>
      </c>
      <c r="E5" s="88" t="s">
        <v>709</v>
      </c>
      <c r="F5" s="88"/>
      <c r="G5" s="60"/>
    </row>
    <row r="6" customFormat="false" ht="15.75" hidden="false" customHeight="true" outlineLevel="0" collapsed="false">
      <c r="A6" s="88" t="s">
        <v>949</v>
      </c>
      <c r="B6" s="63" t="s">
        <v>950</v>
      </c>
      <c r="C6" s="88" t="s">
        <v>951</v>
      </c>
      <c r="D6" s="88" t="s">
        <v>952</v>
      </c>
      <c r="E6" s="88" t="s">
        <v>710</v>
      </c>
      <c r="F6" s="88"/>
      <c r="G6" s="60"/>
    </row>
    <row r="7" customFormat="false" ht="15.75" hidden="false" customHeight="true" outlineLevel="0" collapsed="false">
      <c r="A7" s="88" t="s">
        <v>953</v>
      </c>
      <c r="B7" s="63" t="s">
        <v>954</v>
      </c>
      <c r="C7" s="88" t="s">
        <v>955</v>
      </c>
      <c r="D7" s="88" t="s">
        <v>956</v>
      </c>
      <c r="E7" s="88" t="s">
        <v>711</v>
      </c>
      <c r="F7" s="88"/>
      <c r="G7" s="60"/>
    </row>
    <row r="8" customFormat="false" ht="15.75" hidden="false" customHeight="true" outlineLevel="0" collapsed="false">
      <c r="A8" s="88" t="s">
        <v>957</v>
      </c>
      <c r="B8" s="63" t="s">
        <v>958</v>
      </c>
      <c r="C8" s="88" t="s">
        <v>955</v>
      </c>
      <c r="D8" s="88" t="s">
        <v>956</v>
      </c>
      <c r="E8" s="88" t="s">
        <v>711</v>
      </c>
      <c r="F8" s="88"/>
      <c r="G8" s="60"/>
    </row>
    <row r="9" customFormat="false" ht="15.75" hidden="false" customHeight="true" outlineLevel="0" collapsed="false">
      <c r="A9" s="88" t="s">
        <v>959</v>
      </c>
      <c r="B9" s="63" t="s">
        <v>960</v>
      </c>
      <c r="C9" s="88" t="s">
        <v>955</v>
      </c>
      <c r="D9" s="88" t="s">
        <v>956</v>
      </c>
      <c r="E9" s="88" t="s">
        <v>711</v>
      </c>
      <c r="F9" s="88"/>
      <c r="G9" s="60"/>
    </row>
    <row r="10" customFormat="false" ht="15.75" hidden="false" customHeight="true" outlineLevel="0" collapsed="false">
      <c r="A10" s="88" t="s">
        <v>961</v>
      </c>
      <c r="B10" s="63" t="s">
        <v>962</v>
      </c>
      <c r="C10" s="88" t="s">
        <v>963</v>
      </c>
      <c r="D10" s="88" t="s">
        <v>964</v>
      </c>
      <c r="E10" s="88" t="s">
        <v>965</v>
      </c>
      <c r="F10" s="88" t="s">
        <v>712</v>
      </c>
      <c r="G10" s="60"/>
    </row>
    <row r="11" customFormat="false" ht="15.75" hidden="false" customHeight="true" outlineLevel="0" collapsed="false">
      <c r="A11" s="88" t="s">
        <v>966</v>
      </c>
      <c r="B11" s="63" t="s">
        <v>967</v>
      </c>
      <c r="C11" s="88" t="s">
        <v>968</v>
      </c>
      <c r="D11" s="88" t="s">
        <v>969</v>
      </c>
      <c r="E11" s="88" t="s">
        <v>713</v>
      </c>
      <c r="F11" s="88" t="s">
        <v>970</v>
      </c>
      <c r="G11" s="60"/>
    </row>
    <row r="12" customFormat="false" ht="15.75" hidden="false" customHeight="true" outlineLevel="0" collapsed="false">
      <c r="A12" s="88" t="s">
        <v>971</v>
      </c>
      <c r="B12" s="63" t="s">
        <v>972</v>
      </c>
      <c r="C12" s="88" t="s">
        <v>973</v>
      </c>
      <c r="D12" s="88" t="s">
        <v>974</v>
      </c>
      <c r="E12" s="88" t="s">
        <v>714</v>
      </c>
      <c r="F12" s="88"/>
      <c r="G12" s="60"/>
    </row>
    <row r="13" customFormat="false" ht="15.75" hidden="false" customHeight="true" outlineLevel="0" collapsed="false">
      <c r="A13" s="47"/>
      <c r="B13" s="47"/>
      <c r="C13" s="47"/>
      <c r="D13" s="47"/>
      <c r="E13" s="47"/>
      <c r="F13" s="47"/>
      <c r="G13" s="57"/>
    </row>
    <row r="14" customFormat="false" ht="15.75" hidden="false" customHeight="true" outlineLevel="0" collapsed="false">
      <c r="A14" s="87" t="s">
        <v>939</v>
      </c>
      <c r="B14" s="87" t="s">
        <v>940</v>
      </c>
      <c r="C14" s="87" t="s">
        <v>941</v>
      </c>
      <c r="D14" s="87"/>
      <c r="E14" s="87"/>
      <c r="F14" s="87"/>
      <c r="G14" s="60"/>
    </row>
    <row r="15" customFormat="false" ht="15.75" hidden="false" customHeight="true" outlineLevel="0" collapsed="false">
      <c r="A15" s="88" t="s">
        <v>975</v>
      </c>
      <c r="B15" s="63" t="s">
        <v>943</v>
      </c>
      <c r="C15" s="63" t="n">
        <v>0.395</v>
      </c>
      <c r="D15" s="63" t="n">
        <v>0.646</v>
      </c>
      <c r="E15" s="63" t="n">
        <v>1</v>
      </c>
      <c r="F15" s="63"/>
      <c r="G15" s="60"/>
    </row>
    <row r="16" customFormat="false" ht="15.75" hidden="false" customHeight="true" outlineLevel="0" collapsed="false">
      <c r="A16" s="88" t="s">
        <v>976</v>
      </c>
      <c r="B16" s="63" t="s">
        <v>947</v>
      </c>
      <c r="C16" s="63" t="n">
        <v>0.35</v>
      </c>
      <c r="D16" s="63" t="n">
        <v>0.61</v>
      </c>
      <c r="E16" s="63" t="n">
        <v>0.71</v>
      </c>
      <c r="F16" s="63"/>
      <c r="G16" s="60"/>
    </row>
    <row r="17" customFormat="false" ht="15.75" hidden="false" customHeight="true" outlineLevel="0" collapsed="false">
      <c r="A17" s="88" t="s">
        <v>977</v>
      </c>
      <c r="B17" s="63" t="s">
        <v>950</v>
      </c>
      <c r="C17" s="63" t="n">
        <v>0.45</v>
      </c>
      <c r="D17" s="63" t="n">
        <v>0.56</v>
      </c>
      <c r="E17" s="63" t="n">
        <v>0.704</v>
      </c>
      <c r="F17" s="63"/>
      <c r="G17" s="60"/>
    </row>
    <row r="18" customFormat="false" ht="15.75" hidden="false" customHeight="true" outlineLevel="0" collapsed="false">
      <c r="A18" s="88" t="s">
        <v>978</v>
      </c>
      <c r="B18" s="63" t="s">
        <v>954</v>
      </c>
      <c r="C18" s="63" t="n">
        <f aca="false">0</f>
        <v>0</v>
      </c>
      <c r="D18" s="63" t="n">
        <f aca="false">0.275</f>
        <v>0.275</v>
      </c>
      <c r="E18" s="63" t="n">
        <f aca="false">0.66</f>
        <v>0.66</v>
      </c>
      <c r="F18" s="63"/>
      <c r="G18" s="60"/>
    </row>
    <row r="19" customFormat="false" ht="15.75" hidden="false" customHeight="true" outlineLevel="0" collapsed="false">
      <c r="A19" s="88" t="s">
        <v>979</v>
      </c>
      <c r="B19" s="63" t="s">
        <v>958</v>
      </c>
      <c r="C19" s="63" t="n">
        <f aca="false">0</f>
        <v>0</v>
      </c>
      <c r="D19" s="63" t="n">
        <f aca="false">0.275</f>
        <v>0.275</v>
      </c>
      <c r="E19" s="63" t="n">
        <f aca="false">0.66</f>
        <v>0.66</v>
      </c>
      <c r="F19" s="63"/>
      <c r="G19" s="60"/>
    </row>
    <row r="20" customFormat="false" ht="15.75" hidden="false" customHeight="true" outlineLevel="0" collapsed="false">
      <c r="A20" s="88" t="s">
        <v>980</v>
      </c>
      <c r="B20" s="63" t="s">
        <v>960</v>
      </c>
      <c r="C20" s="63" t="n">
        <f aca="false">0</f>
        <v>0</v>
      </c>
      <c r="D20" s="63" t="n">
        <f aca="false">0.275</f>
        <v>0.275</v>
      </c>
      <c r="E20" s="63" t="n">
        <f aca="false">0.66</f>
        <v>0.66</v>
      </c>
      <c r="F20" s="63"/>
      <c r="G20" s="60"/>
    </row>
    <row r="21" customFormat="false" ht="15.75" hidden="false" customHeight="true" outlineLevel="0" collapsed="false">
      <c r="A21" s="88" t="s">
        <v>981</v>
      </c>
      <c r="B21" s="63" t="s">
        <v>962</v>
      </c>
      <c r="C21" s="63" t="n">
        <v>0.85</v>
      </c>
      <c r="D21" s="63" t="n">
        <v>0.9</v>
      </c>
      <c r="E21" s="63" t="n">
        <v>0.95</v>
      </c>
      <c r="F21" s="63" t="n">
        <v>1</v>
      </c>
      <c r="G21" s="60"/>
    </row>
    <row r="22" customFormat="false" ht="15.75" hidden="false" customHeight="true" outlineLevel="0" collapsed="false">
      <c r="A22" s="88" t="s">
        <v>982</v>
      </c>
      <c r="B22" s="63" t="s">
        <v>967</v>
      </c>
      <c r="C22" s="63" t="n">
        <v>0.87</v>
      </c>
      <c r="D22" s="63" t="n">
        <v>0.9</v>
      </c>
      <c r="E22" s="63" t="n">
        <v>0.95</v>
      </c>
      <c r="F22" s="63" t="n">
        <v>1</v>
      </c>
      <c r="G22" s="60"/>
    </row>
    <row r="23" customFormat="false" ht="15.75" hidden="false" customHeight="true" outlineLevel="0" collapsed="false">
      <c r="A23" s="88" t="s">
        <v>983</v>
      </c>
      <c r="B23" s="63" t="s">
        <v>972</v>
      </c>
      <c r="C23" s="63" t="n">
        <v>0.9</v>
      </c>
      <c r="D23" s="63" t="n">
        <v>0.95</v>
      </c>
      <c r="E23" s="63" t="n">
        <v>1</v>
      </c>
      <c r="F23" s="63"/>
      <c r="G23" s="60"/>
    </row>
    <row r="24" customFormat="false" ht="15.75" hidden="false" customHeight="true" outlineLevel="0" collapsed="false">
      <c r="A24" s="47"/>
      <c r="B24" s="47"/>
      <c r="C24" s="47"/>
      <c r="D24" s="47"/>
      <c r="E24" s="47"/>
      <c r="F24" s="47"/>
      <c r="G24" s="57"/>
    </row>
    <row r="25" customFormat="false" ht="15.75" hidden="false" customHeight="true" outlineLevel="0" collapsed="false">
      <c r="A25" s="87" t="s">
        <v>939</v>
      </c>
      <c r="B25" s="87" t="s">
        <v>940</v>
      </c>
      <c r="C25" s="87" t="s">
        <v>941</v>
      </c>
      <c r="D25" s="87"/>
      <c r="E25" s="87"/>
      <c r="F25" s="87"/>
      <c r="G25" s="60"/>
    </row>
    <row r="26" customFormat="false" ht="15.75" hidden="false" customHeight="true" outlineLevel="0" collapsed="false">
      <c r="A26" s="88" t="s">
        <v>975</v>
      </c>
      <c r="B26" s="63" t="s">
        <v>943</v>
      </c>
      <c r="C26" s="63" t="s">
        <v>984</v>
      </c>
      <c r="D26" s="63" t="s">
        <v>960</v>
      </c>
      <c r="E26" s="63" t="s">
        <v>985</v>
      </c>
      <c r="F26" s="63"/>
      <c r="G26" s="60"/>
    </row>
    <row r="27" customFormat="false" ht="15.75" hidden="false" customHeight="true" outlineLevel="0" collapsed="false">
      <c r="A27" s="88" t="s">
        <v>976</v>
      </c>
      <c r="B27" s="63" t="s">
        <v>947</v>
      </c>
      <c r="C27" s="63" t="s">
        <v>986</v>
      </c>
      <c r="D27" s="63" t="s">
        <v>987</v>
      </c>
      <c r="E27" s="63" t="s">
        <v>984</v>
      </c>
      <c r="F27" s="63"/>
      <c r="G27" s="60"/>
    </row>
    <row r="28" customFormat="false" ht="15.75" hidden="false" customHeight="true" outlineLevel="0" collapsed="false">
      <c r="A28" s="88" t="s">
        <v>977</v>
      </c>
      <c r="B28" s="63" t="s">
        <v>950</v>
      </c>
      <c r="C28" s="63" t="s">
        <v>987</v>
      </c>
      <c r="D28" s="63" t="s">
        <v>988</v>
      </c>
      <c r="E28" s="63" t="s">
        <v>985</v>
      </c>
      <c r="F28" s="63"/>
      <c r="G28" s="60"/>
    </row>
    <row r="29" customFormat="false" ht="15.75" hidden="false" customHeight="true" outlineLevel="0" collapsed="false">
      <c r="A29" s="88" t="s">
        <v>978</v>
      </c>
      <c r="B29" s="63" t="s">
        <v>954</v>
      </c>
      <c r="C29" s="63" t="s">
        <v>985</v>
      </c>
      <c r="D29" s="63" t="s">
        <v>989</v>
      </c>
      <c r="E29" s="63" t="s">
        <v>954</v>
      </c>
      <c r="F29" s="63"/>
      <c r="G29" s="60"/>
    </row>
    <row r="30" customFormat="false" ht="15.75" hidden="false" customHeight="true" outlineLevel="0" collapsed="false">
      <c r="A30" s="88" t="s">
        <v>979</v>
      </c>
      <c r="B30" s="63" t="s">
        <v>958</v>
      </c>
      <c r="C30" s="63" t="s">
        <v>985</v>
      </c>
      <c r="D30" s="63" t="s">
        <v>989</v>
      </c>
      <c r="E30" s="63" t="s">
        <v>954</v>
      </c>
      <c r="F30" s="63"/>
      <c r="G30" s="60"/>
    </row>
    <row r="31" customFormat="false" ht="15.75" hidden="false" customHeight="true" outlineLevel="0" collapsed="false">
      <c r="A31" s="88" t="s">
        <v>980</v>
      </c>
      <c r="B31" s="63" t="s">
        <v>960</v>
      </c>
      <c r="C31" s="63" t="s">
        <v>985</v>
      </c>
      <c r="D31" s="63" t="s">
        <v>989</v>
      </c>
      <c r="E31" s="63" t="s">
        <v>954</v>
      </c>
      <c r="F31" s="63"/>
      <c r="G31" s="60"/>
    </row>
    <row r="32" customFormat="false" ht="15.75" hidden="false" customHeight="true" outlineLevel="0" collapsed="false">
      <c r="A32" s="88" t="s">
        <v>981</v>
      </c>
      <c r="B32" s="63" t="s">
        <v>962</v>
      </c>
      <c r="C32" s="63" t="s">
        <v>990</v>
      </c>
      <c r="D32" s="63" t="s">
        <v>989</v>
      </c>
      <c r="E32" s="63" t="s">
        <v>991</v>
      </c>
      <c r="F32" s="63" t="s">
        <v>986</v>
      </c>
      <c r="G32" s="60"/>
    </row>
    <row r="33" customFormat="false" ht="15.75" hidden="false" customHeight="true" outlineLevel="0" collapsed="false">
      <c r="A33" s="88" t="s">
        <v>982</v>
      </c>
      <c r="B33" s="63" t="s">
        <v>967</v>
      </c>
      <c r="C33" s="63" t="s">
        <v>992</v>
      </c>
      <c r="D33" s="63" t="s">
        <v>993</v>
      </c>
      <c r="E33" s="63" t="s">
        <v>994</v>
      </c>
      <c r="F33" s="63" t="s">
        <v>990</v>
      </c>
      <c r="G33" s="60"/>
    </row>
    <row r="34" customFormat="false" ht="15.75" hidden="false" customHeight="true" outlineLevel="0" collapsed="false">
      <c r="A34" s="88" t="s">
        <v>983</v>
      </c>
      <c r="B34" s="63" t="s">
        <v>972</v>
      </c>
      <c r="C34" s="63" t="s">
        <v>995</v>
      </c>
      <c r="D34" s="63" t="s">
        <v>996</v>
      </c>
      <c r="E34" s="63" t="s">
        <v>954</v>
      </c>
      <c r="F34" s="63"/>
      <c r="G34" s="60"/>
    </row>
    <row r="35" customFormat="false" ht="15.75" hidden="false" customHeight="true" outlineLevel="0" collapsed="false">
      <c r="A35" s="46"/>
      <c r="B35" s="46"/>
      <c r="C35" s="46"/>
      <c r="D35" s="46"/>
      <c r="E35" s="46"/>
      <c r="F35" s="46"/>
      <c r="G35" s="57"/>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F1"/>
    <mergeCell ref="C3:F3"/>
    <mergeCell ref="C14:F14"/>
    <mergeCell ref="C25:F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Z98"/>
  <sheetViews>
    <sheetView showFormulas="false" showGridLines="true" showRowColHeaders="true" showZeros="true" rightToLeft="false" tabSelected="false" showOutlineSymbols="true" defaultGridColor="true" view="normal" topLeftCell="J82" colorId="64" zoomScale="100" zoomScaleNormal="100" zoomScalePageLayoutView="100" workbookViewId="0">
      <selection pane="topLeft" activeCell="P2" activeCellId="0" sqref="P2"/>
    </sheetView>
  </sheetViews>
  <sheetFormatPr defaultRowHeight="15" zeroHeight="false" outlineLevelRow="0" outlineLevelCol="0"/>
  <cols>
    <col collapsed="false" customWidth="true" hidden="false" outlineLevel="0" max="1" min="1" style="0" width="21.06"/>
    <col collapsed="false" customWidth="true" hidden="false" outlineLevel="0" max="2" min="2" style="0" width="35.91"/>
    <col collapsed="false" customWidth="true" hidden="false" outlineLevel="0" max="3" min="3" style="0" width="41.58"/>
    <col collapsed="false" customWidth="true" hidden="false" outlineLevel="0" max="4" min="4" style="0" width="22.81"/>
    <col collapsed="false" customWidth="true" hidden="false" outlineLevel="0" max="5" min="5" style="0" width="41.31"/>
    <col collapsed="false" customWidth="true" hidden="false" outlineLevel="0" max="6" min="6" style="0" width="20.11"/>
    <col collapsed="false" customWidth="true" hidden="false" outlineLevel="0" max="7" min="7" style="0" width="30.51"/>
    <col collapsed="false" customWidth="true" hidden="false" outlineLevel="0" max="8" min="8" style="0" width="36.85"/>
    <col collapsed="false" customWidth="true" hidden="false" outlineLevel="0" max="9" min="9" style="0" width="35.64"/>
    <col collapsed="false" customWidth="true" hidden="false" outlineLevel="0" max="26" min="10" style="0" width="16.2"/>
    <col collapsed="false" customWidth="true" hidden="false" outlineLevel="0" max="1025" min="27" style="0" width="19.44"/>
  </cols>
  <sheetData>
    <row r="1" customFormat="false" ht="15.75" hidden="false" customHeight="true" outlineLevel="0" collapsed="false">
      <c r="A1" s="89" t="s">
        <v>997</v>
      </c>
      <c r="B1" s="89" t="s">
        <v>998</v>
      </c>
      <c r="C1" s="89" t="s">
        <v>999</v>
      </c>
      <c r="D1" s="89" t="s">
        <v>1000</v>
      </c>
      <c r="E1" s="89" t="s">
        <v>1001</v>
      </c>
      <c r="F1" s="89" t="s">
        <v>1002</v>
      </c>
      <c r="G1" s="89" t="s">
        <v>1003</v>
      </c>
      <c r="H1" s="89" t="s">
        <v>1004</v>
      </c>
      <c r="I1" s="89" t="s">
        <v>1005</v>
      </c>
      <c r="J1" s="89" t="s">
        <v>1006</v>
      </c>
      <c r="K1" s="13" t="s">
        <v>914</v>
      </c>
      <c r="L1" s="89" t="s">
        <v>1007</v>
      </c>
      <c r="M1" s="89" t="s">
        <v>1008</v>
      </c>
      <c r="N1" s="89" t="s">
        <v>1009</v>
      </c>
      <c r="O1" s="89" t="s">
        <v>1010</v>
      </c>
      <c r="P1" s="89" t="s">
        <v>1011</v>
      </c>
      <c r="Q1" s="89" t="s">
        <v>1012</v>
      </c>
      <c r="R1" s="89" t="s">
        <v>1013</v>
      </c>
      <c r="S1" s="3"/>
      <c r="T1" s="3"/>
      <c r="U1" s="3"/>
      <c r="V1" s="3"/>
      <c r="W1" s="3"/>
      <c r="X1" s="3"/>
      <c r="Y1" s="3"/>
      <c r="Z1" s="3"/>
    </row>
    <row r="2" customFormat="false" ht="15.75" hidden="false" customHeight="true" outlineLevel="0" collapsed="false">
      <c r="A2" s="3" t="s">
        <v>1014</v>
      </c>
      <c r="B2" s="3" t="s">
        <v>1015</v>
      </c>
      <c r="C2" s="3" t="s">
        <v>1016</v>
      </c>
      <c r="D2" s="3" t="s">
        <v>1017</v>
      </c>
      <c r="E2" s="3" t="s">
        <v>1018</v>
      </c>
      <c r="F2" s="3" t="s">
        <v>1019</v>
      </c>
      <c r="G2" s="3" t="s">
        <v>1020</v>
      </c>
      <c r="H2" s="3" t="s">
        <v>1021</v>
      </c>
      <c r="I2" s="3" t="s">
        <v>1022</v>
      </c>
      <c r="J2" s="3" t="s">
        <v>1023</v>
      </c>
      <c r="K2" s="3" t="s">
        <v>1024</v>
      </c>
      <c r="L2" s="90" t="n">
        <v>1</v>
      </c>
      <c r="M2" s="3" t="s">
        <v>1025</v>
      </c>
      <c r="N2" s="3" t="s">
        <v>1026</v>
      </c>
      <c r="O2" s="3" t="s">
        <v>1027</v>
      </c>
      <c r="P2" s="3" t="s">
        <v>1028</v>
      </c>
      <c r="Q2" s="3" t="s">
        <v>1029</v>
      </c>
      <c r="R2" s="3" t="s">
        <v>1030</v>
      </c>
      <c r="S2" s="3"/>
      <c r="T2" s="3"/>
      <c r="U2" s="3"/>
      <c r="V2" s="3"/>
      <c r="W2" s="3"/>
      <c r="X2" s="3"/>
      <c r="Y2" s="3"/>
      <c r="Z2" s="3"/>
    </row>
    <row r="3" customFormat="false" ht="15.75" hidden="false" customHeight="true" outlineLevel="0" collapsed="false">
      <c r="A3" s="3" t="s">
        <v>1031</v>
      </c>
      <c r="B3" s="3" t="s">
        <v>1032</v>
      </c>
      <c r="C3" s="3" t="s">
        <v>1033</v>
      </c>
      <c r="D3" s="3" t="s">
        <v>352</v>
      </c>
      <c r="E3" s="3" t="s">
        <v>1034</v>
      </c>
      <c r="F3" s="3" t="s">
        <v>1035</v>
      </c>
      <c r="G3" s="3" t="s">
        <v>1036</v>
      </c>
      <c r="H3" s="3" t="s">
        <v>1037</v>
      </c>
      <c r="I3" s="3" t="s">
        <v>1038</v>
      </c>
      <c r="J3" s="3" t="s">
        <v>1039</v>
      </c>
      <c r="K3" s="3" t="s">
        <v>1040</v>
      </c>
      <c r="L3" s="90" t="n">
        <v>2</v>
      </c>
      <c r="M3" s="3" t="s">
        <v>1041</v>
      </c>
      <c r="N3" s="3" t="s">
        <v>1042</v>
      </c>
      <c r="O3" s="3" t="s">
        <v>1043</v>
      </c>
      <c r="P3" s="3" t="s">
        <v>1044</v>
      </c>
      <c r="Q3" s="3" t="s">
        <v>1045</v>
      </c>
      <c r="R3" s="3"/>
      <c r="S3" s="3"/>
      <c r="T3" s="3"/>
      <c r="U3" s="3"/>
      <c r="V3" s="3"/>
      <c r="W3" s="3"/>
      <c r="X3" s="3"/>
      <c r="Y3" s="3"/>
      <c r="Z3" s="3"/>
    </row>
    <row r="4" customFormat="false" ht="15.75" hidden="false" customHeight="true" outlineLevel="0" collapsed="false">
      <c r="A4" s="3" t="s">
        <v>1046</v>
      </c>
      <c r="B4" s="3" t="s">
        <v>1047</v>
      </c>
      <c r="C4" s="3" t="s">
        <v>1048</v>
      </c>
      <c r="D4" s="3" t="s">
        <v>1049</v>
      </c>
      <c r="E4" s="3" t="s">
        <v>1050</v>
      </c>
      <c r="F4" s="3" t="s">
        <v>1051</v>
      </c>
      <c r="G4" s="3" t="s">
        <v>1052</v>
      </c>
      <c r="H4" s="3" t="s">
        <v>352</v>
      </c>
      <c r="I4" s="3" t="s">
        <v>1053</v>
      </c>
      <c r="J4" s="3" t="s">
        <v>1054</v>
      </c>
      <c r="K4" s="3" t="s">
        <v>1055</v>
      </c>
      <c r="L4" s="90" t="n">
        <v>3</v>
      </c>
      <c r="M4" s="3" t="s">
        <v>1056</v>
      </c>
      <c r="N4" s="3" t="s">
        <v>399</v>
      </c>
      <c r="O4" s="3" t="s">
        <v>1057</v>
      </c>
      <c r="P4" s="3" t="s">
        <v>1058</v>
      </c>
      <c r="Q4" s="3" t="s">
        <v>1059</v>
      </c>
      <c r="R4" s="3"/>
      <c r="S4" s="3"/>
      <c r="T4" s="3"/>
      <c r="U4" s="3"/>
      <c r="V4" s="3"/>
      <c r="W4" s="3"/>
      <c r="X4" s="3"/>
      <c r="Y4" s="3"/>
      <c r="Z4" s="3"/>
    </row>
    <row r="5" customFormat="false" ht="15.75" hidden="false" customHeight="true" outlineLevel="0" collapsed="false">
      <c r="A5" s="3" t="s">
        <v>1060</v>
      </c>
      <c r="B5" s="3" t="s">
        <v>1061</v>
      </c>
      <c r="C5" s="3" t="s">
        <v>1062</v>
      </c>
      <c r="D5" s="3" t="s">
        <v>1063</v>
      </c>
      <c r="E5" s="3" t="s">
        <v>1064</v>
      </c>
      <c r="F5" s="3" t="s">
        <v>1065</v>
      </c>
      <c r="G5" s="3" t="s">
        <v>1066</v>
      </c>
      <c r="H5" s="3" t="s">
        <v>1067</v>
      </c>
      <c r="I5" s="3" t="s">
        <v>1066</v>
      </c>
      <c r="J5" s="3"/>
      <c r="K5" s="3" t="s">
        <v>1068</v>
      </c>
      <c r="L5" s="90" t="n">
        <v>4</v>
      </c>
      <c r="M5" s="3" t="s">
        <v>1069</v>
      </c>
      <c r="N5" s="3" t="s">
        <v>1070</v>
      </c>
      <c r="O5" s="3" t="s">
        <v>1071</v>
      </c>
      <c r="P5" s="3" t="s">
        <v>1072</v>
      </c>
      <c r="Q5" s="3" t="s">
        <v>1073</v>
      </c>
      <c r="R5" s="3"/>
      <c r="S5" s="3"/>
      <c r="T5" s="3"/>
      <c r="U5" s="3"/>
      <c r="V5" s="3"/>
      <c r="W5" s="3"/>
      <c r="X5" s="3"/>
      <c r="Y5" s="3"/>
      <c r="Z5" s="3"/>
    </row>
    <row r="6" customFormat="false" ht="15.75" hidden="false" customHeight="true" outlineLevel="0" collapsed="false">
      <c r="A6" s="3" t="s">
        <v>1074</v>
      </c>
      <c r="B6" s="3" t="s">
        <v>1015</v>
      </c>
      <c r="C6" s="3" t="s">
        <v>1075</v>
      </c>
      <c r="D6" s="3" t="s">
        <v>1067</v>
      </c>
      <c r="E6" s="3" t="s">
        <v>1076</v>
      </c>
      <c r="F6" s="3" t="s">
        <v>1077</v>
      </c>
      <c r="G6" s="3" t="s">
        <v>1078</v>
      </c>
      <c r="H6" s="3" t="s">
        <v>1079</v>
      </c>
      <c r="I6" s="91" t="s">
        <v>1080</v>
      </c>
      <c r="J6" s="3"/>
      <c r="K6" s="3" t="s">
        <v>1066</v>
      </c>
      <c r="L6" s="90" t="n">
        <v>5</v>
      </c>
      <c r="M6" s="3" t="s">
        <v>1066</v>
      </c>
      <c r="N6" s="3" t="s">
        <v>44</v>
      </c>
      <c r="O6" s="3" t="s">
        <v>1081</v>
      </c>
      <c r="P6" s="3" t="s">
        <v>1082</v>
      </c>
      <c r="Q6" s="3" t="s">
        <v>1083</v>
      </c>
      <c r="R6" s="3"/>
      <c r="S6" s="3"/>
      <c r="T6" s="3"/>
      <c r="U6" s="3"/>
      <c r="V6" s="3"/>
      <c r="W6" s="3"/>
      <c r="X6" s="3"/>
      <c r="Y6" s="3"/>
      <c r="Z6" s="3"/>
    </row>
    <row r="7" customFormat="false" ht="15.75" hidden="false" customHeight="true" outlineLevel="0" collapsed="false">
      <c r="A7" s="3" t="s">
        <v>1084</v>
      </c>
      <c r="B7" s="3" t="s">
        <v>1085</v>
      </c>
      <c r="C7" s="3" t="s">
        <v>1086</v>
      </c>
      <c r="D7" s="3"/>
      <c r="E7" s="3" t="s">
        <v>1087</v>
      </c>
      <c r="F7" s="3"/>
      <c r="G7" s="3" t="s">
        <v>1088</v>
      </c>
      <c r="H7" s="3"/>
      <c r="I7" s="91" t="s">
        <v>1089</v>
      </c>
      <c r="J7" s="91"/>
      <c r="K7" s="3"/>
      <c r="L7" s="3" t="s">
        <v>1066</v>
      </c>
      <c r="M7" s="3" t="s">
        <v>1090</v>
      </c>
      <c r="N7" s="3" t="s">
        <v>1091</v>
      </c>
      <c r="O7" s="3" t="s">
        <v>1092</v>
      </c>
      <c r="P7" s="3" t="s">
        <v>1093</v>
      </c>
      <c r="Q7" s="3" t="s">
        <v>1094</v>
      </c>
      <c r="R7" s="3"/>
      <c r="S7" s="3"/>
      <c r="T7" s="3"/>
      <c r="U7" s="3"/>
      <c r="V7" s="3"/>
      <c r="W7" s="3"/>
      <c r="X7" s="3"/>
      <c r="Y7" s="3"/>
      <c r="Z7" s="3"/>
    </row>
    <row r="8" customFormat="false" ht="15.75" hidden="false" customHeight="true" outlineLevel="0" collapsed="false">
      <c r="A8" s="3" t="s">
        <v>1095</v>
      </c>
      <c r="B8" s="3" t="s">
        <v>1096</v>
      </c>
      <c r="C8" s="3" t="s">
        <v>1097</v>
      </c>
      <c r="D8" s="3"/>
      <c r="E8" s="3" t="s">
        <v>1098</v>
      </c>
      <c r="F8" s="3"/>
      <c r="G8" s="3" t="s">
        <v>1099</v>
      </c>
      <c r="H8" s="3"/>
      <c r="I8" s="91" t="s">
        <v>1100</v>
      </c>
      <c r="J8" s="91"/>
      <c r="K8" s="3"/>
      <c r="L8" s="3"/>
      <c r="M8" s="3"/>
      <c r="N8" s="3" t="s">
        <v>1101</v>
      </c>
      <c r="O8" s="3" t="s">
        <v>1102</v>
      </c>
      <c r="P8" s="3" t="s">
        <v>1103</v>
      </c>
      <c r="Q8" s="3" t="s">
        <v>1104</v>
      </c>
      <c r="R8" s="3"/>
      <c r="S8" s="3"/>
      <c r="T8" s="3"/>
      <c r="U8" s="3"/>
      <c r="V8" s="3"/>
      <c r="W8" s="3"/>
      <c r="X8" s="3"/>
      <c r="Y8" s="3"/>
      <c r="Z8" s="3"/>
    </row>
    <row r="9" customFormat="false" ht="15.75" hidden="false" customHeight="true" outlineLevel="0" collapsed="false">
      <c r="A9" s="3" t="s">
        <v>1105</v>
      </c>
      <c r="B9" s="3" t="s">
        <v>1106</v>
      </c>
      <c r="C9" s="3" t="s">
        <v>1107</v>
      </c>
      <c r="D9" s="3"/>
      <c r="E9" s="3" t="s">
        <v>1108</v>
      </c>
      <c r="F9" s="3"/>
      <c r="G9" s="3" t="s">
        <v>1109</v>
      </c>
      <c r="H9" s="3"/>
      <c r="I9" s="91" t="s">
        <v>1110</v>
      </c>
      <c r="J9" s="3"/>
      <c r="K9" s="3"/>
      <c r="L9" s="3"/>
      <c r="M9" s="3"/>
      <c r="N9" s="3" t="s">
        <v>1111</v>
      </c>
      <c r="O9" s="3" t="s">
        <v>1112</v>
      </c>
      <c r="P9" s="3" t="s">
        <v>1113</v>
      </c>
      <c r="Q9" s="3" t="s">
        <v>1114</v>
      </c>
      <c r="R9" s="3"/>
      <c r="S9" s="3"/>
      <c r="T9" s="3"/>
      <c r="U9" s="3"/>
      <c r="V9" s="3"/>
      <c r="W9" s="3"/>
      <c r="X9" s="3"/>
      <c r="Y9" s="3"/>
      <c r="Z9" s="3"/>
    </row>
    <row r="10" customFormat="false" ht="15.75" hidden="false" customHeight="true" outlineLevel="0" collapsed="false">
      <c r="A10" s="3" t="s">
        <v>1115</v>
      </c>
      <c r="B10" s="3" t="s">
        <v>1116</v>
      </c>
      <c r="C10" s="3" t="s">
        <v>1117</v>
      </c>
      <c r="D10" s="3"/>
      <c r="E10" s="3" t="s">
        <v>1118</v>
      </c>
      <c r="F10" s="3"/>
      <c r="G10" s="3" t="s">
        <v>1119</v>
      </c>
      <c r="H10" s="3"/>
      <c r="I10" s="91" t="s">
        <v>1120</v>
      </c>
      <c r="J10" s="91"/>
      <c r="K10" s="91"/>
      <c r="L10" s="91"/>
      <c r="M10" s="3"/>
      <c r="N10" s="3" t="s">
        <v>1121</v>
      </c>
      <c r="O10" s="3" t="s">
        <v>1122</v>
      </c>
      <c r="P10" s="3" t="s">
        <v>1123</v>
      </c>
      <c r="Q10" s="3" t="s">
        <v>1124</v>
      </c>
      <c r="R10" s="3"/>
      <c r="S10" s="3"/>
      <c r="T10" s="3"/>
      <c r="U10" s="3"/>
      <c r="V10" s="3"/>
      <c r="W10" s="3"/>
      <c r="X10" s="3"/>
      <c r="Y10" s="3"/>
      <c r="Z10" s="3"/>
    </row>
    <row r="11" customFormat="false" ht="15.75" hidden="false" customHeight="true" outlineLevel="0" collapsed="false">
      <c r="A11" s="3" t="s">
        <v>1125</v>
      </c>
      <c r="B11" s="3" t="s">
        <v>1067</v>
      </c>
      <c r="C11" s="3" t="s">
        <v>1126</v>
      </c>
      <c r="D11" s="3"/>
      <c r="E11" s="3" t="s">
        <v>1127</v>
      </c>
      <c r="F11" s="3"/>
      <c r="G11" s="3" t="s">
        <v>1128</v>
      </c>
      <c r="H11" s="3"/>
      <c r="I11" s="91" t="s">
        <v>1129</v>
      </c>
      <c r="J11" s="3"/>
      <c r="K11" s="3"/>
      <c r="L11" s="3"/>
      <c r="M11" s="3"/>
      <c r="N11" s="3" t="s">
        <v>55</v>
      </c>
      <c r="O11" s="3" t="s">
        <v>1130</v>
      </c>
      <c r="P11" s="3" t="s">
        <v>1131</v>
      </c>
      <c r="Q11" s="3"/>
      <c r="R11" s="3"/>
      <c r="S11" s="3"/>
      <c r="T11" s="3"/>
      <c r="U11" s="3"/>
      <c r="V11" s="3"/>
      <c r="W11" s="3"/>
      <c r="X11" s="3"/>
      <c r="Y11" s="3"/>
      <c r="Z11" s="3"/>
    </row>
    <row r="12" customFormat="false" ht="15.75" hidden="false" customHeight="true" outlineLevel="0" collapsed="false">
      <c r="A12" s="3"/>
      <c r="B12" s="3" t="s">
        <v>1132</v>
      </c>
      <c r="C12" s="3" t="s">
        <v>1133</v>
      </c>
      <c r="D12" s="3"/>
      <c r="E12" s="3" t="s">
        <v>1134</v>
      </c>
      <c r="F12" s="3"/>
      <c r="G12" s="3"/>
      <c r="H12" s="3"/>
      <c r="I12" s="3" t="s">
        <v>132</v>
      </c>
      <c r="J12" s="3"/>
      <c r="K12" s="3"/>
      <c r="L12" s="3"/>
      <c r="M12" s="3"/>
      <c r="N12" s="3" t="s">
        <v>1135</v>
      </c>
      <c r="O12" s="3" t="s">
        <v>1136</v>
      </c>
      <c r="P12" s="3" t="s">
        <v>1137</v>
      </c>
      <c r="Q12" s="3"/>
      <c r="R12" s="3"/>
      <c r="S12" s="3"/>
      <c r="T12" s="3"/>
      <c r="U12" s="3"/>
      <c r="V12" s="3"/>
      <c r="W12" s="3"/>
      <c r="X12" s="3"/>
      <c r="Y12" s="3"/>
      <c r="Z12" s="3"/>
    </row>
    <row r="13" customFormat="false" ht="15.75" hidden="false" customHeight="true" outlineLevel="0" collapsed="false">
      <c r="A13" s="3"/>
      <c r="B13" s="3" t="s">
        <v>1138</v>
      </c>
      <c r="C13" s="3" t="s">
        <v>1139</v>
      </c>
      <c r="D13" s="3"/>
      <c r="E13" s="3" t="s">
        <v>1140</v>
      </c>
      <c r="F13" s="3"/>
      <c r="G13" s="3"/>
      <c r="H13" s="3"/>
      <c r="I13" s="91" t="s">
        <v>1141</v>
      </c>
      <c r="J13" s="3"/>
      <c r="K13" s="3"/>
      <c r="L13" s="3"/>
      <c r="M13" s="3"/>
      <c r="N13" s="3" t="s">
        <v>1142</v>
      </c>
      <c r="O13" s="3" t="s">
        <v>1143</v>
      </c>
      <c r="P13" s="3" t="s">
        <v>1144</v>
      </c>
      <c r="Q13" s="3"/>
      <c r="R13" s="3"/>
      <c r="S13" s="3"/>
      <c r="T13" s="3"/>
      <c r="U13" s="3"/>
      <c r="V13" s="3"/>
      <c r="W13" s="3"/>
      <c r="X13" s="3"/>
      <c r="Y13" s="3"/>
      <c r="Z13" s="3"/>
    </row>
    <row r="14" customFormat="false" ht="15.75" hidden="false" customHeight="true" outlineLevel="0" collapsed="false">
      <c r="A14" s="3"/>
      <c r="B14" s="3"/>
      <c r="C14" s="3" t="s">
        <v>1046</v>
      </c>
      <c r="D14" s="3"/>
      <c r="E14" s="3" t="s">
        <v>1145</v>
      </c>
      <c r="F14" s="3"/>
      <c r="G14" s="3"/>
      <c r="H14" s="3"/>
      <c r="I14" s="91" t="s">
        <v>1146</v>
      </c>
      <c r="J14" s="3"/>
      <c r="K14" s="3"/>
      <c r="L14" s="3"/>
      <c r="M14" s="3"/>
      <c r="N14" s="3" t="s">
        <v>1</v>
      </c>
      <c r="O14" s="3"/>
      <c r="P14" s="3" t="s">
        <v>1147</v>
      </c>
      <c r="Q14" s="3"/>
      <c r="R14" s="3"/>
      <c r="S14" s="3"/>
      <c r="T14" s="3"/>
      <c r="U14" s="3"/>
      <c r="V14" s="3"/>
      <c r="W14" s="3"/>
      <c r="X14" s="3"/>
      <c r="Y14" s="3"/>
      <c r="Z14" s="3"/>
    </row>
    <row r="15" customFormat="false" ht="15.75" hidden="false" customHeight="true" outlineLevel="0" collapsed="false">
      <c r="A15" s="3"/>
      <c r="B15" s="3"/>
      <c r="C15" s="3" t="s">
        <v>1148</v>
      </c>
      <c r="D15" s="3"/>
      <c r="E15" s="3" t="s">
        <v>1149</v>
      </c>
      <c r="F15" s="3"/>
      <c r="G15" s="3"/>
      <c r="H15" s="3"/>
      <c r="I15" s="91" t="s">
        <v>1150</v>
      </c>
      <c r="J15" s="91"/>
      <c r="K15" s="3"/>
      <c r="L15" s="3"/>
      <c r="M15" s="3"/>
      <c r="N15" s="3" t="s">
        <v>1151</v>
      </c>
      <c r="O15" s="3"/>
      <c r="P15" s="3" t="s">
        <v>1152</v>
      </c>
      <c r="Q15" s="3"/>
      <c r="R15" s="3"/>
      <c r="S15" s="3"/>
      <c r="T15" s="3"/>
      <c r="U15" s="3"/>
      <c r="V15" s="3"/>
      <c r="W15" s="3"/>
      <c r="X15" s="3"/>
      <c r="Y15" s="3"/>
      <c r="Z15" s="3"/>
    </row>
    <row r="16" customFormat="false" ht="15.75" hidden="false" customHeight="true" outlineLevel="0" collapsed="false">
      <c r="A16" s="3"/>
      <c r="B16" s="3"/>
      <c r="C16" s="3" t="s">
        <v>1153</v>
      </c>
      <c r="D16" s="3"/>
      <c r="E16" s="3"/>
      <c r="F16" s="3"/>
      <c r="G16" s="3"/>
      <c r="H16" s="3"/>
      <c r="I16" s="3"/>
      <c r="J16" s="3"/>
      <c r="K16" s="3"/>
      <c r="L16" s="3"/>
      <c r="M16" s="3"/>
      <c r="N16" s="3" t="s">
        <v>1154</v>
      </c>
      <c r="O16" s="3"/>
      <c r="P16" s="3" t="s">
        <v>1155</v>
      </c>
      <c r="Q16" s="3"/>
      <c r="R16" s="3"/>
      <c r="S16" s="3"/>
      <c r="T16" s="3"/>
      <c r="U16" s="3"/>
      <c r="V16" s="3"/>
      <c r="W16" s="3"/>
      <c r="X16" s="3"/>
      <c r="Y16" s="3"/>
      <c r="Z16" s="3"/>
    </row>
    <row r="17" customFormat="false" ht="15.75" hidden="false" customHeight="true" outlineLevel="0" collapsed="false">
      <c r="A17" s="3"/>
      <c r="B17" s="3"/>
      <c r="C17" s="3" t="s">
        <v>1156</v>
      </c>
      <c r="D17" s="3"/>
      <c r="E17" s="3"/>
      <c r="F17" s="3"/>
      <c r="G17" s="3"/>
      <c r="H17" s="3"/>
      <c r="I17" s="3"/>
      <c r="J17" s="3"/>
      <c r="K17" s="3"/>
      <c r="L17" s="3"/>
      <c r="M17" s="3"/>
      <c r="N17" s="3"/>
      <c r="O17" s="3"/>
      <c r="P17" s="3" t="s">
        <v>1157</v>
      </c>
      <c r="Q17" s="3"/>
      <c r="R17" s="3"/>
      <c r="S17" s="3"/>
      <c r="T17" s="3"/>
      <c r="U17" s="3"/>
      <c r="V17" s="3"/>
      <c r="W17" s="3"/>
      <c r="X17" s="3"/>
      <c r="Y17" s="3"/>
      <c r="Z17" s="3"/>
    </row>
    <row r="18" customFormat="false" ht="15.75" hidden="false" customHeight="true" outlineLevel="0" collapsed="false">
      <c r="A18" s="3"/>
      <c r="B18" s="3"/>
      <c r="C18" s="3" t="s">
        <v>1158</v>
      </c>
      <c r="D18" s="3"/>
      <c r="E18" s="3"/>
      <c r="F18" s="3"/>
      <c r="G18" s="3"/>
      <c r="H18" s="3"/>
      <c r="I18" s="3"/>
      <c r="J18" s="3"/>
      <c r="K18" s="3"/>
      <c r="L18" s="3"/>
      <c r="M18" s="3"/>
      <c r="N18" s="3"/>
      <c r="O18" s="3"/>
      <c r="P18" s="3" t="s">
        <v>1159</v>
      </c>
      <c r="Q18" s="3"/>
      <c r="R18" s="3"/>
      <c r="S18" s="3"/>
      <c r="T18" s="3"/>
      <c r="U18" s="3"/>
      <c r="V18" s="3"/>
      <c r="W18" s="3"/>
      <c r="X18" s="3"/>
      <c r="Y18" s="3"/>
      <c r="Z18" s="3"/>
    </row>
    <row r="19" customFormat="false" ht="15.75" hidden="false" customHeight="true" outlineLevel="0" collapsed="false">
      <c r="A19" s="3"/>
      <c r="B19" s="3"/>
      <c r="C19" s="3" t="s">
        <v>1160</v>
      </c>
      <c r="D19" s="3"/>
      <c r="E19" s="3"/>
      <c r="F19" s="3"/>
      <c r="G19" s="3"/>
      <c r="H19" s="3"/>
      <c r="I19" s="3"/>
      <c r="J19" s="3"/>
      <c r="K19" s="3"/>
      <c r="L19" s="3"/>
      <c r="M19" s="3"/>
      <c r="N19" s="3"/>
      <c r="O19" s="3"/>
      <c r="P19" s="3" t="s">
        <v>1161</v>
      </c>
      <c r="Q19" s="3"/>
      <c r="R19" s="3"/>
      <c r="S19" s="3"/>
      <c r="T19" s="3"/>
      <c r="U19" s="3"/>
      <c r="V19" s="3"/>
      <c r="W19" s="3"/>
      <c r="X19" s="3"/>
      <c r="Y19" s="3"/>
      <c r="Z19" s="3"/>
    </row>
    <row r="20" customFormat="false" ht="15.75" hidden="false" customHeight="true" outlineLevel="0" collapsed="false">
      <c r="A20" s="3"/>
      <c r="B20" s="3"/>
      <c r="C20" s="3" t="s">
        <v>1067</v>
      </c>
      <c r="D20" s="3"/>
      <c r="E20" s="3"/>
      <c r="F20" s="3"/>
      <c r="G20" s="3"/>
      <c r="H20" s="3"/>
      <c r="I20" s="3"/>
      <c r="J20" s="3"/>
      <c r="K20" s="3"/>
      <c r="L20" s="3"/>
      <c r="M20" s="3"/>
      <c r="N20" s="3"/>
      <c r="O20" s="3"/>
      <c r="P20" s="3" t="s">
        <v>1162</v>
      </c>
      <c r="Q20" s="3"/>
      <c r="R20" s="3"/>
      <c r="S20" s="3"/>
      <c r="T20" s="3"/>
      <c r="U20" s="3"/>
      <c r="V20" s="3"/>
      <c r="W20" s="3"/>
      <c r="X20" s="3"/>
      <c r="Y20" s="3"/>
      <c r="Z20" s="3"/>
    </row>
    <row r="21" customFormat="false" ht="15.75" hidden="false" customHeight="true" outlineLevel="0" collapsed="false">
      <c r="A21" s="3"/>
      <c r="B21" s="3"/>
      <c r="C21" s="3" t="s">
        <v>1163</v>
      </c>
      <c r="D21" s="3"/>
      <c r="E21" s="3"/>
      <c r="F21" s="3"/>
      <c r="G21" s="3"/>
      <c r="H21" s="3"/>
      <c r="I21" s="3"/>
      <c r="J21" s="3"/>
      <c r="K21" s="3"/>
      <c r="L21" s="3"/>
      <c r="M21" s="3"/>
      <c r="N21" s="3"/>
      <c r="O21" s="3"/>
      <c r="P21" s="3" t="s">
        <v>1164</v>
      </c>
      <c r="Q21" s="3"/>
      <c r="R21" s="3"/>
      <c r="S21" s="3"/>
      <c r="T21" s="3"/>
      <c r="U21" s="3"/>
      <c r="V21" s="3"/>
      <c r="W21" s="3"/>
      <c r="X21" s="3"/>
      <c r="Y21" s="3"/>
      <c r="Z21" s="3"/>
    </row>
    <row r="22" customFormat="false" ht="15.75" hidden="false" customHeight="true" outlineLevel="0" collapsed="false">
      <c r="A22" s="3"/>
      <c r="B22" s="3"/>
      <c r="C22" s="3" t="s">
        <v>1074</v>
      </c>
      <c r="D22" s="3"/>
      <c r="E22" s="3"/>
      <c r="F22" s="3"/>
      <c r="G22" s="3"/>
      <c r="H22" s="3"/>
      <c r="I22" s="3"/>
      <c r="J22" s="3"/>
      <c r="K22" s="3"/>
      <c r="L22" s="3"/>
      <c r="M22" s="3"/>
      <c r="N22" s="3"/>
      <c r="O22" s="3"/>
      <c r="P22" s="91" t="s">
        <v>1165</v>
      </c>
      <c r="Q22" s="91"/>
      <c r="R22" s="3"/>
      <c r="S22" s="3"/>
      <c r="T22" s="3"/>
      <c r="U22" s="3"/>
      <c r="V22" s="3"/>
      <c r="W22" s="3"/>
      <c r="X22" s="3"/>
      <c r="Y22" s="3"/>
      <c r="Z22" s="3"/>
    </row>
    <row r="23" customFormat="false" ht="15.75" hidden="false" customHeight="true" outlineLevel="0" collapsed="false">
      <c r="A23" s="3"/>
      <c r="B23" s="3"/>
      <c r="C23" s="3" t="s">
        <v>1166</v>
      </c>
      <c r="D23" s="3"/>
      <c r="E23" s="3"/>
      <c r="F23" s="3"/>
      <c r="G23" s="3"/>
      <c r="H23" s="3"/>
      <c r="I23" s="3"/>
      <c r="J23" s="3"/>
      <c r="K23" s="3"/>
      <c r="L23" s="3"/>
      <c r="M23" s="3"/>
      <c r="N23" s="3"/>
      <c r="O23" s="3"/>
      <c r="P23" s="91" t="s">
        <v>1167</v>
      </c>
      <c r="Q23" s="3"/>
      <c r="R23" s="3"/>
      <c r="S23" s="3"/>
      <c r="T23" s="3"/>
      <c r="U23" s="3"/>
      <c r="V23" s="3"/>
      <c r="W23" s="3"/>
      <c r="X23" s="3"/>
      <c r="Y23" s="3"/>
      <c r="Z23" s="3"/>
    </row>
    <row r="24" customFormat="false" ht="15.75" hidden="false" customHeight="true" outlineLevel="0" collapsed="false">
      <c r="A24" s="3"/>
      <c r="B24" s="3"/>
      <c r="C24" s="3" t="s">
        <v>1168</v>
      </c>
      <c r="D24" s="3"/>
      <c r="E24" s="3"/>
      <c r="F24" s="3"/>
      <c r="G24" s="3"/>
      <c r="H24" s="3"/>
      <c r="I24" s="3"/>
      <c r="J24" s="3"/>
      <c r="K24" s="3"/>
      <c r="L24" s="3"/>
      <c r="M24" s="3"/>
      <c r="N24" s="3"/>
      <c r="O24" s="3"/>
      <c r="P24" s="3" t="s">
        <v>1169</v>
      </c>
      <c r="Q24" s="3"/>
      <c r="R24" s="3"/>
      <c r="S24" s="3"/>
      <c r="T24" s="3"/>
      <c r="U24" s="3"/>
      <c r="V24" s="3"/>
      <c r="W24" s="3"/>
      <c r="X24" s="3"/>
      <c r="Y24" s="3"/>
      <c r="Z24" s="3"/>
    </row>
    <row r="25" customFormat="false" ht="15.75" hidden="false" customHeight="true" outlineLevel="0" collapsed="false">
      <c r="A25" s="3"/>
      <c r="B25" s="3"/>
      <c r="C25" s="3" t="s">
        <v>1170</v>
      </c>
      <c r="D25" s="3"/>
      <c r="E25" s="3"/>
      <c r="F25" s="3"/>
      <c r="G25" s="3"/>
      <c r="H25" s="3"/>
      <c r="I25" s="3"/>
      <c r="J25" s="3"/>
      <c r="K25" s="3"/>
      <c r="L25" s="3"/>
      <c r="M25" s="3"/>
      <c r="N25" s="3"/>
      <c r="O25" s="3"/>
      <c r="P25" s="3" t="s">
        <v>1171</v>
      </c>
      <c r="Q25" s="3"/>
      <c r="R25" s="3"/>
      <c r="S25" s="3"/>
      <c r="T25" s="3"/>
      <c r="U25" s="3"/>
      <c r="V25" s="3"/>
      <c r="W25" s="3"/>
      <c r="X25" s="3"/>
      <c r="Y25" s="3"/>
      <c r="Z25" s="3"/>
    </row>
    <row r="26" customFormat="false" ht="15.75" hidden="false" customHeight="true" outlineLevel="0" collapsed="false">
      <c r="A26" s="3"/>
      <c r="B26" s="3"/>
      <c r="C26" s="3" t="s">
        <v>1172</v>
      </c>
      <c r="D26" s="3"/>
      <c r="E26" s="3"/>
      <c r="F26" s="3"/>
      <c r="G26" s="3"/>
      <c r="H26" s="3"/>
      <c r="I26" s="3"/>
      <c r="J26" s="3"/>
      <c r="K26" s="3"/>
      <c r="L26" s="3"/>
      <c r="M26" s="3"/>
      <c r="N26" s="3"/>
      <c r="O26" s="3"/>
      <c r="P26" s="3" t="s">
        <v>1173</v>
      </c>
      <c r="Q26" s="3"/>
      <c r="R26" s="3"/>
      <c r="S26" s="3"/>
      <c r="T26" s="3"/>
      <c r="U26" s="3"/>
      <c r="V26" s="3"/>
      <c r="W26" s="3"/>
      <c r="X26" s="3"/>
      <c r="Y26" s="3"/>
      <c r="Z26" s="3"/>
    </row>
    <row r="27" customFormat="false" ht="15.75" hidden="false" customHeight="true" outlineLevel="0" collapsed="false">
      <c r="A27" s="3"/>
      <c r="B27" s="3"/>
      <c r="C27" s="3" t="s">
        <v>1174</v>
      </c>
      <c r="D27" s="3"/>
      <c r="E27" s="3"/>
      <c r="F27" s="3"/>
      <c r="G27" s="3"/>
      <c r="H27" s="3"/>
      <c r="I27" s="3"/>
      <c r="J27" s="3"/>
      <c r="K27" s="3"/>
      <c r="L27" s="3"/>
      <c r="M27" s="3"/>
      <c r="N27" s="3"/>
      <c r="O27" s="3"/>
      <c r="P27" s="3" t="s">
        <v>1175</v>
      </c>
      <c r="Q27" s="3"/>
      <c r="R27" s="3"/>
      <c r="S27" s="3"/>
      <c r="T27" s="3"/>
      <c r="U27" s="3"/>
      <c r="V27" s="3"/>
      <c r="W27" s="3"/>
      <c r="X27" s="3"/>
      <c r="Y27" s="3"/>
      <c r="Z27" s="3"/>
    </row>
    <row r="28" customFormat="false" ht="15.75" hidden="false" customHeight="true" outlineLevel="0" collapsed="false">
      <c r="A28" s="3"/>
      <c r="B28" s="3"/>
      <c r="C28" s="3" t="s">
        <v>1151</v>
      </c>
      <c r="D28" s="3"/>
      <c r="E28" s="3"/>
      <c r="F28" s="3"/>
      <c r="G28" s="3"/>
      <c r="H28" s="3"/>
      <c r="I28" s="3"/>
      <c r="J28" s="3"/>
      <c r="K28" s="3"/>
      <c r="L28" s="3"/>
      <c r="M28" s="3"/>
      <c r="N28" s="3"/>
      <c r="O28" s="3"/>
      <c r="P28" s="3" t="s">
        <v>1176</v>
      </c>
      <c r="Q28" s="3"/>
      <c r="R28" s="3"/>
      <c r="S28" s="3"/>
      <c r="T28" s="3"/>
      <c r="U28" s="3"/>
      <c r="V28" s="3"/>
      <c r="W28" s="3"/>
      <c r="X28" s="3"/>
      <c r="Y28" s="3"/>
      <c r="Z28" s="3"/>
    </row>
    <row r="29" customFormat="false" ht="15.75" hidden="false" customHeight="true" outlineLevel="0" collapsed="false">
      <c r="A29" s="3"/>
      <c r="B29" s="3"/>
      <c r="C29" s="91" t="s">
        <v>1177</v>
      </c>
      <c r="D29" s="3"/>
      <c r="E29" s="3"/>
      <c r="F29" s="3"/>
      <c r="G29" s="3"/>
      <c r="H29" s="3"/>
      <c r="I29" s="3"/>
      <c r="J29" s="3"/>
      <c r="K29" s="3"/>
      <c r="L29" s="3"/>
      <c r="M29" s="3"/>
      <c r="N29" s="3"/>
      <c r="O29" s="3"/>
      <c r="P29" s="3" t="s">
        <v>1178</v>
      </c>
      <c r="Q29" s="3"/>
      <c r="R29" s="3"/>
      <c r="S29" s="3"/>
      <c r="T29" s="3"/>
      <c r="U29" s="3"/>
      <c r="V29" s="3"/>
      <c r="W29" s="3"/>
      <c r="X29" s="3"/>
      <c r="Y29" s="3"/>
      <c r="Z29" s="3"/>
    </row>
    <row r="30" customFormat="false" ht="15.75" hidden="false" customHeight="true" outlineLevel="0" collapsed="false">
      <c r="A30" s="3"/>
      <c r="B30" s="3"/>
      <c r="C30" s="3" t="s">
        <v>1179</v>
      </c>
      <c r="D30" s="3"/>
      <c r="E30" s="3"/>
      <c r="F30" s="3"/>
      <c r="G30" s="3"/>
      <c r="H30" s="3"/>
      <c r="I30" s="3"/>
      <c r="J30" s="3"/>
      <c r="K30" s="3"/>
      <c r="L30" s="3"/>
      <c r="M30" s="3"/>
      <c r="N30" s="3"/>
      <c r="O30" s="3"/>
      <c r="P30" s="3" t="s">
        <v>1180</v>
      </c>
      <c r="Q30" s="3"/>
      <c r="R30" s="3"/>
      <c r="S30" s="3"/>
      <c r="T30" s="3"/>
      <c r="U30" s="3"/>
      <c r="V30" s="3"/>
      <c r="W30" s="3"/>
      <c r="X30" s="3"/>
      <c r="Y30" s="3"/>
      <c r="Z30" s="3"/>
    </row>
    <row r="31" customFormat="false" ht="15.75" hidden="false" customHeight="true" outlineLevel="0" collapsed="false">
      <c r="A31" s="3"/>
      <c r="B31" s="3"/>
      <c r="C31" s="3" t="s">
        <v>1181</v>
      </c>
      <c r="D31" s="3"/>
      <c r="E31" s="3"/>
      <c r="F31" s="3"/>
      <c r="G31" s="3"/>
      <c r="H31" s="3"/>
      <c r="I31" s="3"/>
      <c r="J31" s="3"/>
      <c r="K31" s="3"/>
      <c r="L31" s="3"/>
      <c r="M31" s="3"/>
      <c r="N31" s="3"/>
      <c r="O31" s="3"/>
      <c r="P31" s="91" t="s">
        <v>1182</v>
      </c>
      <c r="Q31" s="3"/>
      <c r="R31" s="3"/>
      <c r="S31" s="3"/>
      <c r="T31" s="3"/>
      <c r="U31" s="3"/>
      <c r="V31" s="3"/>
      <c r="W31" s="3"/>
      <c r="X31" s="3"/>
      <c r="Y31" s="3"/>
      <c r="Z31" s="3"/>
    </row>
    <row r="32" customFormat="false" ht="15.75" hidden="false" customHeight="true" outlineLevel="0" collapsed="false">
      <c r="A32" s="3"/>
      <c r="B32" s="3"/>
      <c r="C32" s="3" t="s">
        <v>1183</v>
      </c>
      <c r="D32" s="3"/>
      <c r="E32" s="3"/>
      <c r="F32" s="3"/>
      <c r="G32" s="3"/>
      <c r="H32" s="3"/>
      <c r="I32" s="3"/>
      <c r="J32" s="3"/>
      <c r="K32" s="3"/>
      <c r="L32" s="3"/>
      <c r="M32" s="3"/>
      <c r="N32" s="3"/>
      <c r="O32" s="3"/>
      <c r="P32" s="3" t="s">
        <v>1184</v>
      </c>
      <c r="Q32" s="3"/>
      <c r="R32" s="3"/>
      <c r="S32" s="3"/>
      <c r="T32" s="3"/>
      <c r="U32" s="3"/>
      <c r="V32" s="3"/>
      <c r="W32" s="3"/>
      <c r="X32" s="3"/>
      <c r="Y32" s="3"/>
      <c r="Z32" s="3"/>
    </row>
    <row r="33" customFormat="false" ht="15.75" hidden="false" customHeight="true" outlineLevel="0" collapsed="false">
      <c r="A33" s="3"/>
      <c r="B33" s="3"/>
      <c r="C33" s="3" t="s">
        <v>1185</v>
      </c>
      <c r="D33" s="3"/>
      <c r="E33" s="3"/>
      <c r="F33" s="3"/>
      <c r="G33" s="3"/>
      <c r="H33" s="3"/>
      <c r="I33" s="3"/>
      <c r="J33" s="3"/>
      <c r="K33" s="3"/>
      <c r="L33" s="3"/>
      <c r="M33" s="3"/>
      <c r="N33" s="3"/>
      <c r="O33" s="3"/>
      <c r="P33" s="3" t="s">
        <v>1186</v>
      </c>
      <c r="Q33" s="3"/>
      <c r="R33" s="3"/>
      <c r="S33" s="3"/>
      <c r="T33" s="3"/>
      <c r="U33" s="3"/>
      <c r="V33" s="3"/>
      <c r="W33" s="3"/>
      <c r="X33" s="3"/>
      <c r="Y33" s="3"/>
      <c r="Z33" s="3"/>
    </row>
    <row r="34" customFormat="false" ht="15.75" hidden="false" customHeight="true" outlineLevel="0" collapsed="false">
      <c r="A34" s="3"/>
      <c r="B34" s="3"/>
      <c r="C34" s="3" t="s">
        <v>1187</v>
      </c>
      <c r="D34" s="3"/>
      <c r="E34" s="3"/>
      <c r="F34" s="3"/>
      <c r="G34" s="3"/>
      <c r="H34" s="3"/>
      <c r="I34" s="3"/>
      <c r="J34" s="3"/>
      <c r="K34" s="3"/>
      <c r="L34" s="3"/>
      <c r="M34" s="3"/>
      <c r="N34" s="3"/>
      <c r="O34" s="3"/>
      <c r="P34" s="3" t="s">
        <v>1188</v>
      </c>
      <c r="Q34" s="3"/>
      <c r="R34" s="3"/>
      <c r="S34" s="3"/>
      <c r="T34" s="3"/>
      <c r="U34" s="3"/>
      <c r="V34" s="3"/>
      <c r="W34" s="3"/>
      <c r="X34" s="3"/>
      <c r="Y34" s="3"/>
      <c r="Z34" s="3"/>
    </row>
    <row r="35" customFormat="false" ht="15.75" hidden="false" customHeight="true" outlineLevel="0" collapsed="false">
      <c r="A35" s="3"/>
      <c r="B35" s="3"/>
      <c r="C35" s="3" t="s">
        <v>1189</v>
      </c>
      <c r="D35" s="3"/>
      <c r="E35" s="3"/>
      <c r="F35" s="3"/>
      <c r="G35" s="3"/>
      <c r="H35" s="3"/>
      <c r="I35" s="3"/>
      <c r="J35" s="3"/>
      <c r="K35" s="3"/>
      <c r="L35" s="3"/>
      <c r="M35" s="3"/>
      <c r="N35" s="3"/>
      <c r="O35" s="3"/>
      <c r="P35" s="3" t="s">
        <v>1190</v>
      </c>
      <c r="Q35" s="3"/>
      <c r="R35" s="3"/>
      <c r="S35" s="3"/>
      <c r="T35" s="3"/>
      <c r="U35" s="3"/>
      <c r="V35" s="3"/>
      <c r="W35" s="3"/>
      <c r="X35" s="3"/>
      <c r="Y35" s="3"/>
      <c r="Z35" s="3"/>
    </row>
    <row r="36" customFormat="false" ht="15.75" hidden="false" customHeight="true" outlineLevel="0" collapsed="false">
      <c r="A36" s="3"/>
      <c r="B36" s="3"/>
      <c r="C36" s="3" t="s">
        <v>1191</v>
      </c>
      <c r="D36" s="3"/>
      <c r="E36" s="3"/>
      <c r="F36" s="3"/>
      <c r="G36" s="3"/>
      <c r="H36" s="3"/>
      <c r="I36" s="3"/>
      <c r="J36" s="3"/>
      <c r="K36" s="3"/>
      <c r="L36" s="3"/>
      <c r="M36" s="3"/>
      <c r="N36" s="3"/>
      <c r="O36" s="3"/>
      <c r="P36" s="3" t="s">
        <v>1192</v>
      </c>
      <c r="Q36" s="3"/>
      <c r="R36" s="3"/>
      <c r="S36" s="3"/>
      <c r="T36" s="3"/>
      <c r="U36" s="3"/>
      <c r="V36" s="3"/>
      <c r="W36" s="3"/>
      <c r="X36" s="3"/>
      <c r="Y36" s="3"/>
      <c r="Z36" s="3"/>
    </row>
    <row r="37" customFormat="false" ht="15.75" hidden="false" customHeight="true" outlineLevel="0" collapsed="false">
      <c r="A37" s="3"/>
      <c r="B37" s="3"/>
      <c r="C37" s="3" t="s">
        <v>1193</v>
      </c>
      <c r="D37" s="3"/>
      <c r="E37" s="3"/>
      <c r="F37" s="3"/>
      <c r="G37" s="3"/>
      <c r="H37" s="3"/>
      <c r="I37" s="3"/>
      <c r="J37" s="3"/>
      <c r="K37" s="3"/>
      <c r="L37" s="3"/>
      <c r="M37" s="3"/>
      <c r="N37" s="3"/>
      <c r="O37" s="3"/>
      <c r="P37" s="3" t="s">
        <v>1194</v>
      </c>
      <c r="Q37" s="3"/>
      <c r="R37" s="3"/>
      <c r="S37" s="3"/>
      <c r="T37" s="3"/>
      <c r="U37" s="3"/>
      <c r="V37" s="3"/>
      <c r="W37" s="3"/>
      <c r="X37" s="3"/>
      <c r="Y37" s="3"/>
      <c r="Z37" s="3"/>
    </row>
    <row r="38" customFormat="false" ht="15.75" hidden="false" customHeight="true" outlineLevel="0" collapsed="false">
      <c r="A38" s="3"/>
      <c r="B38" s="3"/>
      <c r="C38" s="3"/>
      <c r="D38" s="3"/>
      <c r="E38" s="3"/>
      <c r="F38" s="3"/>
      <c r="G38" s="3"/>
      <c r="H38" s="3"/>
      <c r="I38" s="3"/>
      <c r="J38" s="3"/>
      <c r="K38" s="3"/>
      <c r="L38" s="3"/>
      <c r="M38" s="3"/>
      <c r="N38" s="3"/>
      <c r="O38" s="3"/>
      <c r="P38" s="3" t="s">
        <v>1195</v>
      </c>
      <c r="Q38" s="3"/>
      <c r="R38" s="3"/>
      <c r="S38" s="3"/>
      <c r="T38" s="3"/>
      <c r="U38" s="3"/>
      <c r="V38" s="3"/>
      <c r="W38" s="3"/>
      <c r="X38" s="3"/>
      <c r="Y38" s="3"/>
      <c r="Z38" s="3"/>
    </row>
    <row r="39" customFormat="false" ht="15.75" hidden="false" customHeight="true" outlineLevel="0" collapsed="false">
      <c r="A39" s="3"/>
      <c r="B39" s="3"/>
      <c r="C39" s="3"/>
      <c r="D39" s="3"/>
      <c r="E39" s="3"/>
      <c r="F39" s="3"/>
      <c r="G39" s="3"/>
      <c r="H39" s="3"/>
      <c r="I39" s="3"/>
      <c r="J39" s="3"/>
      <c r="K39" s="3"/>
      <c r="L39" s="3"/>
      <c r="M39" s="3"/>
      <c r="N39" s="3"/>
      <c r="O39" s="3"/>
      <c r="P39" s="3" t="s">
        <v>1196</v>
      </c>
      <c r="Q39" s="3"/>
      <c r="R39" s="3"/>
      <c r="S39" s="3"/>
      <c r="T39" s="3"/>
      <c r="U39" s="3"/>
      <c r="V39" s="3"/>
      <c r="W39" s="3"/>
      <c r="X39" s="3"/>
      <c r="Y39" s="3"/>
      <c r="Z39" s="3"/>
    </row>
    <row r="40" customFormat="false" ht="15.75" hidden="false" customHeight="true" outlineLevel="0" collapsed="false">
      <c r="A40" s="3"/>
      <c r="B40" s="3"/>
      <c r="C40" s="3"/>
      <c r="D40" s="3"/>
      <c r="E40" s="3"/>
      <c r="F40" s="3"/>
      <c r="G40" s="3"/>
      <c r="H40" s="3"/>
      <c r="I40" s="3"/>
      <c r="J40" s="3"/>
      <c r="K40" s="3"/>
      <c r="L40" s="3"/>
      <c r="M40" s="3"/>
      <c r="N40" s="3"/>
      <c r="O40" s="3"/>
      <c r="P40" s="3" t="s">
        <v>1197</v>
      </c>
      <c r="Q40" s="3"/>
      <c r="R40" s="3"/>
      <c r="S40" s="3"/>
      <c r="T40" s="3"/>
      <c r="U40" s="3"/>
      <c r="V40" s="3"/>
      <c r="W40" s="3"/>
      <c r="X40" s="3"/>
      <c r="Y40" s="3"/>
      <c r="Z40" s="3"/>
    </row>
    <row r="41" customFormat="false" ht="15.75" hidden="false" customHeight="true" outlineLevel="0" collapsed="false">
      <c r="A41" s="3"/>
      <c r="B41" s="3"/>
      <c r="C41" s="3"/>
      <c r="D41" s="3"/>
      <c r="E41" s="3"/>
      <c r="F41" s="3"/>
      <c r="G41" s="3"/>
      <c r="H41" s="3"/>
      <c r="I41" s="3"/>
      <c r="J41" s="3"/>
      <c r="K41" s="3"/>
      <c r="L41" s="3"/>
      <c r="M41" s="3"/>
      <c r="N41" s="3"/>
      <c r="O41" s="3"/>
      <c r="P41" s="3" t="s">
        <v>1198</v>
      </c>
      <c r="Q41" s="3"/>
      <c r="R41" s="3"/>
      <c r="S41" s="3"/>
      <c r="T41" s="3"/>
      <c r="U41" s="3"/>
      <c r="V41" s="3"/>
      <c r="W41" s="3"/>
      <c r="X41" s="3"/>
      <c r="Y41" s="3"/>
      <c r="Z41" s="3"/>
    </row>
    <row r="42" customFormat="false" ht="15.75" hidden="false" customHeight="true" outlineLevel="0" collapsed="false">
      <c r="A42" s="3"/>
      <c r="B42" s="3"/>
      <c r="C42" s="3"/>
      <c r="D42" s="3"/>
      <c r="E42" s="3"/>
      <c r="F42" s="3"/>
      <c r="G42" s="3"/>
      <c r="H42" s="3"/>
      <c r="I42" s="3"/>
      <c r="J42" s="3"/>
      <c r="K42" s="3"/>
      <c r="L42" s="3"/>
      <c r="M42" s="3"/>
      <c r="N42" s="3"/>
      <c r="O42" s="3"/>
      <c r="P42" s="3" t="s">
        <v>1199</v>
      </c>
      <c r="Q42" s="3"/>
      <c r="R42" s="3"/>
      <c r="S42" s="3"/>
      <c r="T42" s="3"/>
      <c r="U42" s="3"/>
      <c r="V42" s="3"/>
      <c r="W42" s="3"/>
      <c r="X42" s="3"/>
      <c r="Y42" s="3"/>
      <c r="Z42" s="3"/>
    </row>
    <row r="43" customFormat="false" ht="15.75" hidden="false" customHeight="true" outlineLevel="0" collapsed="false">
      <c r="A43" s="3"/>
      <c r="B43" s="3"/>
      <c r="C43" s="3"/>
      <c r="D43" s="3"/>
      <c r="E43" s="3"/>
      <c r="F43" s="3"/>
      <c r="G43" s="3"/>
      <c r="H43" s="3"/>
      <c r="I43" s="3"/>
      <c r="J43" s="3"/>
      <c r="K43" s="3"/>
      <c r="L43" s="3"/>
      <c r="M43" s="3"/>
      <c r="N43" s="3"/>
      <c r="O43" s="3"/>
      <c r="P43" s="3" t="s">
        <v>1200</v>
      </c>
      <c r="Q43" s="3"/>
      <c r="R43" s="3"/>
      <c r="S43" s="3"/>
      <c r="T43" s="3"/>
      <c r="U43" s="3"/>
      <c r="V43" s="3"/>
      <c r="W43" s="3"/>
      <c r="X43" s="3"/>
      <c r="Y43" s="3"/>
      <c r="Z43" s="3"/>
    </row>
    <row r="44" customFormat="false" ht="15.75" hidden="false" customHeight="true" outlineLevel="0" collapsed="false">
      <c r="A44" s="3"/>
      <c r="B44" s="3"/>
      <c r="C44" s="3"/>
      <c r="D44" s="3"/>
      <c r="E44" s="3"/>
      <c r="F44" s="3"/>
      <c r="G44" s="3"/>
      <c r="H44" s="3"/>
      <c r="I44" s="3"/>
      <c r="J44" s="3"/>
      <c r="K44" s="3"/>
      <c r="L44" s="3"/>
      <c r="M44" s="3"/>
      <c r="N44" s="3"/>
      <c r="O44" s="3"/>
      <c r="P44" s="3" t="s">
        <v>1201</v>
      </c>
      <c r="Q44" s="3"/>
      <c r="R44" s="3"/>
      <c r="S44" s="3"/>
      <c r="T44" s="3"/>
      <c r="U44" s="3"/>
      <c r="V44" s="3"/>
      <c r="W44" s="3"/>
      <c r="X44" s="3"/>
      <c r="Y44" s="3"/>
      <c r="Z44" s="3"/>
    </row>
    <row r="45" customFormat="false" ht="15.75" hidden="false" customHeight="true" outlineLevel="0" collapsed="false">
      <c r="A45" s="3"/>
      <c r="B45" s="3"/>
      <c r="C45" s="3"/>
      <c r="D45" s="3"/>
      <c r="E45" s="3"/>
      <c r="F45" s="3"/>
      <c r="G45" s="3"/>
      <c r="H45" s="3"/>
      <c r="I45" s="3"/>
      <c r="J45" s="3"/>
      <c r="K45" s="3"/>
      <c r="L45" s="3"/>
      <c r="M45" s="3"/>
      <c r="N45" s="3"/>
      <c r="O45" s="3"/>
      <c r="P45" s="3" t="s">
        <v>1202</v>
      </c>
      <c r="Q45" s="3"/>
      <c r="R45" s="3"/>
      <c r="S45" s="3"/>
      <c r="T45" s="3"/>
      <c r="U45" s="3"/>
      <c r="V45" s="3"/>
      <c r="W45" s="3"/>
      <c r="X45" s="3"/>
      <c r="Y45" s="3"/>
      <c r="Z45" s="3"/>
    </row>
    <row r="46" customFormat="false" ht="15.75" hidden="false" customHeight="true" outlineLevel="0" collapsed="false">
      <c r="A46" s="3"/>
      <c r="B46" s="3"/>
      <c r="C46" s="3"/>
      <c r="D46" s="3"/>
      <c r="E46" s="3"/>
      <c r="F46" s="3"/>
      <c r="G46" s="3"/>
      <c r="H46" s="3"/>
      <c r="I46" s="3"/>
      <c r="J46" s="3"/>
      <c r="K46" s="3"/>
      <c r="L46" s="3"/>
      <c r="M46" s="3"/>
      <c r="N46" s="3"/>
      <c r="O46" s="3"/>
      <c r="P46" s="3" t="s">
        <v>1203</v>
      </c>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t="s">
        <v>1204</v>
      </c>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t="s">
        <v>1205</v>
      </c>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t="s">
        <v>1206</v>
      </c>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t="s">
        <v>1207</v>
      </c>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t="s">
        <v>1208</v>
      </c>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t="s">
        <v>1209</v>
      </c>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t="s">
        <v>1210</v>
      </c>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t="s">
        <v>1211</v>
      </c>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t="s">
        <v>1212</v>
      </c>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t="s">
        <v>1213</v>
      </c>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t="s">
        <v>1214</v>
      </c>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t="s">
        <v>1215</v>
      </c>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t="s">
        <v>1216</v>
      </c>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t="s">
        <v>1217</v>
      </c>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t="s">
        <v>1218</v>
      </c>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t="s">
        <v>1219</v>
      </c>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t="s">
        <v>1220</v>
      </c>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t="s">
        <v>1221</v>
      </c>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t="s">
        <v>1222</v>
      </c>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t="s">
        <v>1223</v>
      </c>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t="s">
        <v>1224</v>
      </c>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t="s">
        <v>1225</v>
      </c>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t="s">
        <v>1226</v>
      </c>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t="s">
        <v>1227</v>
      </c>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t="s">
        <v>1228</v>
      </c>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t="s">
        <v>1229</v>
      </c>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t="s">
        <v>1230</v>
      </c>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t="s">
        <v>1231</v>
      </c>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t="s">
        <v>1232</v>
      </c>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t="s">
        <v>1233</v>
      </c>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t="s">
        <v>1234</v>
      </c>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t="s">
        <v>1235</v>
      </c>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t="s">
        <v>1236</v>
      </c>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t="s">
        <v>1237</v>
      </c>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t="s">
        <v>1238</v>
      </c>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t="s">
        <v>1239</v>
      </c>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t="s">
        <v>1240</v>
      </c>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t="s">
        <v>1241</v>
      </c>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t="s">
        <v>1242</v>
      </c>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t="s">
        <v>1243</v>
      </c>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t="s">
        <v>1244</v>
      </c>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t="s">
        <v>1245</v>
      </c>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t="s">
        <v>1246</v>
      </c>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t="s">
        <v>1247</v>
      </c>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t="s">
        <v>1248</v>
      </c>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t="s">
        <v>1249</v>
      </c>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t="s">
        <v>1250</v>
      </c>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t="s">
        <v>1251</v>
      </c>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t="s">
        <v>1252</v>
      </c>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t="s">
        <v>1253</v>
      </c>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t="s">
        <v>1254</v>
      </c>
      <c r="Q97" s="3"/>
      <c r="R97" s="3"/>
      <c r="S97" s="3"/>
      <c r="T97" s="3"/>
      <c r="U97" s="3"/>
      <c r="V97" s="3"/>
      <c r="W97" s="3"/>
      <c r="X97" s="3"/>
      <c r="Y97" s="3"/>
      <c r="Z97" s="3"/>
    </row>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2018-02-27T07:29:58Z</dcterms:modified>
  <cp:revision>34</cp:revision>
  <dc:subject/>
  <dc:title/>
</cp:coreProperties>
</file>