
<file path=[Content_Types].xml><?xml version="1.0" encoding="utf-8"?>
<Types xmlns="http://schemas.openxmlformats.org/package/2006/content-types">
  <Override PartName="/xl/_rels/workbook.xml.rels" ContentType="application/vnd.openxmlformats-package.relationships+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drawing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CVSSv2" sheetId="7" state="hidden" r:id="rId8"/>
    <sheet name="CamposSeleccionQC" sheetId="8" state="hidden" r:id="rId9"/>
    <sheet name="CVSSv3" sheetId="9" state="hidden" r:id="rId10"/>
  </sheets>
  <definedNames>
    <definedName function="false" hidden="true" localSheetId="2" name="_xlnm._FilterDatabase"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J2" authorId="0">
      <text>
        <r>
          <rPr>
            <sz val="10"/>
            <color rgb="FF000000"/>
            <rFont val="Arial"/>
            <family val="2"/>
            <charset val="1"/>
          </rPr>
          <t xml:space="preserve">DP: Diseño y Perfil
SP: Solo perfil
SD: Solo diseño</t>
        </r>
      </text>
    </comment>
  </commentList>
</comments>
</file>

<file path=xl/sharedStrings.xml><?xml version="1.0" encoding="utf-8"?>
<sst xmlns="http://schemas.openxmlformats.org/spreadsheetml/2006/main" count="6338" uniqueCount="1283">
  <si>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</si>
  <si>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</si>
  <si>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</si>
  <si>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</si>
  <si>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</si>
  <si>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</si>
  <si>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</si>
  <si>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</si>
  <si>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</si>
  <si>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</si>
  <si>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</si>
  <si>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</si>
  <si>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</si>
  <si>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</si>
  <si>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</si>
  <si>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</si>
  <si>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</si>
  <si>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</si>
  <si>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</si>
  <si>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</si>
  <si>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</si>
  <si>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</si>
  <si>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</si>
  <si>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</si>
  <si>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</si>
  <si>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</si>
  <si>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</si>
  <si>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</si>
  <si>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</si>
  <si>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</si>
  <si>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</si>
  <si>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</si>
  <si>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</si>
  <si>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</si>
  <si>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</si>
  <si>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</si>
  <si>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</si>
  <si>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</si>
  <si>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</si>
  <si>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</si>
  <si>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</si>
  <si>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</si>
  <si>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</si>
  <si>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</si>
  <si>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</si>
  <si>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</si>
  <si>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</si>
  <si>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</si>
  <si>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</si>
  <si>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</si>
  <si>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</si>
  <si>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</si>
  <si>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</si>
  <si>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</si>
  <si>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</si>
  <si>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</si>
  <si>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</si>
  <si>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</si>
  <si>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</si>
  <si>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</si>
  <si>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</si>
  <si>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</si>
  <si>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</si>
  <si>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</si>
  <si>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</si>
  <si>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</si>
  <si>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</si>
  <si>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</si>
  <si>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</si>
  <si>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</si>
  <si>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</si>
  <si>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</si>
  <si>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</si>
  <si>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</si>
  <si>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</si>
  <si>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</si>
  <si>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</si>
  <si>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</si>
  <si>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</si>
  <si>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</si>
  <si>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</si>
  <si>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</si>
  <si>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</si>
  <si>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</si>
  <si>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</si>
  <si>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</si>
  <si>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</si>
  <si>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</si>
  <si>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</si>
  <si>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</si>
  <si>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</si>
  <si>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</si>
  <si>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</si>
  <si>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</si>
  <si>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</si>
  <si>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</si>
  <si>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</si>
  <si>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</si>
  <si>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</si>
  <si>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</si>
  <si>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</si>
  <si>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</si>
  <si>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</si>
  <si>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</si>
  <si>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</si>
  <si>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</si>
  <si>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</si>
  <si>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</si>
  <si>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</si>
  <si>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</si>
  <si>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</si>
  <si>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</si>
  <si>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</si>
  <si>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</si>
  <si>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</si>
  <si>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</si>
  <si>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</si>
  <si>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</si>
  <si>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</si>
  <si>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</si>
  <si>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</si>
  <si>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</si>
  <si>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</si>
  <si>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</si>
  <si>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</si>
  <si>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</si>
  <si>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</si>
  <si>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</si>
  <si>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</si>
  <si>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</si>
  <si>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</si>
  <si>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</si>
  <si>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</si>
  <si>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</si>
  <si>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</si>
  <si>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</si>
  <si>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</si>
  <si>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</si>
  <si>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</si>
  <si>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</si>
  <si>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</si>
  <si>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</si>
  <si>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</si>
  <si>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</si>
  <si>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</si>
  <si>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</si>
  <si>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</si>
  <si>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</si>
  <si>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</si>
  <si>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</si>
  <si>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</si>
  <si>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</si>
  <si>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</si>
  <si>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</si>
  <si>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</si>
  <si>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</si>
  <si>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</si>
  <si>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</si>
  <si>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</si>
  <si>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</si>
  <si>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</si>
  <si>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</si>
  <si>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</si>
  <si>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</si>
  <si>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</si>
  <si>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</si>
  <si>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</si>
  <si>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</si>
  <si>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</si>
  <si>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</si>
  <si>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</si>
  <si>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</si>
  <si>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</si>
  <si>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</si>
  <si>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</si>
  <si>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</si>
  <si>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</si>
  <si>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</si>
  <si>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</si>
  <si>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</si>
  <si>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</si>
  <si>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</si>
  <si>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</si>
  <si>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</si>
  <si>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</si>
  <si>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</si>
  <si>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</si>
  <si>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</si>
  <si>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</si>
  <si>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</si>
  <si>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</si>
  <si>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</si>
  <si>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</si>
  <si>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</si>
  <si>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</si>
  <si>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</si>
  <si>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</si>
  <si>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</si>
  <si>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</si>
  <si>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</si>
  <si>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</si>
  <si>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</si>
  <si>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</si>
  <si>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</si>
  <si>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</si>
  <si>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</si>
  <si>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</si>
  <si>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</si>
  <si>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</si>
  <si>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</si>
  <si>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</si>
  <si>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</si>
  <si>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</si>
  <si>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</si>
  <si>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</si>
  <si>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</si>
  <si>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</si>
  <si>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</si>
  <si>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</si>
  <si>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</si>
  <si>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</si>
  <si>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</si>
  <si>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</si>
  <si>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</si>
  <si>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</si>
  <si>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</si>
  <si>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</si>
  <si>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</si>
  <si>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</si>
  <si>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</si>
  <si>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</si>
  <si>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</si>
  <si>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</si>
  <si>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</si>
  <si>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</si>
  <si>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</si>
  <si>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</si>
  <si>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</si>
  <si>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</si>
  <si>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</si>
  <si>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</si>
  <si>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</si>
  <si>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</si>
  <si>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</si>
  <si>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</si>
  <si>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</si>
  <si>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</si>
  <si>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</si>
  <si>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</si>
  <si>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</si>
  <si>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</si>
  <si>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</si>
  <si>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</si>
  <si>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</si>
  <si>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</si>
  <si>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</si>
  <si>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</si>
  <si>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</si>
  <si>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</si>
  <si>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</si>
  <si>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</si>
  <si>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</si>
  <si>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</si>
  <si>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</si>
  <si>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</si>
  <si>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</si>
  <si>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</si>
  <si>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</si>
  <si>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</si>
  <si>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</si>
  <si>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</si>
  <si>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</si>
  <si>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</si>
  <si>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</si>
  <si>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</si>
  <si>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</si>
  <si>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</si>
  <si>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</si>
  <si>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</si>
  <si>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</si>
  <si>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</si>
  <si>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</si>
  <si>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</si>
  <si>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</si>
  <si>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</si>
  <si>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</si>
  <si>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</si>
  <si>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</si>
  <si>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</si>
  <si>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</si>
  <si>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</si>
  <si>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</si>
  <si>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</si>
  <si>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</si>
  <si>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</si>
  <si>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</si>
  <si>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</si>
  <si>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</si>
  <si>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</si>
  <si>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</si>
  <si>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</si>
  <si>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</si>
  <si>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</si>
  <si>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</si>
  <si>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</si>
  <si>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</si>
  <si>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</si>
  <si>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</si>
  <si>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</si>
  <si>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</si>
  <si>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</si>
  <si>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</si>
  <si>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</si>
  <si>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</si>
  <si>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</si>
  <si>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</si>
  <si>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</si>
  <si>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</si>
  <si>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</si>
  <si>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</si>
  <si>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</si>
  <si>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</si>
  <si>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</si>
  <si>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</si>
  <si>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</si>
  <si>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</si>
  <si>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</si>
  <si>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</si>
  <si>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</si>
  <si>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</si>
  <si>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</si>
  <si>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</si>
  <si>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</si>
  <si>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</si>
  <si>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</si>
  <si>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</si>
  <si>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</si>
  <si>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</si>
  <si>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</si>
  <si>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</si>
  <si>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</si>
  <si>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</si>
  <si>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</si>
  <si>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</si>
  <si>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</si>
  <si>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</si>
  <si>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</si>
  <si>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</si>
  <si>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</si>
  <si>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</si>
  <si>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</si>
  <si>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</si>
  <si>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</si>
  <si>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</si>
  <si>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</si>
  <si>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</si>
  <si>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</si>
  <si>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</si>
  <si>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</si>
  <si>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</si>
  <si>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</si>
  <si>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</si>
  <si>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</si>
  <si>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</si>
  <si>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</si>
  <si>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</si>
  <si>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</si>
  <si>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</si>
  <si>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</si>
  <si>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</si>
  <si>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</si>
  <si>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</si>
  <si>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</si>
  <si>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</si>
  <si>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</si>
  <si>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</si>
  <si>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</si>
  <si>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</si>
  <si>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</si>
  <si>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</si>
  <si>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</si>
  <si>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</si>
  <si>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</si>
  <si>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</si>
  <si>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</si>
  <si>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</si>
  <si>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</si>
  <si>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</si>
  <si>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</si>
  <si>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</si>
  <si>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</si>
  <si>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</si>
  <si>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</si>
  <si>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</si>
  <si>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</si>
  <si>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</si>
  <si>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</si>
  <si>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</si>
  <si>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</si>
  <si>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</si>
  <si>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</si>
  <si>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</si>
  <si>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</si>
  <si>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</si>
  <si>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</si>
  <si>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</si>
  <si>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</si>
  <si>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</si>
  <si>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</si>
  <si>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</si>
  <si>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</si>
  <si>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</si>
  <si>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</si>
  <si>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</si>
  <si>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</si>
  <si>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</si>
  <si>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</si>
  <si>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</si>
  <si>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</si>
  <si>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</si>
  <si>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</si>
  <si>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</si>
  <si>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</si>
  <si>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</si>
  <si>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</si>
  <si>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</si>
  <si>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</si>
  <si>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</si>
  <si>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</si>
  <si>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</si>
  <si>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</si>
  <si>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</si>
  <si>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</si>
  <si>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</si>
  <si>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</si>
  <si>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</si>
  <si>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</si>
  <si>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</si>
  <si>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</si>
  <si>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</si>
  <si>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</si>
  <si>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</si>
  <si>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</si>
  <si>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</si>
  <si>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</si>
  <si>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</si>
  <si>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</si>
  <si>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</si>
  <si>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</si>
  <si>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</si>
  <si>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</si>
  <si>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</si>
  <si>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</si>
  <si>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</si>
  <si>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</si>
  <si>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</si>
  <si>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</si>
  <si>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</si>
  <si>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</si>
  <si>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</si>
  <si>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</si>
  <si>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</si>
  <si>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</si>
  <si>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</si>
  <si>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</si>
  <si>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</si>
  <si>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</si>
  <si>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</si>
  <si>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</si>
  <si>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</si>
  <si>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</si>
  <si>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</si>
  <si>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</si>
  <si>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</si>
  <si>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</si>
  <si>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</si>
  <si>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</si>
  <si>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</si>
  <si>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</si>
  <si>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</si>
  <si>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</si>
  <si>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</si>
  <si>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</si>
  <si>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</si>
  <si>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</si>
  <si>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</si>
  <si>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</si>
  <si>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</si>
  <si>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</si>
  <si>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</si>
  <si>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</si>
  <si>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</si>
  <si>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</si>
  <si>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</si>
  <si>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</si>
  <si>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</si>
  <si>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</si>
  <si>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</si>
  <si>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</si>
  <si>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</si>
  <si>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</si>
  <si>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</si>
  <si>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</si>
  <si>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</si>
  <si>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</si>
  <si>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</si>
  <si>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</si>
  <si>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</si>
  <si>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</si>
  <si>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</si>
  <si>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</si>
  <si>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</si>
  <si>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</si>
  <si>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</si>
  <si>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</si>
  <si>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</si>
  <si>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</si>
  <si>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</si>
  <si>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</si>
  <si>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</si>
  <si>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</si>
  <si>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</si>
  <si>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</si>
  <si>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</si>
  <si>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</si>
  <si>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</si>
  <si>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</si>
  <si>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</si>
  <si>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</si>
  <si>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</si>
  <si>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</si>
  <si>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</si>
  <si>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</si>
  <si>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</si>
  <si>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</si>
  <si>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</si>
  <si>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</si>
  <si>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</si>
  <si>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</si>
  <si>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</si>
  <si>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</si>
  <si>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</si>
  <si>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</si>
  <si>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</si>
  <si>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</si>
  <si>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</si>
  <si>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</si>
  <si>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</si>
  <si>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</si>
  <si>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</si>
  <si>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</si>
  <si>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</si>
  <si>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</si>
  <si>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</si>
  <si>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</si>
  <si>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</si>
  <si>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</si>
  <si>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</si>
  <si>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</si>
  <si>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</si>
  <si>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</si>
  <si>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</si>
  <si>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</si>
  <si>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</si>
  <si>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</si>
  <si>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</si>
  <si>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</si>
  <si>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</si>
  <si>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</si>
  <si>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</si>
  <si>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</si>
  <si>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</si>
  <si>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</si>
  <si>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</si>
  <si>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</si>
  <si>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</si>
  <si>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</si>
  <si>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</si>
  <si>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</si>
  <si>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</si>
  <si>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</si>
  <si>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</si>
  <si>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</si>
  <si>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</si>
  <si>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</si>
  <si>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</si>
  <si>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</si>
  <si>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</si>
  <si>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</si>
  <si>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</si>
  <si>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</si>
  <si>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</si>
  <si>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</si>
  <si>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</si>
  <si>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</si>
  <si>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</si>
  <si>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</si>
  <si>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</si>
  <si>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</si>
  <si>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</si>
  <si>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</si>
  <si>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</si>
  <si>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</si>
  <si>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</si>
  <si>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</si>
  <si>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</si>
  <si>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</si>
  <si>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</si>
  <si>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</si>
  <si>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</si>
  <si>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</si>
  <si>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</si>
  <si>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</si>
  <si>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</si>
  <si>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</si>
  <si>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</si>
  <si>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</si>
  <si>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</si>
  <si>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</si>
  <si>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</si>
  <si>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</si>
  <si>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</si>
  <si>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</si>
  <si>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</si>
  <si>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</si>
  <si>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</si>
  <si>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</si>
  <si>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</si>
  <si>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</si>
  <si>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</si>
  <si>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</si>
  <si>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</si>
  <si>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</si>
  <si>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</si>
  <si>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</si>
  <si>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</si>
  <si>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</si>
  <si>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</si>
  <si>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</si>
  <si>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</si>
  <si>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</si>
  <si>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</si>
  <si>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</si>
  <si>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</si>
  <si>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</si>
  <si>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</si>
  <si>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</si>
  <si>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</si>
  <si>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</si>
  <si>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</si>
  <si>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</si>
  <si>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</si>
  <si>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</si>
  <si>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</si>
  <si>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</si>
  <si>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</si>
  <si>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</si>
  <si>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</si>
  <si>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</si>
  <si>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</si>
  <si>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</si>
  <si>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</si>
  <si>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</si>
  <si>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</si>
  <si>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</si>
  <si>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</si>
  <si>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</si>
  <si>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</si>
  <si>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</si>
  <si>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</si>
  <si>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</si>
  <si>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</si>
  <si>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</si>
  <si>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</si>
  <si>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</si>
  <si>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</si>
  <si>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</si>
  <si>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</si>
  <si>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</si>
  <si>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</si>
  <si>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</si>
  <si>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</si>
  <si>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</si>
  <si>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</si>
  <si>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</si>
  <si>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</si>
  <si>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</si>
  <si>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</si>
  <si>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</si>
  <si>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</si>
  <si>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</si>
  <si>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</si>
  <si>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</si>
  <si>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</si>
  <si>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</si>
  <si>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</si>
  <si>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</si>
  <si>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Métricas CVSSv3</t>
  </si>
  <si>
    <t xml:space="preserve">Criticidad</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</si>
  <si>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</si>
  <si>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</si>
  <si>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</si>
  <si>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</si>
  <si>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</si>
  <si>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</si>
  <si>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</si>
  <si>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Red</t>
  </si>
  <si>
    <t xml:space="preserve">URL KB</t>
  </si>
  <si>
    <t xml:space="preserve">.*(xxxx|yyyy)</t>
  </si>
  <si>
    <t xml:space="preserve">Alta</t>
  </si>
  <si>
    <t xml:space="preserve">Ninguno</t>
  </si>
  <si>
    <t xml:space="preserve">Ninguna</t>
  </si>
  <si>
    <t xml:space="preserve">Cambió</t>
  </si>
  <si>
    <t xml:space="preserve">Alto</t>
  </si>
  <si>
    <t xml:space="preserve">Inexistente</t>
  </si>
  <si>
    <t xml:space="preserve">Confirmado</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</si>
  <si>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</si>
  <si>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</si>
  <si>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</si>
  <si>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</si>
  <si>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</si>
  <si>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</si>
  <si>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</si>
  <si>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</si>
  <si>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</si>
  <si>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</si>
  <si>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</si>
  <si>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</si>
  <si>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</si>
  <si>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</si>
  <si>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</si>
  <si>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</si>
  <si>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</si>
  <si>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</si>
  <si>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</si>
  <si>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</si>
  <si>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</si>
  <si>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</si>
  <si>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</si>
  <si>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</si>
  <si>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</si>
  <si>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</si>
  <si>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</si>
  <si>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</si>
  <si>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</si>
  <si>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</si>
  <si>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</si>
  <si>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</si>
  <si>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</si>
  <si>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</si>
  <si>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</si>
  <si>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</si>
  <si>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</si>
  <si>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</si>
  <si>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</si>
  <si>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</si>
  <si>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</si>
  <si>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</si>
  <si>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</si>
  <si>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</si>
  <si>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</si>
  <si>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</si>
  <si>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</si>
  <si>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</si>
  <si>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</si>
  <si>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</si>
  <si>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</si>
  <si>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</si>
  <si>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</si>
  <si>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</si>
  <si>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</si>
  <si>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</si>
  <si>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</si>
  <si>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</si>
  <si>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</si>
  <si>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</si>
  <si>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</si>
  <si>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</si>
  <si>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</si>
  <si>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</si>
  <si>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</si>
  <si>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</si>
  <si>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</si>
  <si>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</si>
  <si>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</si>
  <si>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</si>
  <si>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</si>
  <si>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</si>
  <si>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</si>
  <si>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</si>
  <si>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</si>
  <si>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</si>
  <si>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</si>
  <si>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</si>
  <si>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</si>
  <si>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</si>
  <si>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</si>
  <si>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</si>
  <si>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</si>
  <si>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</si>
  <si>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</si>
  <si>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</si>
  <si>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</si>
  <si>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</si>
  <si>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</si>
  <si>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</si>
  <si>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</si>
  <si>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</si>
  <si>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</si>
  <si>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</si>
  <si>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</si>
  <si>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</si>
  <si>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</si>
  <si>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</si>
  <si>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</si>
  <si>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</si>
  <si>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</si>
  <si>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</si>
  <si>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</si>
  <si>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</si>
  <si>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</si>
  <si>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</si>
  <si>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</si>
  <si>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</si>
  <si>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</si>
  <si>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</si>
  <si>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</si>
  <si>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</si>
  <si>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</si>
  <si>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</si>
  <si>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</si>
  <si>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</si>
  <si>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</si>
  <si>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</si>
  <si>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</si>
  <si>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</si>
  <si>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</si>
  <si>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</si>
  <si>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</si>
  <si>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</si>
  <si>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</si>
  <si>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</si>
  <si>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</si>
  <si>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</si>
  <si>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</si>
  <si>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</si>
  <si>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</si>
  <si>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</si>
  <si>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</si>
  <si>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</si>
  <si>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</si>
  <si>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</si>
  <si>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</si>
  <si>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</si>
  <si>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</si>
  <si>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</si>
  <si>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</si>
  <si>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</si>
  <si>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</si>
  <si>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</si>
  <si>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</si>
  <si>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</si>
  <si>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</si>
  <si>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</si>
  <si>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</si>
  <si>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</si>
  <si>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</si>
  <si>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</si>
  <si>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</si>
  <si>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</si>
  <si>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</si>
  <si>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</si>
  <si>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</si>
  <si>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</si>
  <si>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</si>
  <si>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</si>
  <si>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</si>
  <si>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</si>
  <si>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</si>
  <si>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</si>
  <si>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</si>
  <si>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</si>
  <si>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</si>
  <si>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</si>
  <si>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</si>
  <si>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</si>
  <si>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</si>
  <si>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</si>
  <si>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</si>
  <si>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</si>
  <si>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</si>
  <si>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</si>
  <si>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</si>
  <si>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</si>
  <si>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</si>
  <si>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</si>
  <si>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</si>
  <si>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</si>
  <si>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</si>
  <si>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</si>
  <si>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</si>
  <si>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</si>
  <si>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</si>
  <si>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</si>
  <si>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</si>
  <si>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</si>
  <si>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</si>
  <si>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</si>
  <si>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</si>
  <si>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</si>
  <si>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</si>
  <si>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</si>
  <si>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</si>
  <si>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</si>
  <si>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</si>
  <si>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</si>
  <si>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</si>
  <si>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</si>
  <si>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</si>
  <si>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</si>
  <si>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</si>
  <si>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</si>
  <si>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</si>
  <si>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</si>
  <si>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</si>
  <si>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</si>
  <si>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</si>
  <si>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</si>
  <si>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</si>
  <si>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</si>
  <si>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</si>
  <si>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</si>
  <si>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</si>
  <si>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</si>
  <si>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</si>
  <si>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</si>
  <si>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</si>
  <si>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</si>
  <si>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</si>
  <si>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Hoja de referencia para el cálculo de criticidad</t>
  </si>
  <si>
    <t xml:space="preserve">Métrica</t>
  </si>
  <si>
    <t xml:space="preserve">Vector</t>
  </si>
  <si>
    <t xml:space="preserve">Opciones</t>
  </si>
  <si>
    <t xml:space="preserve">Vector de acceso:</t>
  </si>
  <si>
    <t xml:space="preserve">AV</t>
  </si>
  <si>
    <t xml:space="preserve">Local</t>
  </si>
  <si>
    <t xml:space="preserve">Red adyacente</t>
  </si>
  <si>
    <t xml:space="preserve">Complejidad de acceso:</t>
  </si>
  <si>
    <t xml:space="preserve">AC</t>
  </si>
  <si>
    <t xml:space="preserve">Media</t>
  </si>
  <si>
    <t xml:space="preserve">Baja</t>
  </si>
  <si>
    <t xml:space="preserve">Autenticación:</t>
  </si>
  <si>
    <t xml:space="preserve">Au</t>
  </si>
  <si>
    <t xml:space="preserve">Múltiple</t>
  </si>
  <si>
    <t xml:space="preserve">Única</t>
  </si>
  <si>
    <t xml:space="preserve">Impacto a la confidencialidad:</t>
  </si>
  <si>
    <t xml:space="preserve">C</t>
  </si>
  <si>
    <t xml:space="preserve">Parcial</t>
  </si>
  <si>
    <t xml:space="preserve">Completo</t>
  </si>
  <si>
    <t xml:space="preserve">Impacto a la integridad:</t>
  </si>
  <si>
    <t xml:space="preserve">I</t>
  </si>
  <si>
    <t xml:space="preserve">Impacto a la disponibilidad:</t>
  </si>
  <si>
    <t xml:space="preserve">A</t>
  </si>
  <si>
    <t xml:space="preserve">Explotabilidad:</t>
  </si>
  <si>
    <t xml:space="preserve">E</t>
  </si>
  <si>
    <t xml:space="preserve">Improbable</t>
  </si>
  <si>
    <t xml:space="preserve">Conceptual</t>
  </si>
  <si>
    <t xml:space="preserve">Funcional</t>
  </si>
  <si>
    <t xml:space="preserve">Nivel de resolución:</t>
  </si>
  <si>
    <t xml:space="preserve">RL</t>
  </si>
  <si>
    <t xml:space="preserve">Oficial</t>
  </si>
  <si>
    <t xml:space="preserve">Temporal</t>
  </si>
  <si>
    <t xml:space="preserve">Paliativa</t>
  </si>
  <si>
    <t xml:space="preserve">Nivel de confianza:</t>
  </si>
  <si>
    <t xml:space="preserve">RC</t>
  </si>
  <si>
    <t xml:space="preserve">No confirmado</t>
  </si>
  <si>
    <t xml:space="preserve">No corroborado</t>
  </si>
  <si>
    <t xml:space="preserve">Access Vector</t>
  </si>
  <si>
    <t xml:space="preserve">Access Complexity</t>
  </si>
  <si>
    <t xml:space="preserve">Authentication</t>
  </si>
  <si>
    <t xml:space="preserve">ConfImpact</t>
  </si>
  <si>
    <t xml:space="preserve">IntegImpact</t>
  </si>
  <si>
    <t xml:space="preserve">AvailImpact</t>
  </si>
  <si>
    <t xml:space="preserve">Exploitability</t>
  </si>
  <si>
    <t xml:space="preserve">Remediation Level</t>
  </si>
  <si>
    <t xml:space="preserve">Report Confidence</t>
  </si>
  <si>
    <t xml:space="preserve">L</t>
  </si>
  <si>
    <t xml:space="preserve">N</t>
  </si>
  <si>
    <t xml:space="preserve">H</t>
  </si>
  <si>
    <t xml:space="preserve">M</t>
  </si>
  <si>
    <t xml:space="preserve">S</t>
  </si>
  <si>
    <t xml:space="preserve">P</t>
  </si>
  <si>
    <t xml:space="preserve">U</t>
  </si>
  <si>
    <t xml:space="preserve">F</t>
  </si>
  <si>
    <t xml:space="preserve">OF</t>
  </si>
  <si>
    <t xml:space="preserve">T</t>
  </si>
  <si>
    <t xml:space="preserve">W</t>
  </si>
  <si>
    <t xml:space="preserve">UC</t>
  </si>
  <si>
    <t xml:space="preserve">UR</t>
  </si>
  <si>
    <t xml:space="preserve">Línea de negocio</t>
  </si>
  <si>
    <t xml:space="preserve">Dominio</t>
  </si>
  <si>
    <t xml:space="preserve">Subdominio</t>
  </si>
  <si>
    <t xml:space="preserve">Tipo de prueba</t>
  </si>
  <si>
    <t xml:space="preserve">Gerencia responsable</t>
  </si>
  <si>
    <t xml:space="preserve">Detectado en ciclo</t>
  </si>
  <si>
    <t xml:space="preserve">Escenario</t>
  </si>
  <si>
    <t xml:space="preserve">Ámbito</t>
  </si>
  <si>
    <t xml:space="preserve">Categorias Bancolombia</t>
  </si>
  <si>
    <t xml:space="preserve">Tipo de reporte</t>
  </si>
  <si>
    <t xml:space="preserve">Severidad</t>
  </si>
  <si>
    <t xml:space="preserve">Estado</t>
  </si>
  <si>
    <t xml:space="preserve">Naturaleza</t>
  </si>
  <si>
    <t xml:space="preserve">Mes</t>
  </si>
  <si>
    <t xml:space="preserve">Proveedor</t>
  </si>
  <si>
    <t xml:space="preserve">Responsable en PE</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</si>
  <si>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</si>
  <si>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</si>
  <si>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</si>
  <si>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</si>
  <si>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</si>
  <si>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</si>
  <si>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</si>
  <si>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</si>
  <si>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</si>
  <si>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</si>
  <si>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</si>
  <si>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</si>
  <si>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Abierta</t>
  </si>
  <si>
    <t xml:space="preserve">Ambiente</t>
  </si>
  <si>
    <t xml:space="preserve">Enero</t>
  </si>
  <si>
    <t xml:space="preserve">ABITS</t>
  </si>
  <si>
    <t xml:space="preserve">cesospin</t>
  </si>
  <si>
    <t xml:space="preserve">Fluid</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</si>
  <si>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</si>
  <si>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</si>
  <si>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</si>
  <si>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</si>
  <si>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</si>
  <si>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</si>
  <si>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</si>
  <si>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</si>
  <si>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Hallazgo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</si>
  <si>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</si>
  <si>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</si>
  <si>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</si>
  <si>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</si>
  <si>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</si>
  <si>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</si>
  <si>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</si>
  <si>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</si>
  <si>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</si>
  <si>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</si>
  <si>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</si>
  <si>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</si>
  <si>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</si>
  <si>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</si>
  <si>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</si>
  <si>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</si>
  <si>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</si>
  <si>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</si>
  <si>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</si>
  <si>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</si>
  <si>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</si>
  <si>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</si>
  <si>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</si>
  <si>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</si>
  <si>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</si>
  <si>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</si>
  <si>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</si>
  <si>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</si>
  <si>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</si>
  <si>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</si>
  <si>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</si>
  <si>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</si>
  <si>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</si>
  <si>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</si>
  <si>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</si>
  <si>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</si>
  <si>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</si>
  <si>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</si>
  <si>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</si>
  <si>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</si>
  <si>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</si>
  <si>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</si>
  <si>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</si>
  <si>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</si>
  <si>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</si>
  <si>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</si>
  <si>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</si>
  <si>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</si>
  <si>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</si>
  <si>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</si>
  <si>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</si>
  <si>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</si>
  <si>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</si>
  <si>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</si>
  <si>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</si>
  <si>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</si>
  <si>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</si>
  <si>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</si>
  <si>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</si>
  <si>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</si>
  <si>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</si>
  <si>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</si>
  <si>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</si>
  <si>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</si>
  <si>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</si>
  <si>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</si>
  <si>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</si>
  <si>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</si>
  <si>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</si>
  <si>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</si>
  <si>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</si>
  <si>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</si>
  <si>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</si>
  <si>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</si>
  <si>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</si>
  <si>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</si>
  <si>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</si>
  <si>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</si>
  <si>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</si>
  <si>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</si>
  <si>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</si>
  <si>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</si>
  <si>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</si>
  <si>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</si>
  <si>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</si>
  <si>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</si>
  <si>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</si>
  <si>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</si>
  <si>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</si>
  <si>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</si>
  <si>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</si>
  <si>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</si>
  <si>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</si>
  <si>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</si>
  <si>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</si>
  <si>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</si>
  <si>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</si>
  <si>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</si>
  <si>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</si>
  <si>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</si>
  <si>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</si>
  <si>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</si>
  <si>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</si>
  <si>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</si>
  <si>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</si>
  <si>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</si>
  <si>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</si>
  <si>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</si>
  <si>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</si>
  <si>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</si>
  <si>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</si>
  <si>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Seguridad</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</si>
  <si>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</si>
  <si>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</si>
  <si>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</si>
  <si>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</si>
  <si>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</si>
  <si>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</si>
  <si>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</si>
  <si>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</si>
  <si>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</si>
  <si>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</si>
  <si>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</si>
  <si>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</si>
  <si>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</si>
  <si>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</si>
  <si>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</si>
  <si>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</si>
  <si>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</si>
  <si>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</si>
  <si>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</si>
  <si>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</si>
  <si>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</si>
  <si>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</si>
  <si>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</si>
  <si>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</si>
  <si>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</si>
  <si>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</si>
  <si>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</si>
  <si>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</si>
  <si>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</si>
  <si>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</si>
  <si>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</si>
  <si>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</si>
  <si>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</si>
  <si>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</si>
  <si>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</si>
  <si>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</si>
  <si>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</si>
  <si>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</si>
  <si>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</si>
  <si>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</si>
  <si>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</si>
  <si>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</si>
  <si>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</si>
  <si>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</si>
  <si>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</si>
  <si>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</si>
  <si>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</si>
  <si>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</si>
  <si>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</si>
  <si>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</si>
  <si>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</si>
  <si>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</si>
  <si>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</si>
  <si>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</si>
  <si>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</si>
  <si>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</si>
  <si>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</si>
  <si>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</si>
  <si>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</si>
  <si>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</si>
  <si>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</si>
  <si>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</si>
  <si>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</si>
  <si>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</si>
  <si>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</si>
  <si>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</si>
  <si>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</si>
  <si>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</si>
  <si>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</si>
  <si>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</si>
  <si>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</si>
  <si>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</si>
  <si>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</si>
  <si>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</si>
  <si>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</si>
  <si>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</si>
  <si>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</si>
  <si>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</si>
  <si>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</si>
  <si>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</si>
  <si>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</si>
  <si>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</si>
  <si>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</si>
  <si>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</si>
  <si>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</si>
  <si>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</si>
  <si>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</si>
  <si>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</si>
  <si>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</si>
  <si>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</si>
  <si>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</si>
  <si>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</si>
  <si>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</si>
  <si>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</si>
  <si>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</si>
  <si>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</si>
  <si>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</si>
  <si>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</si>
  <si>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</si>
  <si>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</si>
  <si>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</si>
  <si>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</si>
  <si>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</si>
  <si>
    <t xml:space="preserve">Vector de ataque:</t>
  </si>
  <si>
    <t xml:space="preserve">Físico</t>
  </si>
  <si>
    <t xml:space="preserve">Complejidad de ataque:</t>
  </si>
  <si>
    <t xml:space="preserve">Privilegios requeridos:</t>
  </si>
  <si>
    <t xml:space="preserve">PR</t>
  </si>
  <si>
    <t xml:space="preserve">Bajo</t>
  </si>
  <si>
    <t xml:space="preserve">Interacción del usuario:</t>
  </si>
  <si>
    <t xml:space="preserve">UI</t>
  </si>
  <si>
    <t xml:space="preserve">Requerida</t>
  </si>
  <si>
    <t xml:space="preserve">Alcance:</t>
  </si>
  <si>
    <t xml:space="preserve">No Cambió</t>
  </si>
  <si>
    <t xml:space="preserve">Prueba de Concepto</t>
  </si>
  <si>
    <t xml:space="preserve">No probada</t>
  </si>
  <si>
    <t xml:space="preserve">Nivel de confianza</t>
  </si>
  <si>
    <t xml:space="preserve">Razonable</t>
  </si>
  <si>
    <t xml:space="preserve">Desconocido</t>
  </si>
  <si>
    <t xml:space="preserve">Attack Vector</t>
  </si>
  <si>
    <t xml:space="preserve">Attack Complexity</t>
  </si>
  <si>
    <t xml:space="preserve">Privileges Required</t>
  </si>
  <si>
    <t xml:space="preserve">User Interaction</t>
  </si>
  <si>
    <t xml:space="preserve">Scope</t>
  </si>
  <si>
    <t xml:space="preserve">Confidentiality Impact</t>
  </si>
  <si>
    <t xml:space="preserve">Integrity Impact</t>
  </si>
  <si>
    <t xml:space="preserve">Availability Impact</t>
  </si>
  <si>
    <t xml:space="preserve">R</t>
  </si>
  <si>
    <t xml:space="preserve">O</t>
  </si>
</sst>
</file>

<file path=xl/styles.xml><?xml version="1.0" encoding="utf-8"?>
<styleSheet xmlns="http://schemas.openxmlformats.org/spreadsheetml/2006/main">
  <numFmts count="3">
    <numFmt numFmtId="164" formatCode="#,##0.0"/>
    <numFmt numFmtId="165" formatCode="0.00%"/>
    <numFmt numFmtId="166" formatCode="General"/>
  </numFmts>
  <fonts count="27">
    <font>
      <sz val="12"/>
      <name val="Times New Roman"/>
      <family val="1"/>
      <charset val="1"/>
    </font>
    <font>
      <sz val="10"/>
      <name val="Arial"/>
      <family val="0"/>
    </font>
    <font>
      <sz val="10"/>
      <name val="Arial"/>
      <family val="0"/>
    </font>
    <font>
      <sz val="10"/>
      <name val="Arial"/>
      <family val="0"/>
    </font>
    <font>
      <b val="true"/>
      <sz val="14"/>
      <name val="Arial"/>
      <family val="2"/>
      <charset val="1"/>
    </font>
    <font>
      <sz val="11"/>
      <name val="Arial"/>
      <family val="2"/>
      <charset val="1"/>
    </font>
    <font>
      <b val="true"/>
      <sz val="11"/>
      <name val="Arial"/>
      <family val="2"/>
      <charset val="1"/>
    </font>
    <font>
      <b val="true"/>
      <sz val="18"/>
      <name val="Cambria"/>
      <family val="1"/>
      <charset val="1"/>
    </font>
    <font>
      <b val="true"/>
      <sz val="14"/>
      <name val="Cambria"/>
      <family val="1"/>
      <charset val="1"/>
    </font>
    <font>
      <sz val="11"/>
      <name val="Cambria"/>
      <family val="1"/>
      <charset val="1"/>
    </font>
    <font>
      <b val="true"/>
      <sz val="10"/>
      <name val="Cambria"/>
      <family val="1"/>
      <charset val="1"/>
    </font>
    <font>
      <sz val="12"/>
      <color rgb="FF000000"/>
      <name val="Times New Roman"/>
      <family val="1"/>
      <charset val="1"/>
    </font>
    <font>
      <sz val="10"/>
      <color rgb="FF000000"/>
      <name val="Cambria"/>
      <family val="1"/>
      <charset val="1"/>
    </font>
    <font>
      <sz val="10"/>
      <color rgb="FF000000"/>
      <name val="Arial"/>
      <family val="2"/>
      <charset val="1"/>
    </font>
    <font>
      <u val="single"/>
      <sz val="11"/>
      <color rgb="FF0000FF"/>
      <name val="Cambria"/>
      <family val="1"/>
      <charset val="1"/>
    </font>
    <font>
      <b val="true"/>
      <sz val="1"/>
      <color rgb="FF222222"/>
      <name val="Arial"/>
      <family val="2"/>
    </font>
    <font>
      <sz val="10"/>
      <name val="Arial"/>
      <family val="2"/>
    </font>
    <font>
      <sz val="6"/>
      <name val="Cambria"/>
      <family val="1"/>
      <charset val="1"/>
    </font>
    <font>
      <sz val="10"/>
      <name val="Cambria"/>
      <family val="1"/>
      <charset val="1"/>
    </font>
    <font>
      <sz val="8"/>
      <name val="Cambria"/>
      <family val="1"/>
      <charset val="1"/>
    </font>
    <font>
      <sz val="6"/>
      <color rgb="FF000000"/>
      <name val="Cambria"/>
      <family val="1"/>
      <charset val="1"/>
    </font>
    <font>
      <b val="true"/>
      <sz val="8"/>
      <name val="Cambria"/>
      <family val="1"/>
      <charset val="1"/>
    </font>
    <font>
      <b val="true"/>
      <sz val="10"/>
      <color rgb="FF222222"/>
      <name val="Arial"/>
      <family val="2"/>
    </font>
    <font>
      <b val="true"/>
      <sz val="10"/>
      <color rgb="FF000000"/>
      <name val="Arial"/>
      <family val="2"/>
    </font>
    <font>
      <sz val="11"/>
      <color rgb="FF000000"/>
      <name val="Cambria"/>
      <family val="1"/>
      <charset val="1"/>
    </font>
    <font>
      <sz val="11"/>
      <color rgb="FF000000"/>
      <name val="CAMBRIA"/>
      <family val="1"/>
      <charset val="1"/>
    </font>
    <font>
      <sz val="11"/>
      <color rgb="FF000000"/>
      <name val="Arial"/>
      <family val="2"/>
      <charset val="1"/>
    </font>
  </fonts>
  <fills count="8">
    <fill>
      <patternFill patternType="none"/>
    </fill>
    <fill>
      <patternFill patternType="gray125"/>
    </fill>
    <fill>
      <patternFill patternType="solid">
        <fgColor rgb="FFFFFFFF"/>
        <bgColor rgb="FFF3F3F3"/>
      </patternFill>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CFE2F3"/>
        <bgColor rgb="FFD9D9D9"/>
      </patternFill>
    </fill>
    <fill>
      <patternFill patternType="solid">
        <fgColor rgb="FF4A86E8"/>
        <bgColor rgb="FF666699"/>
      </patternFill>
    </fill>
  </fills>
  <borders count="13">
    <border diagonalUp="false" diagonalDown="false">
      <left style="thin"/>
      <right style="thin"/>
      <top style="thin"/>
      <bottom style="thin"/>
      <diagonal/>
    </border>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hair"/>
      <right style="hair"/>
      <top style="hair"/>
      <bottom style="hair"/>
      <diagonal/>
    </border>
  </borders>
  <cellStyleXfs count="20">
    <xf numFmtId="164" fontId="0" fillId="2" borderId="0" applyFont="true" applyBorder="true" applyAlignment="true" applyProtection="true">
      <alignment horizontal="center" vertical="center" textRotation="0" wrapText="true" indent="0" shrinkToFit="false"/>
      <protection locked="true" hidden="false"/>
    </xf>
    <xf numFmtId="0" fontId="1" fillId="0" borderId="1" applyFont="true" applyBorder="false" applyAlignment="false" applyProtection="false"/>
    <xf numFmtId="0" fontId="1" fillId="0" borderId="1" applyFont="true" applyBorder="false" applyAlignment="false" applyProtection="false"/>
    <xf numFmtId="0" fontId="2" fillId="0" borderId="1" applyFont="true" applyBorder="false" applyAlignment="false" applyProtection="false"/>
    <xf numFmtId="0" fontId="2"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0" fontId="0" fillId="0" borderId="1" applyFont="true" applyBorder="false" applyAlignment="false" applyProtection="false"/>
    <xf numFmtId="43" fontId="1" fillId="0" borderId="1" applyFont="true" applyBorder="false" applyAlignment="false" applyProtection="false"/>
    <xf numFmtId="41" fontId="1" fillId="0" borderId="1" applyFont="true" applyBorder="false" applyAlignment="false" applyProtection="false"/>
    <xf numFmtId="44" fontId="1" fillId="0" borderId="1" applyFont="true" applyBorder="false" applyAlignment="false" applyProtection="false"/>
    <xf numFmtId="42" fontId="1" fillId="0" borderId="1" applyFont="true" applyBorder="false" applyAlignment="false" applyProtection="false"/>
    <xf numFmtId="9" fontId="1" fillId="0" borderId="1" applyFont="true" applyBorder="false" applyAlignment="false" applyProtection="false"/>
  </cellStyleXfs>
  <cellXfs count="93">
    <xf numFmtId="164" fontId="0" fillId="2" borderId="0" xfId="0" applyFont="false" applyBorder="false" applyAlignment="fals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right" vertical="bottom" textRotation="0" wrapText="false" indent="0" shrinkToFit="false"/>
      <protection locked="true" hidden="false"/>
    </xf>
    <xf numFmtId="164" fontId="6" fillId="5" borderId="5"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righ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false"/>
      <protection locked="true" hidden="false"/>
    </xf>
    <xf numFmtId="164" fontId="10" fillId="4" borderId="0" xfId="0" applyFont="true" applyBorder="true" applyAlignment="true" applyProtection="false">
      <alignment horizontal="center" vertical="center" textRotation="0" wrapText="fals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2" borderId="6" xfId="0" applyFont="true" applyBorder="true" applyAlignment="true" applyProtection="false">
      <alignment horizontal="right" vertical="bottom" textRotation="0" wrapText="false" indent="0" shrinkToFit="false"/>
      <protection locked="true" hidden="false"/>
    </xf>
    <xf numFmtId="164" fontId="0" fillId="2" borderId="7"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true" applyAlignment="false" applyProtection="false">
      <alignment horizontal="center" vertical="center" textRotation="0" wrapText="true" indent="0" shrinkToFit="false"/>
      <protection locked="true" hidden="false"/>
    </xf>
    <xf numFmtId="164" fontId="11" fillId="2" borderId="0" xfId="0" applyFont="true" applyBorder="false" applyAlignment="false" applyProtection="false">
      <alignment horizontal="center" vertical="center" textRotation="0" wrapText="true" indent="0" shrinkToFit="false"/>
      <protection locked="true" hidden="false"/>
    </xf>
    <xf numFmtId="164" fontId="0" fillId="2" borderId="8" xfId="0" applyFont="true" applyBorder="true" applyAlignment="true" applyProtection="false">
      <alignment horizontal="right" vertical="center" textRotation="0" wrapText="false" indent="0" shrinkToFit="false"/>
      <protection locked="true" hidden="false"/>
    </xf>
    <xf numFmtId="164" fontId="0" fillId="2" borderId="9" xfId="0" applyFont="true" applyBorder="true" applyAlignment="true" applyProtection="false">
      <alignment horizontal="left" vertical="center"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general" vertical="center" textRotation="0" wrapText="false" indent="0" shrinkToFit="false"/>
      <protection locked="true" hidden="false"/>
    </xf>
    <xf numFmtId="164" fontId="12" fillId="2" borderId="0" xfId="0" applyFont="true" applyBorder="true" applyAlignment="true" applyProtection="false">
      <alignment horizontal="general" vertical="center" textRotation="0" wrapText="true" indent="0" shrinkToFit="false"/>
      <protection locked="true" hidden="false"/>
    </xf>
    <xf numFmtId="164" fontId="12"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true" indent="0" shrinkToFit="false"/>
      <protection locked="true" hidden="false"/>
    </xf>
    <xf numFmtId="164" fontId="9" fillId="2" borderId="0" xfId="0" applyFont="true" applyBorder="true" applyAlignment="true" applyProtection="false">
      <alignment horizontal="general" vertical="center" textRotation="0" wrapText="true" indent="0" shrinkToFit="false"/>
      <protection locked="true" hidden="false"/>
    </xf>
    <xf numFmtId="164" fontId="9" fillId="2" borderId="10" xfId="0" applyFont="true" applyBorder="true" applyAlignment="tru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general" vertical="bottom" textRotation="0" wrapText="false" indent="0" shrinkToFit="false"/>
      <protection locked="true" hidden="false"/>
    </xf>
    <xf numFmtId="164" fontId="9" fillId="2" borderId="10" xfId="0" applyFont="true" applyBorder="true" applyAlignment="true" applyProtection="false">
      <alignment horizontal="center" vertical="bottom" textRotation="0" wrapText="false" indent="0" shrinkToFit="false"/>
      <protection locked="true" hidden="false"/>
    </xf>
    <xf numFmtId="164" fontId="9" fillId="2" borderId="10" xfId="0" applyFont="true" applyBorder="true" applyAlignment="true" applyProtection="false">
      <alignment horizontal="general" vertical="center" textRotation="0" wrapText="false" indent="0" shrinkToFit="false"/>
      <protection locked="true" hidden="false"/>
    </xf>
    <xf numFmtId="164" fontId="9" fillId="2" borderId="9"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true" applyAlignment="true" applyProtection="false">
      <alignment horizontal="right" vertical="bottom" textRotation="0" wrapText="false" indent="0" shrinkToFit="false"/>
      <protection locked="true" hidden="false"/>
    </xf>
    <xf numFmtId="164" fontId="10" fillId="5" borderId="0" xfId="0" applyFont="true" applyBorder="true" applyAlignment="true" applyProtection="false">
      <alignment horizontal="center" vertical="bottom" textRotation="0" wrapText="false" indent="0" shrinkToFit="false"/>
      <protection locked="true" hidden="false"/>
    </xf>
    <xf numFmtId="164" fontId="10" fillId="2" borderId="8"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true" applyAlignment="true" applyProtection="false">
      <alignment horizontal="right" vertical="bottom" textRotation="0" wrapText="false" indent="0" shrinkToFit="false"/>
      <protection locked="true" hidden="false"/>
    </xf>
    <xf numFmtId="164" fontId="9" fillId="2" borderId="8"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false" indent="0" shrinkToFit="false"/>
      <protection locked="true" hidden="false"/>
    </xf>
    <xf numFmtId="165"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5" fontId="9" fillId="2"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true" applyAlignment="true" applyProtection="false">
      <alignment horizontal="center" vertical="center" textRotation="0" wrapText="fals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center" vertical="bottom" textRotation="0" wrapText="false" indent="0" shrinkToFit="false"/>
      <protection locked="true" hidden="false"/>
    </xf>
    <xf numFmtId="164" fontId="18" fillId="2" borderId="3" xfId="0" applyFont="true" applyBorder="true" applyAlignment="true" applyProtection="false">
      <alignment horizontal="center" vertical="bottom" textRotation="0" wrapText="false" indent="0" shrinkToFit="false"/>
      <protection locked="true" hidden="false"/>
    </xf>
    <xf numFmtId="164" fontId="9" fillId="2" borderId="10" xfId="0" applyFont="true" applyBorder="tru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bottom" textRotation="0" wrapText="false" indent="0" shrinkToFit="false"/>
      <protection locked="true" hidden="false"/>
    </xf>
    <xf numFmtId="164" fontId="20"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24" fillId="2" borderId="12" xfId="0" applyFont="true" applyBorder="true" applyAlignment="true" applyProtection="false">
      <alignment horizontal="center" vertical="center" textRotation="0" wrapText="false" indent="0" shrinkToFit="false"/>
      <protection locked="true" hidden="false"/>
    </xf>
    <xf numFmtId="164" fontId="24" fillId="2" borderId="12" xfId="0" applyFont="true" applyBorder="true" applyAlignment="true" applyProtection="false">
      <alignment horizontal="general" vertical="bottom" textRotation="0" wrapText="false" indent="0" shrinkToFit="false"/>
      <protection locked="true" hidden="false"/>
    </xf>
    <xf numFmtId="164" fontId="9" fillId="2" borderId="12" xfId="0" applyFont="true" applyBorder="true" applyAlignment="true" applyProtection="false">
      <alignment horizontal="general" vertical="bottom" textRotation="0" wrapText="false" indent="0" shrinkToFit="false"/>
      <protection locked="true" hidden="false"/>
    </xf>
    <xf numFmtId="164" fontId="25" fillId="2" borderId="12" xfId="0" applyFont="true" applyBorder="true" applyAlignment="true" applyProtection="false">
      <alignment horizontal="general" vertical="bottom" textRotation="0" wrapText="false" indent="0" shrinkToFit="false"/>
      <protection locked="true" hidden="false"/>
    </xf>
    <xf numFmtId="164" fontId="26" fillId="2" borderId="12" xfId="0" applyFont="true" applyBorder="true" applyAlignment="true" applyProtection="false">
      <alignment horizontal="general" vertical="bottom" textRotation="0" wrapText="false" indent="0" shrinkToFit="false"/>
      <protection locked="true" hidden="false"/>
    </xf>
    <xf numFmtId="164" fontId="9" fillId="2" borderId="12"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name val="arial"/>
        <charset val="1"/>
        <family val="2"/>
      </font>
      <numFmt numFmtId="164" formatCode="#,##0.0"/>
      <fill>
        <patternFill>
          <bgColor rgb="FFFAA61A"/>
        </patternFill>
      </fill>
      <alignment horizontal="center" vertical="center" textRotation="0" wrapText="false" indent="0" shrinkToFit="false"/>
      <border diagonalUp="false" diagonalDown="false">
        <left style="thin"/>
        <right style="thin"/>
        <top style="thin"/>
        <bottom style="thin"/>
        <diagonal/>
      </border>
    </dxf>
    <dxf>
      <font>
        <name val="arial"/>
        <charset val="1"/>
        <family val="2"/>
      </font>
      <numFmt numFmtId="164" formatCode="#,##0.0"/>
      <fill>
        <patternFill>
          <bgColor rgb="FFED1C24"/>
        </patternFill>
      </fill>
      <alignment horizontal="center" vertical="center" textRotation="0" wrapText="false" indent="0" shrinkToFit="false"/>
      <border diagonalUp="false" diagonalDown="false">
        <left style="thin"/>
        <right style="thin"/>
        <top style="thin"/>
        <bottom style="thin"/>
        <diagonal/>
      </border>
    </dxf>
    <dxf>
      <font>
        <name val="arial"/>
        <charset val="1"/>
        <family val="2"/>
        <color rgb="FFFFFFFF"/>
      </font>
      <numFmt numFmtId="164" formatCode="#,##0.0"/>
      <fill>
        <patternFill>
          <bgColor rgb="FF94070A"/>
        </patternFill>
      </fill>
      <alignment horizontal="center" vertical="center" textRotation="0" wrapText="false" indent="0" shrinkToFit="false"/>
      <border diagonalUp="false" diagonalDown="false">
        <left style="thin"/>
        <right style="thin"/>
        <top style="thin"/>
        <bottom style="thin"/>
        <diagonal/>
      </border>
    </dxf>
    <dxf>
      <font>
        <name val="arial"/>
        <charset val="1"/>
        <family val="2"/>
      </font>
      <numFmt numFmtId="164" formatCode="#,##0.0"/>
      <fill>
        <patternFill>
          <bgColor rgb="FFFFF200"/>
        </patternFill>
      </fill>
      <alignment horizontal="center" vertical="center" textRotation="0" wrapText="false" indent="0" shrinkToFit="false"/>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P_Ocurrencias!$M$6:$M$6</c:f>
              <c:numCache>
                <c:formatCode>General</c:formatCode>
                <c:ptCount val="1"/>
                <c:pt idx="0">
                  <c:v>0</c:v>
                </c:pt>
              </c:numCache>
            </c:numRef>
          </c:xVal>
          <c:yVal>
            <c:numRef>
              <c:f>P_Ocurrencias!$N$6:$N$6</c:f>
              <c:numCache>
                <c:formatCode>General</c:formatCode>
                <c:ptCount val="1"/>
                <c:pt idx="0">
                  <c:v>0.2</c:v>
                </c:pt>
              </c:numCache>
            </c:numRef>
          </c:yVal>
          <c:bubbleSize>
            <c:numRef>
              <c:f>P_Ocurrencias!$P$6:$P$6</c:f>
              <c:numCache>
                <c:formatCode>General</c:formatCode>
                <c:ptCount val="1"/>
                <c:pt idx="0">
                  <c:v>9</c:v>
                </c:pt>
              </c:numCache>
            </c:numRef>
          </c:bubbleSize>
        </c:ser>
        <c:ser>
          <c:idx val="3"/>
          <c:order val="3"/>
          <c:tx>
            <c:strRef>
              <c:f>P_Ocurrencias!$L$7:$L$7</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P_Ocurrencias!$M$7:$M$7</c:f>
              <c:numCache>
                <c:formatCode>General</c:formatCode>
                <c:ptCount val="1"/>
                <c:pt idx="0">
                  <c:v>0</c:v>
                </c:pt>
              </c:numCache>
            </c:numRef>
          </c:xVal>
          <c:yVal>
            <c:numRef>
              <c:f>P_Ocurrencias!$N$7:$N$7</c:f>
              <c:numCache>
                <c:formatCode>General</c:formatCode>
                <c:ptCount val="1"/>
                <c:pt idx="0">
                  <c:v>0.2</c:v>
                </c:pt>
              </c:numCache>
            </c:numRef>
          </c:yVal>
          <c:bubbleSize>
            <c:numRef>
              <c:f>P_Ocurrencias!$P$7:$P$7</c:f>
              <c:numCache>
                <c:formatCode>General</c:formatCode>
                <c:ptCount val="1"/>
                <c:pt idx="0">
                  <c:v>0</c:v>
                </c:pt>
              </c:numCache>
            </c:numRef>
          </c:bubbleSize>
        </c:ser>
        <c:ser>
          <c:idx val="4"/>
          <c:order val="4"/>
          <c:tx>
            <c:strRef>
              <c:f>P_Ocurrencias!$L$8:$L$8</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P_Ocurrencias!$M$8:$M$8</c:f>
              <c:numCache>
                <c:formatCode>General</c:formatCode>
                <c:ptCount val="1"/>
                <c:pt idx="0">
                  <c:v>0</c:v>
                </c:pt>
              </c:numCache>
            </c:numRef>
          </c:xVal>
          <c:yVal>
            <c:numRef>
              <c:f>P_Ocurrencias!$N$8:$N$8</c:f>
              <c:numCache>
                <c:formatCode>General</c:formatCode>
                <c:ptCount val="1"/>
                <c:pt idx="0">
                  <c:v>0.2</c:v>
                </c:pt>
              </c:numCache>
            </c:numRef>
          </c:yVal>
          <c:bubbleSize>
            <c:numRef>
              <c:f>P_Ocurrencias!$P$8:$P$8</c:f>
              <c:numCache>
                <c:formatCode>General</c:formatCode>
                <c:ptCount val="1"/>
                <c:pt idx="0">
                  <c:v>0</c:v>
                </c:pt>
              </c:numCache>
            </c:numRef>
          </c:bubbleSize>
        </c:ser>
        <c:ser>
          <c:idx val="5"/>
          <c:order val="5"/>
          <c:tx>
            <c:strRef>
              <c:f>P_Ocurrencias!$L$9:$L$9</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P_Ocurrencias!$M$9:$M$9</c:f>
              <c:numCache>
                <c:formatCode>General</c:formatCode>
                <c:ptCount val="1"/>
                <c:pt idx="0">
                  <c:v>0</c:v>
                </c:pt>
              </c:numCache>
            </c:numRef>
          </c:xVal>
          <c:yVal>
            <c:numRef>
              <c:f>P_Ocurrencias!$N$9:$N$9</c:f>
              <c:numCache>
                <c:formatCode>General</c:formatCode>
                <c:ptCount val="1"/>
                <c:pt idx="0">
                  <c:v>0.2</c:v>
                </c:pt>
              </c:numCache>
            </c:numRef>
          </c:yVal>
          <c:bubbleSize>
            <c:numRef>
              <c:f>P_Ocurrencias!$P$9:$P$9</c:f>
              <c:numCache>
                <c:formatCode>General</c:formatCode>
                <c:ptCount val="1"/>
                <c:pt idx="0">
                  <c:v>0</c:v>
                </c:pt>
              </c:numCache>
            </c:numRef>
          </c:bubbleSize>
        </c:ser>
        <c:ser>
          <c:idx val="6"/>
          <c:order val="6"/>
          <c:tx>
            <c:strRef>
              <c:f>P_Ocurrencias!$L$10:$L$10</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P_Ocurrencias!$M$10:$M$10</c:f>
              <c:numCache>
                <c:formatCode>General</c:formatCode>
                <c:ptCount val="1"/>
                <c:pt idx="0">
                  <c:v>0</c:v>
                </c:pt>
              </c:numCache>
            </c:numRef>
          </c:xVal>
          <c:yVal>
            <c:numRef>
              <c:f>P_Ocurrencias!$N$10:$N$10</c:f>
              <c:numCache>
                <c:formatCode>General</c:formatCode>
                <c:ptCount val="1"/>
                <c:pt idx="0">
                  <c:v>0.2</c:v>
                </c:pt>
              </c:numCache>
            </c:numRef>
          </c:yVal>
          <c:bubbleSize>
            <c:numRef>
              <c:f>P_Ocurrencias!$P$10:$P$10</c:f>
              <c:numCache>
                <c:formatCode>General</c:formatCode>
                <c:ptCount val="1"/>
                <c:pt idx="0">
                  <c:v>0</c:v>
                </c:pt>
              </c:numCache>
            </c:numRef>
          </c:bubbleSize>
        </c:ser>
        <c:ser>
          <c:idx val="7"/>
          <c:order val="7"/>
          <c:tx>
            <c:strRef>
              <c:f>P_Ocurrencias!$L$11:$L$11</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P_Ocurrencias!$M$11:$M$11</c:f>
              <c:numCache>
                <c:formatCode>General</c:formatCode>
                <c:ptCount val="1"/>
                <c:pt idx="0">
                  <c:v>0</c:v>
                </c:pt>
              </c:numCache>
            </c:numRef>
          </c:xVal>
          <c:yVal>
            <c:numRef>
              <c:f>P_Ocurrencias!$N$11:$N$11</c:f>
              <c:numCache>
                <c:formatCode>General</c:formatCode>
                <c:ptCount val="1"/>
                <c:pt idx="0">
                  <c:v>0.2</c:v>
                </c:pt>
              </c:numCache>
            </c:numRef>
          </c:yVal>
          <c:bubbleSize>
            <c:numRef>
              <c:f>P_Ocurrencias!$P$11:$P$11</c:f>
              <c:numCache>
                <c:formatCode>General</c:formatCode>
                <c:ptCount val="1"/>
                <c:pt idx="0">
                  <c:v>0</c:v>
                </c:pt>
              </c:numCache>
            </c:numRef>
          </c:bubbleSize>
        </c:ser>
        <c:ser>
          <c:idx val="8"/>
          <c:order val="8"/>
          <c:tx>
            <c:strRef>
              <c:f>P_Ocurrencias!$L$12:$L$12</c:f>
              <c:strCache>
                <c:ptCount val="1"/>
                <c:pt idx="0">
                  <c:v>7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P_Ocurrencias!$M$12:$M$12</c:f>
              <c:numCache>
                <c:formatCode>General</c:formatCode>
                <c:ptCount val="1"/>
                <c:pt idx="0">
                  <c:v>0</c:v>
                </c:pt>
              </c:numCache>
            </c:numRef>
          </c:xVal>
          <c:yVal>
            <c:numRef>
              <c:f>P_Ocurrencias!$N$12:$N$12</c:f>
              <c:numCache>
                <c:formatCode>General</c:formatCode>
                <c:ptCount val="1"/>
                <c:pt idx="0">
                  <c:v>0.2</c:v>
                </c:pt>
              </c:numCache>
            </c:numRef>
          </c:yVal>
          <c:bubbleSize>
            <c:numRef>
              <c:f>P_Ocurrencias!$P$12:$P$12</c:f>
              <c:numCache>
                <c:formatCode>General</c:formatCode>
                <c:ptCount val="1"/>
                <c:pt idx="0">
                  <c:v>9</c:v>
                </c:pt>
              </c:numCache>
            </c:numRef>
          </c:bubbleSize>
        </c:ser>
        <c:ser>
          <c:idx val="9"/>
          <c:order val="9"/>
          <c:tx>
            <c:strRef>
              <c:f>P_Ocurrencias!$L$13:$L$13</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P_Ocurrencias!$M$13:$M$13</c:f>
              <c:numCache>
                <c:formatCode>General</c:formatCode>
                <c:ptCount val="1"/>
                <c:pt idx="0">
                  <c:v>0</c:v>
                </c:pt>
              </c:numCache>
            </c:numRef>
          </c:xVal>
          <c:yVal>
            <c:numRef>
              <c:f>P_Ocurrencias!$N$13:$N$13</c:f>
              <c:numCache>
                <c:formatCode>General</c:formatCode>
                <c:ptCount val="1"/>
                <c:pt idx="0">
                  <c:v>0.2</c:v>
                </c:pt>
              </c:numCache>
            </c:numRef>
          </c:yVal>
          <c:bubbleSize>
            <c:numRef>
              <c:f>P_Ocurrencias!$P$13:$P$13</c:f>
              <c:numCache>
                <c:formatCode>General</c:formatCode>
                <c:ptCount val="1"/>
                <c:pt idx="0">
                  <c:v>0</c:v>
                </c:pt>
              </c:numCache>
            </c:numRef>
          </c:bubbleSize>
        </c:ser>
        <c:ser>
          <c:idx val="10"/>
          <c:order val="10"/>
          <c:tx>
            <c:strRef>
              <c:f>P_Ocurrencias!$L$14:$L$14</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P_Ocurrencias!$M$14:$M$14</c:f>
              <c:numCache>
                <c:formatCode>General</c:formatCode>
                <c:ptCount val="1"/>
                <c:pt idx="0">
                  <c:v>0</c:v>
                </c:pt>
              </c:numCache>
            </c:numRef>
          </c:xVal>
          <c:yVal>
            <c:numRef>
              <c:f>P_Ocurrencias!$N$14:$N$14</c:f>
              <c:numCache>
                <c:formatCode>General</c:formatCode>
                <c:ptCount val="1"/>
                <c:pt idx="0">
                  <c:v>0.2</c:v>
                </c:pt>
              </c:numCache>
            </c:numRef>
          </c:yVal>
          <c:bubbleSize>
            <c:numRef>
              <c:f>P_Ocurrencias!$P$14:$P$14</c:f>
              <c:numCache>
                <c:formatCode>General</c:formatCode>
                <c:ptCount val="1"/>
                <c:pt idx="0">
                  <c:v>0</c:v>
                </c:pt>
              </c:numCache>
            </c:numRef>
          </c:bubbleSize>
        </c:ser>
        <c:ser>
          <c:idx val="11"/>
          <c:order val="11"/>
          <c:tx>
            <c:strRef>
              <c:f>P_Ocurrencias!$L$15:$L$15</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P_Ocurrencias!$M$15:$M$15</c:f>
              <c:numCache>
                <c:formatCode>General</c:formatCode>
                <c:ptCount val="1"/>
                <c:pt idx="0">
                  <c:v>0</c:v>
                </c:pt>
              </c:numCache>
            </c:numRef>
          </c:xVal>
          <c:yVal>
            <c:numRef>
              <c:f>P_Ocurrencias!$N$15:$N$15</c:f>
              <c:numCache>
                <c:formatCode>General</c:formatCode>
                <c:ptCount val="1"/>
                <c:pt idx="0">
                  <c:v>0.2</c:v>
                </c:pt>
              </c:numCache>
            </c:numRef>
          </c:yVal>
          <c:bubbleSize>
            <c:numRef>
              <c:f>P_Ocurrencias!$P$15:$P$15</c:f>
              <c:numCache>
                <c:formatCode>General</c:formatCode>
                <c:ptCount val="1"/>
                <c:pt idx="0">
                  <c:v>0</c:v>
                </c:pt>
              </c:numCache>
            </c:numRef>
          </c:bubbleSize>
        </c:ser>
        <c:ser>
          <c:idx val="12"/>
          <c:order val="12"/>
          <c:tx>
            <c:strRef>
              <c:f>P_Ocurrencias!$L$16:$L$16</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P_Ocurrencias!$M$16:$M$16</c:f>
              <c:numCache>
                <c:formatCode>General</c:formatCode>
                <c:ptCount val="1"/>
                <c:pt idx="0">
                  <c:v>0</c:v>
                </c:pt>
              </c:numCache>
            </c:numRef>
          </c:xVal>
          <c:yVal>
            <c:numRef>
              <c:f>P_Ocurrencias!$N$16:$N$16</c:f>
              <c:numCache>
                <c:formatCode>General</c:formatCode>
                <c:ptCount val="1"/>
                <c:pt idx="0">
                  <c:v>0.2</c:v>
                </c:pt>
              </c:numCache>
            </c:numRef>
          </c:yVal>
          <c:bubbleSize>
            <c:numRef>
              <c:f>P_Ocurrencias!$P$16:$P$16</c:f>
              <c:numCache>
                <c:formatCode>General</c:formatCode>
                <c:ptCount val="1"/>
                <c:pt idx="0">
                  <c:v>0</c:v>
                </c:pt>
              </c:numCache>
            </c:numRef>
          </c:bubbleSize>
        </c:ser>
        <c:ser>
          <c:idx val="13"/>
          <c:order val="13"/>
          <c:tx>
            <c:strRef>
              <c:f>P_Ocurrencias!$L$17:$L$17</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P_Ocurrencias!$M$17:$M$17</c:f>
              <c:numCache>
                <c:formatCode>General</c:formatCode>
                <c:ptCount val="1"/>
                <c:pt idx="0">
                  <c:v>0</c:v>
                </c:pt>
              </c:numCache>
            </c:numRef>
          </c:xVal>
          <c:yVal>
            <c:numRef>
              <c:f>P_Ocurrencias!$N$17:$N$17</c:f>
              <c:numCache>
                <c:formatCode>General</c:formatCode>
                <c:ptCount val="1"/>
                <c:pt idx="0">
                  <c:v>0.2</c:v>
                </c:pt>
              </c:numCache>
            </c:numRef>
          </c:yVal>
          <c:bubbleSize>
            <c:numRef>
              <c:f>P_Ocurrencias!$P$17:$P$17</c:f>
              <c:numCache>
                <c:formatCode>General</c:formatCode>
                <c:ptCount val="1"/>
                <c:pt idx="0">
                  <c:v>0</c:v>
                </c:pt>
              </c:numCache>
            </c:numRef>
          </c:bubbleSize>
        </c:ser>
        <c:ser>
          <c:idx val="14"/>
          <c:order val="14"/>
          <c:tx>
            <c:strRef>
              <c:f>P_Ocurrencias!$L$18:$L$18</c:f>
              <c:strCache>
                <c:ptCount val="1"/>
                <c:pt idx="0">
                  <c:v>13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P_Ocurrencias!$M$18:$M$18</c:f>
              <c:numCache>
                <c:formatCode>General</c:formatCode>
                <c:ptCount val="1"/>
                <c:pt idx="0">
                  <c:v>0</c:v>
                </c:pt>
              </c:numCache>
            </c:numRef>
          </c:xVal>
          <c:yVal>
            <c:numRef>
              <c:f>P_Ocurrencias!$N$18:$N$18</c:f>
              <c:numCache>
                <c:formatCode>General</c:formatCode>
                <c:ptCount val="1"/>
                <c:pt idx="0">
                  <c:v>0.2</c:v>
                </c:pt>
              </c:numCache>
            </c:numRef>
          </c:yVal>
          <c:bubbleSize>
            <c:numRef>
              <c:f>P_Ocurrencias!$P$18:$P$18</c:f>
              <c:numCache>
                <c:formatCode>General</c:formatCode>
                <c:ptCount val="1"/>
                <c:pt idx="0">
                  <c:v>9</c:v>
                </c:pt>
              </c:numCache>
            </c:numRef>
          </c:bubbleSize>
        </c:ser>
        <c:ser>
          <c:idx val="15"/>
          <c:order val="15"/>
          <c:tx>
            <c:strRef>
              <c:f>P_Ocurrencias!$L$19:$L$19</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P_Ocurrencias!$M$19:$M$19</c:f>
              <c:numCache>
                <c:formatCode>General</c:formatCode>
                <c:ptCount val="1"/>
                <c:pt idx="0">
                  <c:v>0</c:v>
                </c:pt>
              </c:numCache>
            </c:numRef>
          </c:xVal>
          <c:yVal>
            <c:numRef>
              <c:f>P_Ocurrencias!$N$19:$N$19</c:f>
              <c:numCache>
                <c:formatCode>General</c:formatCode>
                <c:ptCount val="1"/>
                <c:pt idx="0">
                  <c:v>0.2</c:v>
                </c:pt>
              </c:numCache>
            </c:numRef>
          </c:yVal>
          <c:bubbleSize>
            <c:numRef>
              <c:f>P_Ocurrencias!$P$19:$P$19</c:f>
              <c:numCache>
                <c:formatCode>General</c:formatCode>
                <c:ptCount val="1"/>
                <c:pt idx="0">
                  <c:v>0</c:v>
                </c:pt>
              </c:numCache>
            </c:numRef>
          </c:bubbleSize>
        </c:ser>
        <c:ser>
          <c:idx val="16"/>
          <c:order val="16"/>
          <c:tx>
            <c:strRef>
              <c:f>P_Ocurrencias!$L$20:$L$20</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P_Ocurrencias!$M$20:$M$20</c:f>
              <c:numCache>
                <c:formatCode>General</c:formatCode>
                <c:ptCount val="1"/>
                <c:pt idx="0">
                  <c:v>0</c:v>
                </c:pt>
              </c:numCache>
            </c:numRef>
          </c:xVal>
          <c:yVal>
            <c:numRef>
              <c:f>P_Ocurrencias!$N$20:$N$20</c:f>
              <c:numCache>
                <c:formatCode>General</c:formatCode>
                <c:ptCount val="1"/>
                <c:pt idx="0">
                  <c:v>0.2</c:v>
                </c:pt>
              </c:numCache>
            </c:numRef>
          </c:yVal>
          <c:bubbleSize>
            <c:numRef>
              <c:f>P_Ocurrencias!$P$20:$P$20</c:f>
              <c:numCache>
                <c:formatCode>General</c:formatCode>
                <c:ptCount val="1"/>
                <c:pt idx="0">
                  <c:v>0</c:v>
                </c:pt>
              </c:numCache>
            </c:numRef>
          </c:bubbleSize>
        </c:ser>
        <c:ser>
          <c:idx val="17"/>
          <c:order val="17"/>
          <c:tx>
            <c:strRef>
              <c:f>P_Ocurrencias!$L$21:$L$21</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P_Ocurrencias!$M$21:$M$21</c:f>
              <c:numCache>
                <c:formatCode>General</c:formatCode>
                <c:ptCount val="1"/>
                <c:pt idx="0">
                  <c:v>0</c:v>
                </c:pt>
              </c:numCache>
            </c:numRef>
          </c:xVal>
          <c:yVal>
            <c:numRef>
              <c:f>P_Ocurrencias!$N$21:$N$21</c:f>
              <c:numCache>
                <c:formatCode>General</c:formatCode>
                <c:ptCount val="1"/>
                <c:pt idx="0">
                  <c:v>0.2</c:v>
                </c:pt>
              </c:numCache>
            </c:numRef>
          </c:yVal>
          <c:bubbleSize>
            <c:numRef>
              <c:f>P_Ocurrencias!$P$21:$P$21</c:f>
              <c:numCache>
                <c:formatCode>General</c:formatCode>
                <c:ptCount val="1"/>
                <c:pt idx="0">
                  <c:v>0</c:v>
                </c:pt>
              </c:numCache>
            </c:numRef>
          </c:bubbleSize>
        </c:ser>
        <c:ser>
          <c:idx val="18"/>
          <c:order val="18"/>
          <c:tx>
            <c:strRef>
              <c:f>P_Ocurrencias!$L$22:$L$22</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P_Ocurrencias!$M$22:$M$22</c:f>
              <c:numCache>
                <c:formatCode>General</c:formatCode>
                <c:ptCount val="1"/>
                <c:pt idx="0">
                  <c:v>0</c:v>
                </c:pt>
              </c:numCache>
            </c:numRef>
          </c:xVal>
          <c:yVal>
            <c:numRef>
              <c:f>P_Ocurrencias!$N$22:$N$22</c:f>
              <c:numCache>
                <c:formatCode>General</c:formatCode>
                <c:ptCount val="1"/>
                <c:pt idx="0">
                  <c:v>0.2</c:v>
                </c:pt>
              </c:numCache>
            </c:numRef>
          </c:yVal>
          <c:bubbleSize>
            <c:numRef>
              <c:f>P_Ocurrencias!$P$22:$P$22</c:f>
              <c:numCache>
                <c:formatCode>General</c:formatCode>
                <c:ptCount val="1"/>
                <c:pt idx="0">
                  <c:v>0</c:v>
                </c:pt>
              </c:numCache>
            </c:numRef>
          </c:bubbleSize>
        </c:ser>
        <c:ser>
          <c:idx val="19"/>
          <c:order val="19"/>
          <c:tx>
            <c:strRef>
              <c:f>P_Ocurrencias!$L$23:$L$23</c:f>
              <c:strCache>
                <c:ptCount val="1"/>
                <c:pt idx="0">
                  <c:v>x</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P_Ocurrencias!$M$23:$M$23</c:f>
              <c:numCache>
                <c:formatCode>General</c:formatCode>
                <c:ptCount val="1"/>
                <c:pt idx="0">
                  <c:v>0</c:v>
                </c:pt>
              </c:numCache>
            </c:numRef>
          </c:xVal>
          <c:yVal>
            <c:numRef>
              <c:f>P_Ocurrencias!$N$23:$N$23</c:f>
              <c:numCache>
                <c:formatCode>General</c:formatCode>
                <c:ptCount val="1"/>
                <c:pt idx="0">
                  <c:v>0.2</c:v>
                </c:pt>
              </c:numCache>
            </c:numRef>
          </c:yVal>
          <c:bubbleSize>
            <c:numRef>
              <c:f>P_Ocurrencias!$P$23:$P$23</c:f>
              <c:numCache>
                <c:formatCode>General</c:formatCode>
                <c:ptCount val="1"/>
                <c:pt idx="0">
                  <c:v>0</c:v>
                </c:pt>
              </c:numCache>
            </c:numRef>
          </c:bubbleSize>
        </c:ser>
        <c:ser>
          <c:idx val="20"/>
          <c:order val="20"/>
          <c:tx>
            <c:strRef>
              <c:f>P_Ocurrencias!$L$24:$L$24</c:f>
              <c:strCache>
                <c:ptCount val="1"/>
                <c:pt idx="0">
                  <c:v>19 </c:v>
                </c:pt>
              </c:strCache>
            </c:strRef>
          </c:tx>
          <c:spPr>
            <a:noFill/>
            <a:ln>
              <a:noFill/>
            </a:ln>
          </c:spPr>
          <c:invertIfNegative val="0"/>
          <c:dLbls>
            <c:numFmt formatCode="General" sourceLinked="1"/>
            <c:dLblPos val="ctr"/>
            <c:showLegendKey val="0"/>
            <c:showVal val="0"/>
            <c:showCatName val="0"/>
            <c:showSerName val="0"/>
            <c:showPercent val="0"/>
            <c:showLeaderLines val="0"/>
          </c:dLbls>
          <c:xVal>
            <c:numRef>
              <c:f>P_Ocurrencias!$M$24:$M$24</c:f>
              <c:numCache>
                <c:formatCode>General</c:formatCode>
                <c:ptCount val="1"/>
                <c:pt idx="0">
                  <c:v>0</c:v>
                </c:pt>
              </c:numCache>
            </c:numRef>
          </c:xVal>
          <c:yVal>
            <c:numRef>
              <c:f>P_Ocurrencias!$N$24:$N$24</c:f>
              <c:numCache>
                <c:formatCode>General</c:formatCode>
                <c:ptCount val="1"/>
                <c:pt idx="0">
                  <c:v>0.2</c:v>
                </c:pt>
              </c:numCache>
            </c:numRef>
          </c:yVal>
          <c:bubbleSize>
            <c:numRef>
              <c:f>P_Ocurrencias!$P$24:$P$24</c:f>
              <c:numCache>
                <c:formatCode>General</c:formatCode>
                <c:ptCount val="1"/>
                <c:pt idx="0">
                  <c:v>9</c:v>
                </c:pt>
              </c:numCache>
            </c:numRef>
          </c:bubbleSize>
        </c:ser>
        <c:bubble3D val="0"/>
        <c:axId val="28486557"/>
        <c:axId val="99279951"/>
      </c:bubbleChart>
      <c:valAx>
        <c:axId val="28486557"/>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lstStyle/>
          <a:p>
            <a:pPr>
              <a:defRPr b="1" sz="100" spc="-1" strike="noStrike">
                <a:solidFill>
                  <a:srgbClr val="222222"/>
                </a:solidFill>
                <a:latin typeface="Arial"/>
              </a:defRPr>
            </a:pPr>
          </a:p>
        </c:txPr>
        <c:crossAx val="99279951"/>
        <c:crosses val="autoZero"/>
      </c:valAx>
      <c:valAx>
        <c:axId val="99279951"/>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lstStyle/>
          <a:p>
            <a:pPr>
              <a:defRPr b="1" sz="100" spc="-1" strike="noStrike">
                <a:solidFill>
                  <a:srgbClr val="222222"/>
                </a:solidFill>
                <a:latin typeface="Arial"/>
              </a:defRPr>
            </a:pPr>
          </a:p>
        </c:txPr>
        <c:crossAx val="28486557"/>
        <c:crosses val="autoZero"/>
      </c:valAx>
      <c:spPr>
        <a:solidFill>
          <a:srgbClr val="ffffff"/>
        </a:solid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sideWall>
      <c:spPr>
        <a:solidFill>
          <a:srgbClr val="d9d9d9"/>
        </a:solidFill>
        <a:ln>
          <a:noFill/>
        </a:ln>
      </c:spPr>
    </c:sideWall>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numFmt formatCode="General" sourceLinked="1"/>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plotArea>
    <c:legend>
      <c:legendPos val="r"/>
      <c:overlay val="0"/>
      <c:spPr>
        <a:noFill/>
        <a:ln>
          <a:noFill/>
        </a:ln>
      </c:spPr>
      <c:txPr>
        <a:bodyPr/>
        <a:lstStyle/>
        <a:p>
          <a:pPr>
            <a:defRPr b="0" sz="1000" spc="-1" strike="noStrike">
              <a:latin typeface="Arial"/>
            </a:defRPr>
          </a:pPr>
        </a:p>
      </c:txPr>
    </c:legend>
    <c:plotVisOnly val="1"/>
    <c:dispBlanksAs val="zero"/>
  </c:chart>
  <c:spPr>
    <a:no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numFmt formatCode="General" sourceLinked="1"/>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33890761"/>
        <c:axId val="47894331"/>
      </c:barChart>
      <c:catAx>
        <c:axId val="33890761"/>
        <c:scaling>
          <c:orientation val="minMax"/>
        </c:scaling>
        <c:delete val="0"/>
        <c:axPos val="b"/>
        <c:title>
          <c:tx>
            <c:rich>
              <a:bodyPr rot="0"/>
              <a:lstStyle/>
              <a:p>
                <a:pPr>
                  <a:defRPr b="1" sz="1000" spc="-1" strike="noStrike">
                    <a:solidFill>
                      <a:srgbClr val="000000"/>
                    </a:solidFill>
                    <a:latin typeface="Arial"/>
                  </a:defRPr>
                </a:pPr>
                <a:r>
                  <a:rPr b="1" sz="1000" spc="-1" strike="noStrike">
                    <a:solidFill>
                      <a:srgbClr val="000000"/>
                    </a:solidFill>
                    <a:latin typeface="Arial"/>
                  </a:rPr>
                  <a:t>Activos de información</a:t>
                </a:r>
              </a:p>
            </c:rich>
          </c:tx>
          <c:overlay val="0"/>
          <c:spPr>
            <a:noFill/>
            <a:ln>
              <a:noFill/>
            </a:ln>
          </c:spPr>
        </c:title>
        <c:numFmt formatCode="#,##0.0" sourceLinked="1"/>
        <c:majorTickMark val="cross"/>
        <c:minorTickMark val="cross"/>
        <c:tickLblPos val="nextTo"/>
        <c:spPr>
          <a:ln>
            <a:noFill/>
          </a:ln>
        </c:spPr>
        <c:txPr>
          <a:bodyPr/>
          <a:lstStyle/>
          <a:p>
            <a:pPr>
              <a:defRPr b="1" sz="1000" spc="-1" strike="noStrike">
                <a:solidFill>
                  <a:srgbClr val="222222"/>
                </a:solidFill>
                <a:latin typeface="Arial"/>
              </a:defRPr>
            </a:pPr>
          </a:p>
        </c:txPr>
        <c:crossAx val="47894331"/>
        <c:crosses val="autoZero"/>
        <c:auto val="1"/>
        <c:lblAlgn val="ctr"/>
        <c:lblOffset val="100"/>
      </c:catAx>
      <c:valAx>
        <c:axId val="47894331"/>
        <c:scaling>
          <c:orientation val="minMax"/>
        </c:scaling>
        <c:delete val="0"/>
        <c:axPos val="l"/>
        <c:majorGridlines>
          <c:spPr>
            <a:ln>
              <a:solidFill>
                <a:srgbClr val="b7b7b7"/>
              </a:solidFill>
            </a:ln>
          </c:spPr>
        </c:majorGridlines>
        <c:title>
          <c:tx>
            <c:rich>
              <a:bodyPr rot="-5400000"/>
              <a:lstStyle/>
              <a:p>
                <a:pPr>
                  <a:defRPr b="1" sz="1000" spc="-1" strike="noStrike">
                    <a:solidFill>
                      <a:srgbClr val="000000"/>
                    </a:solidFill>
                    <a:latin typeface="Arial"/>
                  </a:defRPr>
                </a:pPr>
                <a:r>
                  <a:rPr b="1" sz="1000" spc="-1" strike="noStrike">
                    <a:solidFill>
                      <a:srgbClr val="000000"/>
                    </a:solidFill>
                    <a:latin typeface="Arial"/>
                  </a:rPr>
                  <a:t>Criticidad</a:t>
                </a:r>
              </a:p>
            </c:rich>
          </c:tx>
          <c:overlay val="0"/>
          <c:spPr>
            <a:noFill/>
            <a:ln>
              <a:noFill/>
            </a:ln>
          </c:spPr>
        </c:title>
        <c:numFmt formatCode="General" sourceLinked="0"/>
        <c:majorTickMark val="cross"/>
        <c:minorTickMark val="cross"/>
        <c:tickLblPos val="nextTo"/>
        <c:spPr>
          <a:ln w="47520">
            <a:noFill/>
          </a:ln>
        </c:spPr>
        <c:txPr>
          <a:bodyPr/>
          <a:lstStyle/>
          <a:p>
            <a:pPr>
              <a:defRPr b="1" sz="1000" spc="-1" strike="noStrike">
                <a:solidFill>
                  <a:srgbClr val="000000"/>
                </a:solidFill>
                <a:latin typeface="Arial"/>
              </a:defRPr>
            </a:pPr>
          </a:p>
        </c:txPr>
        <c:crossAx val="33890761"/>
        <c:crosses val="autoZero"/>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35</xdr:row>
      <xdr:rowOff>153360</xdr:rowOff>
    </xdr:from>
    <xdr:to>
      <xdr:col>14</xdr:col>
      <xdr:colOff>357840</xdr:colOff>
      <xdr:row>64</xdr:row>
      <xdr:rowOff>81720</xdr:rowOff>
    </xdr:to>
    <xdr:graphicFrame>
      <xdr:nvGraphicFramePr>
        <xdr:cNvPr id="0" name="Chart 1"/>
        <xdr:cNvGraphicFramePr/>
      </xdr:nvGraphicFramePr>
      <xdr:xfrm>
        <a:off x="2820960" y="7106400"/>
        <a:ext cx="11236320" cy="545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4025160</xdr:colOff>
      <xdr:row>22</xdr:row>
      <xdr:rowOff>110880</xdr:rowOff>
    </xdr:to>
    <xdr:graphicFrame>
      <xdr:nvGraphicFramePr>
        <xdr:cNvPr id="1" name="Chart 2"/>
        <xdr:cNvGraphicFramePr/>
      </xdr:nvGraphicFramePr>
      <xdr:xfrm>
        <a:off x="3058560" y="504720"/>
        <a:ext cx="6400800" cy="3844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586800</xdr:colOff>
      <xdr:row>38</xdr:row>
      <xdr:rowOff>149040</xdr:rowOff>
    </xdr:to>
    <xdr:graphicFrame>
      <xdr:nvGraphicFramePr>
        <xdr:cNvPr id="2" name="Chart 3"/>
        <xdr:cNvGraphicFramePr/>
      </xdr:nvGraphicFramePr>
      <xdr:xfrm>
        <a:off x="9062640" y="3657600"/>
        <a:ext cx="11383560" cy="409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86"/>
    <col collapsed="false" customWidth="true" hidden="false" outlineLevel="0" max="2" min="2" style="0" width="84.49"/>
    <col collapsed="false" customWidth="true" hidden="false" outlineLevel="0" max="3" min="3" style="0" width="17.47"/>
    <col collapsed="false" customWidth="true" hidden="false" outlineLevel="0" max="4" min="4" style="0" width="21.48"/>
    <col collapsed="false" customWidth="true" hidden="false" outlineLevel="0" max="5" min="5" style="0" width="18.34"/>
    <col collapsed="false" customWidth="true" hidden="false" outlineLevel="0" max="6" min="6" style="0" width="12.23"/>
    <col collapsed="false" customWidth="true" hidden="false" outlineLevel="0" max="7" min="7" style="0" width="15.35"/>
    <col collapsed="false" customWidth="true" hidden="false" outlineLevel="0" max="8" min="8" style="0" width="8.49"/>
    <col collapsed="false" customWidth="true" hidden="false" outlineLevel="0" max="9" min="9" style="0" width="11.98"/>
    <col collapsed="false" customWidth="true" hidden="false" outlineLevel="0" max="10" min="10" style="0" width="29.69"/>
    <col collapsed="false" customWidth="true" hidden="true" outlineLevel="0" max="11" min="11" style="0" width="10.65"/>
    <col collapsed="false" customWidth="true" hidden="false" outlineLevel="0" max="26" min="12" style="0" width="14.75"/>
    <col collapsed="false" customWidth="true" hidden="false" outlineLevel="0" max="1025" min="27" style="0" width="17.72"/>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602"/>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H17" activeCellId="0" sqref="H17"/>
    </sheetView>
  </sheetViews>
  <sheetFormatPr defaultRowHeight="15" zeroHeight="true" outlineLevelRow="0" outlineLevelCol="0"/>
  <cols>
    <col collapsed="false" customWidth="true" hidden="false" outlineLevel="0" max="1" min="1" style="0" width="5.24"/>
    <col collapsed="false" customWidth="true" hidden="false" outlineLevel="0" max="2" min="2" style="0" width="25.71"/>
    <col collapsed="false" customWidth="true" hidden="false" outlineLevel="0" max="6" min="3" style="0" width="35.92"/>
    <col collapsed="false" customWidth="true" hidden="false" outlineLevel="0" max="7" min="7" style="0" width="25.94"/>
    <col collapsed="false" customWidth="true" hidden="false" outlineLevel="0" max="8" min="8" style="0" width="14"/>
    <col collapsed="false" customWidth="true" hidden="false" outlineLevel="0" max="11" min="9" style="0" width="20.74"/>
    <col collapsed="false" customWidth="true" hidden="false" outlineLevel="0" max="13" min="12" style="0" width="28.08"/>
    <col collapsed="false" customWidth="true" hidden="false" outlineLevel="0" max="14" min="14" style="0" width="10.65"/>
    <col collapsed="false" customWidth="true" hidden="false" outlineLevel="0" max="15" min="15" style="0" width="14.75"/>
    <col collapsed="false" customWidth="true" hidden="true" outlineLevel="0" max="1025" min="16" style="0" width="10.65"/>
  </cols>
  <sheetData>
    <row r="1" customFormat="false" ht="27.75" hidden="false" customHeight="true" outlineLevel="0" collapsed="false">
      <c r="A1" s="18" t="s">
        <v>690</v>
      </c>
      <c r="B1" s="18"/>
      <c r="C1" s="19"/>
      <c r="D1" s="19"/>
      <c r="E1" s="19"/>
      <c r="F1" s="19"/>
      <c r="G1" s="19"/>
      <c r="H1" s="19"/>
      <c r="I1" s="19"/>
      <c r="J1" s="19"/>
      <c r="K1" s="19"/>
      <c r="L1" s="19"/>
      <c r="M1" s="19"/>
      <c r="N1" s="19"/>
      <c r="O1" s="19"/>
    </row>
    <row r="2" customFormat="false" ht="34.5" hidden="false" customHeight="true" outlineLevel="0" collapsed="false">
      <c r="A2" s="20" t="s">
        <v>691</v>
      </c>
      <c r="B2" s="21" t="s">
        <v>692</v>
      </c>
      <c r="C2" s="21" t="s">
        <v>693</v>
      </c>
      <c r="D2" s="21" t="s">
        <v>694</v>
      </c>
      <c r="E2" s="21" t="s">
        <v>695</v>
      </c>
      <c r="F2" s="21" t="s">
        <v>696</v>
      </c>
      <c r="G2" s="21" t="s">
        <v>697</v>
      </c>
      <c r="H2" s="21"/>
      <c r="I2" s="21" t="s">
        <v>698</v>
      </c>
      <c r="J2" s="21" t="s">
        <v>699</v>
      </c>
      <c r="K2" s="22" t="s">
        <v>700</v>
      </c>
      <c r="L2" s="21" t="s">
        <v>701</v>
      </c>
      <c r="M2" s="21" t="s">
        <v>702</v>
      </c>
      <c r="N2" s="21" t="s">
        <v>703</v>
      </c>
      <c r="O2" s="21" t="s">
        <v>704</v>
      </c>
    </row>
    <row r="3" s="29" customFormat="true" ht="15.75" hidden="false" customHeight="true" outlineLevel="0" collapsed="false">
      <c r="A3" s="23" t="n">
        <v>1</v>
      </c>
      <c r="B3" s="24" t="s">
        <v>705</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6" t="str">
        <f aca="false">CVSSv3!$A$4</f>
        <v>Vector de ataque:</v>
      </c>
      <c r="H3" s="27" t="s">
        <v>706</v>
      </c>
      <c r="I3" s="28" t="n">
        <f aca="false">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23" t="n">
        <v>0</v>
      </c>
      <c r="K3" s="23" t="n">
        <v>0</v>
      </c>
      <c r="L3" s="24" t="s">
        <v>17</v>
      </c>
      <c r="M3" s="24" t="s">
        <v>17</v>
      </c>
      <c r="N3" s="24" t="s">
        <v>707</v>
      </c>
      <c r="O3" s="24" t="s">
        <v>708</v>
      </c>
      <c r="AMJ3" s="0"/>
    </row>
    <row r="4" customFormat="false" ht="15.75" hidden="false" customHeight="true" outlineLevel="0" collapsed="false">
      <c r="A4" s="23"/>
      <c r="B4" s="24"/>
      <c r="C4" s="24"/>
      <c r="D4" s="24"/>
      <c r="E4" s="24"/>
      <c r="F4" s="25"/>
      <c r="G4" s="30" t="str">
        <f aca="false">CVSSv3!$A$5</f>
        <v>Complejidad de ataque:</v>
      </c>
      <c r="H4" s="31" t="s">
        <v>709</v>
      </c>
      <c r="I4" s="28"/>
      <c r="J4" s="23"/>
      <c r="K4" s="23"/>
      <c r="L4" s="24"/>
      <c r="M4" s="24"/>
      <c r="N4" s="24"/>
      <c r="O4" s="24"/>
    </row>
    <row r="5" customFormat="false" ht="15.75" hidden="false" customHeight="true" outlineLevel="0" collapsed="false">
      <c r="A5" s="23"/>
      <c r="B5" s="24"/>
      <c r="C5" s="24"/>
      <c r="D5" s="24"/>
      <c r="E5" s="24"/>
      <c r="F5" s="25"/>
      <c r="G5" s="30" t="str">
        <f aca="false">CVSSv3!$A$6</f>
        <v>Privilegios requeridos:</v>
      </c>
      <c r="H5" s="31" t="s">
        <v>710</v>
      </c>
      <c r="I5" s="28"/>
      <c r="J5" s="23"/>
      <c r="K5" s="23"/>
      <c r="L5" s="24"/>
      <c r="M5" s="24"/>
      <c r="N5" s="24"/>
      <c r="O5" s="24"/>
    </row>
    <row r="6" customFormat="false" ht="15.75" hidden="false" customHeight="true" outlineLevel="0" collapsed="false">
      <c r="A6" s="23"/>
      <c r="B6" s="24"/>
      <c r="C6" s="24"/>
      <c r="D6" s="24"/>
      <c r="E6" s="24"/>
      <c r="F6" s="25"/>
      <c r="G6" s="30" t="str">
        <f aca="false">CVSSv3!$A$7</f>
        <v>Interacción del usuario:</v>
      </c>
      <c r="H6" s="31" t="s">
        <v>711</v>
      </c>
      <c r="I6" s="28"/>
      <c r="J6" s="23"/>
      <c r="K6" s="23"/>
      <c r="L6" s="24"/>
      <c r="M6" s="24"/>
      <c r="N6" s="24"/>
      <c r="O6" s="24"/>
    </row>
    <row r="7" customFormat="false" ht="15.75" hidden="false" customHeight="true" outlineLevel="0" collapsed="false">
      <c r="A7" s="23"/>
      <c r="B7" s="24"/>
      <c r="C7" s="24"/>
      <c r="D7" s="24"/>
      <c r="E7" s="24"/>
      <c r="F7" s="25"/>
      <c r="G7" s="30" t="str">
        <f aca="false">CVSSv3!$A$8</f>
        <v>Alcance:</v>
      </c>
      <c r="H7" s="31" t="s">
        <v>712</v>
      </c>
      <c r="I7" s="28"/>
      <c r="J7" s="23"/>
      <c r="K7" s="23"/>
      <c r="L7" s="24"/>
      <c r="M7" s="24"/>
      <c r="N7" s="24"/>
      <c r="O7" s="24"/>
    </row>
    <row r="8" customFormat="false" ht="15.75" hidden="false" customHeight="true" outlineLevel="0" collapsed="false">
      <c r="A8" s="23"/>
      <c r="B8" s="24"/>
      <c r="C8" s="24"/>
      <c r="D8" s="24"/>
      <c r="E8" s="24"/>
      <c r="F8" s="25"/>
      <c r="G8" s="30" t="str">
        <f aca="false">CVSSv3!$A$9</f>
        <v>Impacto a la confidencialidad:</v>
      </c>
      <c r="H8" s="31" t="s">
        <v>713</v>
      </c>
      <c r="I8" s="28"/>
      <c r="J8" s="23"/>
      <c r="K8" s="23"/>
      <c r="L8" s="24"/>
      <c r="M8" s="24"/>
      <c r="N8" s="24"/>
      <c r="O8" s="24"/>
    </row>
    <row r="9" customFormat="false" ht="15.75" hidden="false" customHeight="true" outlineLevel="0" collapsed="false">
      <c r="A9" s="23"/>
      <c r="B9" s="24"/>
      <c r="C9" s="24"/>
      <c r="D9" s="24"/>
      <c r="E9" s="24"/>
      <c r="F9" s="25"/>
      <c r="G9" s="30" t="str">
        <f aca="false">CVSSv3!$A$10</f>
        <v>Impacto a la integridad:</v>
      </c>
      <c r="H9" s="31" t="s">
        <v>713</v>
      </c>
      <c r="I9" s="28"/>
      <c r="J9" s="23"/>
      <c r="K9" s="23"/>
      <c r="L9" s="24"/>
      <c r="M9" s="24"/>
      <c r="N9" s="24"/>
      <c r="O9" s="24"/>
    </row>
    <row r="10" customFormat="false" ht="15.75" hidden="false" customHeight="true" outlineLevel="0" collapsed="false">
      <c r="A10" s="23"/>
      <c r="B10" s="24"/>
      <c r="C10" s="24"/>
      <c r="D10" s="24"/>
      <c r="E10" s="24"/>
      <c r="F10" s="25"/>
      <c r="G10" s="30" t="str">
        <f aca="false">CVSSv3!$A$11</f>
        <v>Impacto a la disponibilidad:</v>
      </c>
      <c r="H10" s="31" t="s">
        <v>713</v>
      </c>
      <c r="I10" s="28"/>
      <c r="J10" s="23"/>
      <c r="K10" s="23"/>
      <c r="L10" s="24"/>
      <c r="M10" s="24"/>
      <c r="N10" s="24"/>
      <c r="O10" s="24"/>
    </row>
    <row r="11" customFormat="false" ht="15.75" hidden="false" customHeight="true" outlineLevel="0" collapsed="false">
      <c r="A11" s="23"/>
      <c r="B11" s="24"/>
      <c r="C11" s="24"/>
      <c r="D11" s="24"/>
      <c r="E11" s="24"/>
      <c r="F11" s="25"/>
      <c r="G11" s="30" t="str">
        <f aca="false">CVSSv3!$A$12</f>
        <v>Explotabilidad:</v>
      </c>
      <c r="H11" s="31" t="s">
        <v>709</v>
      </c>
      <c r="I11" s="28"/>
      <c r="J11" s="23"/>
      <c r="K11" s="23"/>
      <c r="L11" s="24"/>
      <c r="M11" s="24"/>
      <c r="N11" s="24"/>
      <c r="O11" s="24"/>
    </row>
    <row r="12" customFormat="false" ht="15.75" hidden="false" customHeight="true" outlineLevel="0" collapsed="false">
      <c r="A12" s="23"/>
      <c r="B12" s="24"/>
      <c r="C12" s="24"/>
      <c r="D12" s="24"/>
      <c r="E12" s="24"/>
      <c r="F12" s="25"/>
      <c r="G12" s="30" t="str">
        <f aca="false">CVSSv3!$A$13</f>
        <v>Nivel de resolución:</v>
      </c>
      <c r="H12" s="31" t="s">
        <v>714</v>
      </c>
      <c r="I12" s="28"/>
      <c r="J12" s="23"/>
      <c r="K12" s="23"/>
      <c r="L12" s="24"/>
      <c r="M12" s="24"/>
      <c r="N12" s="24"/>
      <c r="O12" s="24"/>
    </row>
    <row r="13" customFormat="false" ht="15.75" hidden="false" customHeight="true" outlineLevel="0" collapsed="false">
      <c r="A13" s="23"/>
      <c r="B13" s="24"/>
      <c r="C13" s="24"/>
      <c r="D13" s="24"/>
      <c r="E13" s="24"/>
      <c r="F13" s="25"/>
      <c r="G13" s="30" t="str">
        <f aca="false">CVSSv3!$A$14</f>
        <v>Nivel de confianza</v>
      </c>
      <c r="H13" s="31" t="s">
        <v>715</v>
      </c>
      <c r="I13" s="28"/>
      <c r="J13" s="23"/>
      <c r="K13" s="23"/>
      <c r="L13" s="24"/>
      <c r="M13" s="24"/>
      <c r="N13" s="24"/>
      <c r="O13" s="24"/>
    </row>
    <row r="14" customFormat="false" ht="15.75" hidden="false" customHeight="true" outlineLevel="0" collapsed="false">
      <c r="A14" s="23"/>
      <c r="B14" s="24"/>
      <c r="C14" s="24"/>
      <c r="D14" s="24"/>
      <c r="E14" s="24"/>
      <c r="F14" s="25"/>
      <c r="G14" s="32" t="str">
        <f aca="false">"("&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32"/>
      <c r="I14" s="28"/>
      <c r="J14" s="23"/>
      <c r="K14" s="23"/>
      <c r="L14" s="24"/>
      <c r="M14" s="24"/>
      <c r="N14" s="24"/>
      <c r="O14" s="24"/>
    </row>
    <row r="15" customFormat="false" ht="15.75" hidden="false" customHeight="true" outlineLevel="0" collapsed="false">
      <c r="A15" s="23" t="n">
        <v>2</v>
      </c>
      <c r="B15" s="24" t="s">
        <v>716</v>
      </c>
      <c r="C15" s="24" t="s">
        <v>17</v>
      </c>
      <c r="D15" s="24" t="s">
        <v>17</v>
      </c>
      <c r="E15" s="24" t="s">
        <v>17</v>
      </c>
      <c r="F1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 s="26" t="str">
        <f aca="false">CVSSv3!$A$4</f>
        <v>Vector de ataque:</v>
      </c>
      <c r="H15" s="27" t="s">
        <v>706</v>
      </c>
      <c r="I15" s="28" t="n">
        <f aca="false">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23" t="n">
        <v>0</v>
      </c>
      <c r="K15" s="23" t="n">
        <v>0</v>
      </c>
      <c r="L15" s="24" t="s">
        <v>17</v>
      </c>
      <c r="M15" s="24" t="s">
        <v>17</v>
      </c>
      <c r="N15" s="24" t="s">
        <v>707</v>
      </c>
      <c r="O15" s="24" t="s">
        <v>708</v>
      </c>
    </row>
    <row r="16" customFormat="false" ht="15.75" hidden="false" customHeight="true" outlineLevel="0" collapsed="false">
      <c r="A16" s="23"/>
      <c r="B16" s="24"/>
      <c r="C16" s="24"/>
      <c r="D16" s="24"/>
      <c r="E16" s="24"/>
      <c r="F16" s="25"/>
      <c r="G16" s="30" t="str">
        <f aca="false">CVSSv3!$A$5</f>
        <v>Complejidad de ataque:</v>
      </c>
      <c r="H16" s="31" t="s">
        <v>709</v>
      </c>
      <c r="I16" s="28"/>
      <c r="J16" s="23"/>
      <c r="K16" s="23"/>
      <c r="L16" s="24"/>
      <c r="M16" s="24"/>
      <c r="N16" s="24"/>
      <c r="O16" s="24"/>
    </row>
    <row r="17" customFormat="false" ht="15.75" hidden="false" customHeight="true" outlineLevel="0" collapsed="false">
      <c r="A17" s="23"/>
      <c r="B17" s="24"/>
      <c r="C17" s="24"/>
      <c r="D17" s="24"/>
      <c r="E17" s="24"/>
      <c r="F17" s="25"/>
      <c r="G17" s="30" t="str">
        <f aca="false">CVSSv3!$A$6</f>
        <v>Privilegios requeridos:</v>
      </c>
      <c r="H17" s="31" t="s">
        <v>710</v>
      </c>
      <c r="I17" s="28"/>
      <c r="J17" s="23"/>
      <c r="K17" s="23"/>
      <c r="L17" s="24"/>
      <c r="M17" s="24"/>
      <c r="N17" s="24"/>
      <c r="O17" s="24"/>
    </row>
    <row r="18" customFormat="false" ht="15.75" hidden="false" customHeight="true" outlineLevel="0" collapsed="false">
      <c r="A18" s="23"/>
      <c r="B18" s="24"/>
      <c r="C18" s="24"/>
      <c r="D18" s="24"/>
      <c r="E18" s="24"/>
      <c r="F18" s="25"/>
      <c r="G18" s="30" t="str">
        <f aca="false">CVSSv3!$A$7</f>
        <v>Interacción del usuario:</v>
      </c>
      <c r="H18" s="31" t="s">
        <v>711</v>
      </c>
      <c r="I18" s="28"/>
      <c r="J18" s="23"/>
      <c r="K18" s="23"/>
      <c r="L18" s="24"/>
      <c r="M18" s="24"/>
      <c r="N18" s="24"/>
      <c r="O18" s="24"/>
    </row>
    <row r="19" customFormat="false" ht="15.75" hidden="false" customHeight="true" outlineLevel="0" collapsed="false">
      <c r="A19" s="23"/>
      <c r="B19" s="24"/>
      <c r="C19" s="24"/>
      <c r="D19" s="24"/>
      <c r="E19" s="24"/>
      <c r="F19" s="25"/>
      <c r="G19" s="30" t="str">
        <f aca="false">CVSSv3!$A$8</f>
        <v>Alcance:</v>
      </c>
      <c r="H19" s="31" t="s">
        <v>712</v>
      </c>
      <c r="I19" s="28"/>
      <c r="J19" s="23"/>
      <c r="K19" s="23"/>
      <c r="L19" s="24"/>
      <c r="M19" s="24"/>
      <c r="N19" s="24"/>
      <c r="O19" s="24"/>
    </row>
    <row r="20" customFormat="false" ht="15.75" hidden="false" customHeight="true" outlineLevel="0" collapsed="false">
      <c r="A20" s="23"/>
      <c r="B20" s="24"/>
      <c r="C20" s="24"/>
      <c r="D20" s="24"/>
      <c r="E20" s="24"/>
      <c r="F20" s="25"/>
      <c r="G20" s="30" t="str">
        <f aca="false">CVSSv3!$A$9</f>
        <v>Impacto a la confidencialidad:</v>
      </c>
      <c r="H20" s="31" t="s">
        <v>713</v>
      </c>
      <c r="I20" s="28"/>
      <c r="J20" s="23"/>
      <c r="K20" s="23"/>
      <c r="L20" s="24"/>
      <c r="M20" s="24"/>
      <c r="N20" s="24"/>
      <c r="O20" s="24"/>
    </row>
    <row r="21" customFormat="false" ht="15.75" hidden="false" customHeight="true" outlineLevel="0" collapsed="false">
      <c r="A21" s="23"/>
      <c r="B21" s="24"/>
      <c r="C21" s="24"/>
      <c r="D21" s="24"/>
      <c r="E21" s="24"/>
      <c r="F21" s="25"/>
      <c r="G21" s="30" t="str">
        <f aca="false">CVSSv3!$A$10</f>
        <v>Impacto a la integridad:</v>
      </c>
      <c r="H21" s="31" t="s">
        <v>713</v>
      </c>
      <c r="I21" s="28"/>
      <c r="J21" s="23"/>
      <c r="K21" s="23"/>
      <c r="L21" s="24"/>
      <c r="M21" s="24"/>
      <c r="N21" s="24"/>
      <c r="O21" s="24"/>
    </row>
    <row r="22" customFormat="false" ht="15.75" hidden="false" customHeight="true" outlineLevel="0" collapsed="false">
      <c r="A22" s="23"/>
      <c r="B22" s="24"/>
      <c r="C22" s="24"/>
      <c r="D22" s="24"/>
      <c r="E22" s="24"/>
      <c r="F22" s="25"/>
      <c r="G22" s="30" t="str">
        <f aca="false">CVSSv3!$A$11</f>
        <v>Impacto a la disponibilidad:</v>
      </c>
      <c r="H22" s="31" t="s">
        <v>713</v>
      </c>
      <c r="I22" s="28"/>
      <c r="J22" s="23"/>
      <c r="K22" s="23"/>
      <c r="L22" s="24"/>
      <c r="M22" s="24"/>
      <c r="N22" s="24"/>
      <c r="O22" s="24"/>
    </row>
    <row r="23" customFormat="false" ht="15.75" hidden="false" customHeight="true" outlineLevel="0" collapsed="false">
      <c r="A23" s="23"/>
      <c r="B23" s="24"/>
      <c r="C23" s="24"/>
      <c r="D23" s="24"/>
      <c r="E23" s="24"/>
      <c r="F23" s="25"/>
      <c r="G23" s="30" t="str">
        <f aca="false">CVSSv3!$A$12</f>
        <v>Explotabilidad:</v>
      </c>
      <c r="H23" s="31" t="s">
        <v>709</v>
      </c>
      <c r="I23" s="28"/>
      <c r="J23" s="23"/>
      <c r="K23" s="23"/>
      <c r="L23" s="24"/>
      <c r="M23" s="24"/>
      <c r="N23" s="24"/>
      <c r="O23" s="24"/>
    </row>
    <row r="24" customFormat="false" ht="15.75" hidden="false" customHeight="true" outlineLevel="0" collapsed="false">
      <c r="A24" s="23"/>
      <c r="B24" s="24"/>
      <c r="C24" s="24"/>
      <c r="D24" s="24"/>
      <c r="E24" s="24"/>
      <c r="F24" s="25"/>
      <c r="G24" s="30" t="str">
        <f aca="false">CVSSv3!$A$13</f>
        <v>Nivel de resolución:</v>
      </c>
      <c r="H24" s="31" t="s">
        <v>714</v>
      </c>
      <c r="I24" s="28"/>
      <c r="J24" s="23"/>
      <c r="K24" s="23"/>
      <c r="L24" s="24"/>
      <c r="M24" s="24"/>
      <c r="N24" s="24"/>
      <c r="O24" s="24"/>
    </row>
    <row r="25" customFormat="false" ht="15.75" hidden="false" customHeight="true" outlineLevel="0" collapsed="false">
      <c r="A25" s="23"/>
      <c r="B25" s="24"/>
      <c r="C25" s="24"/>
      <c r="D25" s="24"/>
      <c r="E25" s="24"/>
      <c r="F25" s="25"/>
      <c r="G25" s="30" t="str">
        <f aca="false">CVSSv3!$A$14</f>
        <v>Nivel de confianza</v>
      </c>
      <c r="H25" s="31" t="s">
        <v>715</v>
      </c>
      <c r="I25" s="28"/>
      <c r="J25" s="23"/>
      <c r="K25" s="23"/>
      <c r="L25" s="24"/>
      <c r="M25" s="24"/>
      <c r="N25" s="24"/>
      <c r="O25" s="24"/>
    </row>
    <row r="26" customFormat="false" ht="15.75" hidden="false" customHeight="true" outlineLevel="0" collapsed="false">
      <c r="A26" s="23"/>
      <c r="B26" s="24"/>
      <c r="C26" s="24"/>
      <c r="D26" s="24"/>
      <c r="E26" s="24"/>
      <c r="F26" s="25"/>
      <c r="G26" s="32" t="str">
        <f aca="false">"("&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32"/>
      <c r="I26" s="28"/>
      <c r="J26" s="23"/>
      <c r="K26" s="23"/>
      <c r="L26" s="24"/>
      <c r="M26" s="24"/>
      <c r="N26" s="24"/>
      <c r="O26" s="24"/>
    </row>
    <row r="27" customFormat="false" ht="15.75" hidden="false" customHeight="true" outlineLevel="0" collapsed="false">
      <c r="A27" s="23" t="n">
        <v>3</v>
      </c>
      <c r="B27" s="24" t="s">
        <v>717</v>
      </c>
      <c r="C27" s="24" t="s">
        <v>17</v>
      </c>
      <c r="D27" s="24" t="s">
        <v>17</v>
      </c>
      <c r="E27" s="24" t="s">
        <v>17</v>
      </c>
      <c r="F2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 s="26" t="str">
        <f aca="false">CVSSv3!$A$4</f>
        <v>Vector de ataque:</v>
      </c>
      <c r="H27" s="27" t="s">
        <v>706</v>
      </c>
      <c r="I27" s="28" t="n">
        <f aca="false">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23" t="n">
        <v>0</v>
      </c>
      <c r="K27" s="23" t="n">
        <v>0</v>
      </c>
      <c r="L27" s="24" t="s">
        <v>17</v>
      </c>
      <c r="M27" s="24" t="s">
        <v>17</v>
      </c>
      <c r="N27" s="24" t="s">
        <v>707</v>
      </c>
      <c r="O27" s="24" t="s">
        <v>708</v>
      </c>
    </row>
    <row r="28" customFormat="false" ht="15.75" hidden="false" customHeight="true" outlineLevel="0" collapsed="false">
      <c r="A28" s="23"/>
      <c r="B28" s="24"/>
      <c r="C28" s="24"/>
      <c r="D28" s="24"/>
      <c r="E28" s="24"/>
      <c r="F28" s="25"/>
      <c r="G28" s="30" t="str">
        <f aca="false">CVSSv3!$A$5</f>
        <v>Complejidad de ataque:</v>
      </c>
      <c r="H28" s="31" t="s">
        <v>709</v>
      </c>
      <c r="I28" s="28"/>
      <c r="J28" s="23"/>
      <c r="K28" s="23"/>
      <c r="L28" s="24"/>
      <c r="M28" s="24"/>
      <c r="N28" s="24"/>
      <c r="O28" s="24"/>
    </row>
    <row r="29" customFormat="false" ht="15.75" hidden="false" customHeight="true" outlineLevel="0" collapsed="false">
      <c r="A29" s="23"/>
      <c r="B29" s="24"/>
      <c r="C29" s="24"/>
      <c r="D29" s="24"/>
      <c r="E29" s="24"/>
      <c r="F29" s="25"/>
      <c r="G29" s="30" t="str">
        <f aca="false">CVSSv3!$A$6</f>
        <v>Privilegios requeridos:</v>
      </c>
      <c r="H29" s="31" t="s">
        <v>710</v>
      </c>
      <c r="I29" s="28"/>
      <c r="J29" s="23"/>
      <c r="K29" s="23"/>
      <c r="L29" s="24"/>
      <c r="M29" s="24"/>
      <c r="N29" s="24"/>
      <c r="O29" s="24"/>
    </row>
    <row r="30" customFormat="false" ht="15.75" hidden="false" customHeight="true" outlineLevel="0" collapsed="false">
      <c r="A30" s="23"/>
      <c r="B30" s="24"/>
      <c r="C30" s="24"/>
      <c r="D30" s="24"/>
      <c r="E30" s="24"/>
      <c r="F30" s="25"/>
      <c r="G30" s="30" t="str">
        <f aca="false">CVSSv3!$A$7</f>
        <v>Interacción del usuario:</v>
      </c>
      <c r="H30" s="31" t="s">
        <v>711</v>
      </c>
      <c r="I30" s="28"/>
      <c r="J30" s="23"/>
      <c r="K30" s="23"/>
      <c r="L30" s="24"/>
      <c r="M30" s="24"/>
      <c r="N30" s="24"/>
      <c r="O30" s="24"/>
    </row>
    <row r="31" customFormat="false" ht="15.75" hidden="false" customHeight="true" outlineLevel="0" collapsed="false">
      <c r="A31" s="23"/>
      <c r="B31" s="24"/>
      <c r="C31" s="24"/>
      <c r="D31" s="24"/>
      <c r="E31" s="24"/>
      <c r="F31" s="25"/>
      <c r="G31" s="30" t="str">
        <f aca="false">CVSSv3!$A$8</f>
        <v>Alcance:</v>
      </c>
      <c r="H31" s="31" t="s">
        <v>712</v>
      </c>
      <c r="I31" s="28"/>
      <c r="J31" s="23"/>
      <c r="K31" s="23"/>
      <c r="L31" s="24"/>
      <c r="M31" s="24"/>
      <c r="N31" s="24"/>
      <c r="O31" s="24"/>
    </row>
    <row r="32" customFormat="false" ht="15.75" hidden="false" customHeight="true" outlineLevel="0" collapsed="false">
      <c r="A32" s="23"/>
      <c r="B32" s="24"/>
      <c r="C32" s="24"/>
      <c r="D32" s="24"/>
      <c r="E32" s="24"/>
      <c r="F32" s="25"/>
      <c r="G32" s="30" t="str">
        <f aca="false">CVSSv3!$A$9</f>
        <v>Impacto a la confidencialidad:</v>
      </c>
      <c r="H32" s="31" t="s">
        <v>713</v>
      </c>
      <c r="I32" s="28"/>
      <c r="J32" s="23"/>
      <c r="K32" s="23"/>
      <c r="L32" s="24"/>
      <c r="M32" s="24"/>
      <c r="N32" s="24"/>
      <c r="O32" s="24"/>
    </row>
    <row r="33" customFormat="false" ht="15.75" hidden="false" customHeight="true" outlineLevel="0" collapsed="false">
      <c r="A33" s="23"/>
      <c r="B33" s="24"/>
      <c r="C33" s="24"/>
      <c r="D33" s="24"/>
      <c r="E33" s="24"/>
      <c r="F33" s="25"/>
      <c r="G33" s="30" t="str">
        <f aca="false">CVSSv3!$A$10</f>
        <v>Impacto a la integridad:</v>
      </c>
      <c r="H33" s="31" t="s">
        <v>713</v>
      </c>
      <c r="I33" s="28"/>
      <c r="J33" s="23"/>
      <c r="K33" s="23"/>
      <c r="L33" s="24"/>
      <c r="M33" s="24"/>
      <c r="N33" s="24"/>
      <c r="O33" s="24"/>
    </row>
    <row r="34" customFormat="false" ht="15.75" hidden="false" customHeight="true" outlineLevel="0" collapsed="false">
      <c r="A34" s="23"/>
      <c r="B34" s="24"/>
      <c r="C34" s="24"/>
      <c r="D34" s="24"/>
      <c r="E34" s="24"/>
      <c r="F34" s="25"/>
      <c r="G34" s="30" t="str">
        <f aca="false">CVSSv3!$A$11</f>
        <v>Impacto a la disponibilidad:</v>
      </c>
      <c r="H34" s="31" t="s">
        <v>713</v>
      </c>
      <c r="I34" s="28"/>
      <c r="J34" s="23"/>
      <c r="K34" s="23"/>
      <c r="L34" s="24"/>
      <c r="M34" s="24"/>
      <c r="N34" s="24"/>
      <c r="O34" s="24"/>
    </row>
    <row r="35" customFormat="false" ht="15.75" hidden="false" customHeight="true" outlineLevel="0" collapsed="false">
      <c r="A35" s="23"/>
      <c r="B35" s="24"/>
      <c r="C35" s="24"/>
      <c r="D35" s="24"/>
      <c r="E35" s="24"/>
      <c r="F35" s="25"/>
      <c r="G35" s="30" t="str">
        <f aca="false">CVSSv3!$A$12</f>
        <v>Explotabilidad:</v>
      </c>
      <c r="H35" s="31" t="s">
        <v>709</v>
      </c>
      <c r="I35" s="28"/>
      <c r="J35" s="23"/>
      <c r="K35" s="23"/>
      <c r="L35" s="24"/>
      <c r="M35" s="24"/>
      <c r="N35" s="24"/>
      <c r="O35" s="24"/>
    </row>
    <row r="36" customFormat="false" ht="15.75" hidden="false" customHeight="true" outlineLevel="0" collapsed="false">
      <c r="A36" s="23"/>
      <c r="B36" s="24"/>
      <c r="C36" s="24"/>
      <c r="D36" s="24"/>
      <c r="E36" s="24"/>
      <c r="F36" s="25"/>
      <c r="G36" s="30" t="str">
        <f aca="false">CVSSv3!$A$13</f>
        <v>Nivel de resolución:</v>
      </c>
      <c r="H36" s="31" t="s">
        <v>714</v>
      </c>
      <c r="I36" s="28"/>
      <c r="J36" s="23"/>
      <c r="K36" s="23"/>
      <c r="L36" s="24"/>
      <c r="M36" s="24"/>
      <c r="N36" s="24"/>
      <c r="O36" s="24"/>
    </row>
    <row r="37" customFormat="false" ht="15.75" hidden="false" customHeight="true" outlineLevel="0" collapsed="false">
      <c r="A37" s="23"/>
      <c r="B37" s="24"/>
      <c r="C37" s="24"/>
      <c r="D37" s="24"/>
      <c r="E37" s="24"/>
      <c r="F37" s="25"/>
      <c r="G37" s="30" t="str">
        <f aca="false">CVSSv3!$A$14</f>
        <v>Nivel de confianza</v>
      </c>
      <c r="H37" s="31" t="s">
        <v>715</v>
      </c>
      <c r="I37" s="28"/>
      <c r="J37" s="23"/>
      <c r="K37" s="23"/>
      <c r="L37" s="24"/>
      <c r="M37" s="24"/>
      <c r="N37" s="24"/>
      <c r="O37" s="24"/>
    </row>
    <row r="38" customFormat="false" ht="15.75" hidden="false" customHeight="true" outlineLevel="0" collapsed="false">
      <c r="A38" s="23"/>
      <c r="B38" s="24"/>
      <c r="C38" s="24"/>
      <c r="D38" s="24"/>
      <c r="E38" s="24"/>
      <c r="F38" s="25"/>
      <c r="G38" s="32" t="str">
        <f aca="false">"("&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32"/>
      <c r="I38" s="28"/>
      <c r="J38" s="23"/>
      <c r="K38" s="23"/>
      <c r="L38" s="24"/>
      <c r="M38" s="24"/>
      <c r="N38" s="24"/>
      <c r="O38" s="24"/>
    </row>
    <row r="39" customFormat="false" ht="15.75" hidden="false" customHeight="true" outlineLevel="0" collapsed="false">
      <c r="A39" s="23" t="n">
        <v>4</v>
      </c>
      <c r="B39" s="24" t="s">
        <v>718</v>
      </c>
      <c r="C39" s="24" t="s">
        <v>17</v>
      </c>
      <c r="D39" s="24" t="s">
        <v>17</v>
      </c>
      <c r="E39" s="24" t="s">
        <v>17</v>
      </c>
      <c r="F3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 s="26" t="str">
        <f aca="false">CVSSv3!$A$4</f>
        <v>Vector de ataque:</v>
      </c>
      <c r="H39" s="27" t="s">
        <v>706</v>
      </c>
      <c r="I39" s="28" t="n">
        <f aca="false">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23" t="n">
        <v>0</v>
      </c>
      <c r="K39" s="23" t="n">
        <v>0</v>
      </c>
      <c r="L39" s="24" t="s">
        <v>17</v>
      </c>
      <c r="M39" s="24" t="s">
        <v>17</v>
      </c>
      <c r="N39" s="24" t="s">
        <v>707</v>
      </c>
      <c r="O39" s="24" t="s">
        <v>708</v>
      </c>
    </row>
    <row r="40" customFormat="false" ht="15.75" hidden="false" customHeight="true" outlineLevel="0" collapsed="false">
      <c r="A40" s="23"/>
      <c r="B40" s="24"/>
      <c r="C40" s="24"/>
      <c r="D40" s="24"/>
      <c r="E40" s="24"/>
      <c r="F40" s="25"/>
      <c r="G40" s="30" t="str">
        <f aca="false">CVSSv3!$A$5</f>
        <v>Complejidad de ataque:</v>
      </c>
      <c r="H40" s="31" t="s">
        <v>709</v>
      </c>
      <c r="I40" s="28"/>
      <c r="J40" s="23"/>
      <c r="K40" s="23"/>
      <c r="L40" s="24"/>
      <c r="M40" s="24"/>
      <c r="N40" s="24"/>
      <c r="O40" s="24"/>
    </row>
    <row r="41" customFormat="false" ht="15.75" hidden="false" customHeight="true" outlineLevel="0" collapsed="false">
      <c r="A41" s="23"/>
      <c r="B41" s="24"/>
      <c r="C41" s="24"/>
      <c r="D41" s="24"/>
      <c r="E41" s="24"/>
      <c r="F41" s="25"/>
      <c r="G41" s="30" t="str">
        <f aca="false">CVSSv3!$A$6</f>
        <v>Privilegios requeridos:</v>
      </c>
      <c r="H41" s="31" t="s">
        <v>710</v>
      </c>
      <c r="I41" s="28"/>
      <c r="J41" s="23"/>
      <c r="K41" s="23"/>
      <c r="L41" s="24"/>
      <c r="M41" s="24"/>
      <c r="N41" s="24"/>
      <c r="O41" s="24"/>
    </row>
    <row r="42" customFormat="false" ht="15.75" hidden="false" customHeight="true" outlineLevel="0" collapsed="false">
      <c r="A42" s="23"/>
      <c r="B42" s="24"/>
      <c r="C42" s="24"/>
      <c r="D42" s="24"/>
      <c r="E42" s="24"/>
      <c r="F42" s="25"/>
      <c r="G42" s="30" t="str">
        <f aca="false">CVSSv3!$A$7</f>
        <v>Interacción del usuario:</v>
      </c>
      <c r="H42" s="31" t="s">
        <v>711</v>
      </c>
      <c r="I42" s="28"/>
      <c r="J42" s="23"/>
      <c r="K42" s="23"/>
      <c r="L42" s="24"/>
      <c r="M42" s="24"/>
      <c r="N42" s="24"/>
      <c r="O42" s="24"/>
    </row>
    <row r="43" customFormat="false" ht="15.75" hidden="false" customHeight="true" outlineLevel="0" collapsed="false">
      <c r="A43" s="23"/>
      <c r="B43" s="24"/>
      <c r="C43" s="24"/>
      <c r="D43" s="24"/>
      <c r="E43" s="24"/>
      <c r="F43" s="25"/>
      <c r="G43" s="30" t="str">
        <f aca="false">CVSSv3!$A$8</f>
        <v>Alcance:</v>
      </c>
      <c r="H43" s="31" t="s">
        <v>712</v>
      </c>
      <c r="I43" s="28"/>
      <c r="J43" s="23"/>
      <c r="K43" s="23"/>
      <c r="L43" s="24"/>
      <c r="M43" s="24"/>
      <c r="N43" s="24"/>
      <c r="O43" s="24"/>
    </row>
    <row r="44" customFormat="false" ht="15.75" hidden="false" customHeight="true" outlineLevel="0" collapsed="false">
      <c r="A44" s="23"/>
      <c r="B44" s="24"/>
      <c r="C44" s="24"/>
      <c r="D44" s="24"/>
      <c r="E44" s="24"/>
      <c r="F44" s="25"/>
      <c r="G44" s="30" t="str">
        <f aca="false">CVSSv3!$A$9</f>
        <v>Impacto a la confidencialidad:</v>
      </c>
      <c r="H44" s="31" t="s">
        <v>713</v>
      </c>
      <c r="I44" s="28"/>
      <c r="J44" s="23"/>
      <c r="K44" s="23"/>
      <c r="L44" s="24"/>
      <c r="M44" s="24"/>
      <c r="N44" s="24"/>
      <c r="O44" s="24"/>
    </row>
    <row r="45" customFormat="false" ht="15.75" hidden="false" customHeight="true" outlineLevel="0" collapsed="false">
      <c r="A45" s="23"/>
      <c r="B45" s="24"/>
      <c r="C45" s="24"/>
      <c r="D45" s="24"/>
      <c r="E45" s="24"/>
      <c r="F45" s="25"/>
      <c r="G45" s="30" t="str">
        <f aca="false">CVSSv3!$A$10</f>
        <v>Impacto a la integridad:</v>
      </c>
      <c r="H45" s="31" t="s">
        <v>713</v>
      </c>
      <c r="I45" s="28"/>
      <c r="J45" s="23"/>
      <c r="K45" s="23"/>
      <c r="L45" s="24"/>
      <c r="M45" s="24"/>
      <c r="N45" s="24"/>
      <c r="O45" s="24"/>
    </row>
    <row r="46" customFormat="false" ht="15.75" hidden="false" customHeight="true" outlineLevel="0" collapsed="false">
      <c r="A46" s="23"/>
      <c r="B46" s="24"/>
      <c r="C46" s="24"/>
      <c r="D46" s="24"/>
      <c r="E46" s="24"/>
      <c r="F46" s="25"/>
      <c r="G46" s="30" t="str">
        <f aca="false">CVSSv3!$A$11</f>
        <v>Impacto a la disponibilidad:</v>
      </c>
      <c r="H46" s="31" t="s">
        <v>713</v>
      </c>
      <c r="I46" s="28"/>
      <c r="J46" s="23"/>
      <c r="K46" s="23"/>
      <c r="L46" s="24"/>
      <c r="M46" s="24"/>
      <c r="N46" s="24"/>
      <c r="O46" s="24"/>
    </row>
    <row r="47" customFormat="false" ht="15.75" hidden="false" customHeight="true" outlineLevel="0" collapsed="false">
      <c r="A47" s="23"/>
      <c r="B47" s="24"/>
      <c r="C47" s="24"/>
      <c r="D47" s="24"/>
      <c r="E47" s="24"/>
      <c r="F47" s="25"/>
      <c r="G47" s="30" t="str">
        <f aca="false">CVSSv3!$A$12</f>
        <v>Explotabilidad:</v>
      </c>
      <c r="H47" s="31" t="s">
        <v>709</v>
      </c>
      <c r="I47" s="28"/>
      <c r="J47" s="23"/>
      <c r="K47" s="23"/>
      <c r="L47" s="24"/>
      <c r="M47" s="24"/>
      <c r="N47" s="24"/>
      <c r="O47" s="24"/>
    </row>
    <row r="48" customFormat="false" ht="15.75" hidden="false" customHeight="true" outlineLevel="0" collapsed="false">
      <c r="A48" s="23"/>
      <c r="B48" s="24"/>
      <c r="C48" s="24"/>
      <c r="D48" s="24"/>
      <c r="E48" s="24"/>
      <c r="F48" s="25"/>
      <c r="G48" s="30" t="str">
        <f aca="false">CVSSv3!$A$13</f>
        <v>Nivel de resolución:</v>
      </c>
      <c r="H48" s="31" t="s">
        <v>714</v>
      </c>
      <c r="I48" s="28"/>
      <c r="J48" s="23"/>
      <c r="K48" s="23"/>
      <c r="L48" s="24"/>
      <c r="M48" s="24"/>
      <c r="N48" s="24"/>
      <c r="O48" s="24"/>
    </row>
    <row r="49" customFormat="false" ht="15.75" hidden="false" customHeight="true" outlineLevel="0" collapsed="false">
      <c r="A49" s="23"/>
      <c r="B49" s="24"/>
      <c r="C49" s="24"/>
      <c r="D49" s="24"/>
      <c r="E49" s="24"/>
      <c r="F49" s="25"/>
      <c r="G49" s="30" t="str">
        <f aca="false">CVSSv3!$A$14</f>
        <v>Nivel de confianza</v>
      </c>
      <c r="H49" s="31" t="s">
        <v>715</v>
      </c>
      <c r="I49" s="28"/>
      <c r="J49" s="23"/>
      <c r="K49" s="23"/>
      <c r="L49" s="24"/>
      <c r="M49" s="24"/>
      <c r="N49" s="24"/>
      <c r="O49" s="24"/>
    </row>
    <row r="50" customFormat="false" ht="15.75" hidden="false" customHeight="true" outlineLevel="0" collapsed="false">
      <c r="A50" s="23"/>
      <c r="B50" s="24"/>
      <c r="C50" s="24"/>
      <c r="D50" s="24"/>
      <c r="E50" s="24"/>
      <c r="F50" s="25"/>
      <c r="G50" s="32" t="str">
        <f aca="false">"("&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32"/>
      <c r="I50" s="28"/>
      <c r="J50" s="23"/>
      <c r="K50" s="23"/>
      <c r="L50" s="24"/>
      <c r="M50" s="24"/>
      <c r="N50" s="24"/>
      <c r="O50" s="24"/>
    </row>
    <row r="51" customFormat="false" ht="15.75" hidden="false" customHeight="true" outlineLevel="0" collapsed="false">
      <c r="A51" s="23" t="n">
        <v>5</v>
      </c>
      <c r="B51" s="24" t="s">
        <v>719</v>
      </c>
      <c r="C51" s="24" t="s">
        <v>17</v>
      </c>
      <c r="D51" s="24" t="s">
        <v>17</v>
      </c>
      <c r="E51" s="24" t="s">
        <v>17</v>
      </c>
      <c r="F5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1" s="26" t="str">
        <f aca="false">CVSSv3!$A$4</f>
        <v>Vector de ataque:</v>
      </c>
      <c r="H51" s="27" t="s">
        <v>706</v>
      </c>
      <c r="I51" s="28" t="n">
        <f aca="false">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23" t="n">
        <v>0</v>
      </c>
      <c r="K51" s="23" t="n">
        <v>0</v>
      </c>
      <c r="L51" s="24" t="s">
        <v>17</v>
      </c>
      <c r="M51" s="24" t="s">
        <v>17</v>
      </c>
      <c r="N51" s="24" t="s">
        <v>707</v>
      </c>
      <c r="O51" s="24" t="s">
        <v>708</v>
      </c>
    </row>
    <row r="52" customFormat="false" ht="15.75" hidden="false" customHeight="true" outlineLevel="0" collapsed="false">
      <c r="A52" s="23"/>
      <c r="B52" s="24"/>
      <c r="C52" s="24"/>
      <c r="D52" s="24"/>
      <c r="E52" s="24"/>
      <c r="F52" s="25"/>
      <c r="G52" s="30" t="str">
        <f aca="false">CVSSv3!$A$5</f>
        <v>Complejidad de ataque:</v>
      </c>
      <c r="H52" s="31" t="s">
        <v>709</v>
      </c>
      <c r="I52" s="28"/>
      <c r="J52" s="23"/>
      <c r="K52" s="23"/>
      <c r="L52" s="24"/>
      <c r="M52" s="24"/>
      <c r="N52" s="24"/>
      <c r="O52" s="24"/>
    </row>
    <row r="53" customFormat="false" ht="15.75" hidden="false" customHeight="true" outlineLevel="0" collapsed="false">
      <c r="A53" s="23"/>
      <c r="B53" s="24"/>
      <c r="C53" s="24"/>
      <c r="D53" s="24"/>
      <c r="E53" s="24"/>
      <c r="F53" s="25"/>
      <c r="G53" s="30" t="str">
        <f aca="false">CVSSv3!$A$6</f>
        <v>Privilegios requeridos:</v>
      </c>
      <c r="H53" s="31" t="s">
        <v>710</v>
      </c>
      <c r="I53" s="28"/>
      <c r="J53" s="23"/>
      <c r="K53" s="23"/>
      <c r="L53" s="24"/>
      <c r="M53" s="24"/>
      <c r="N53" s="24"/>
      <c r="O53" s="24"/>
    </row>
    <row r="54" customFormat="false" ht="15.75" hidden="false" customHeight="true" outlineLevel="0" collapsed="false">
      <c r="A54" s="23"/>
      <c r="B54" s="24"/>
      <c r="C54" s="24"/>
      <c r="D54" s="24"/>
      <c r="E54" s="24"/>
      <c r="F54" s="25"/>
      <c r="G54" s="30" t="str">
        <f aca="false">CVSSv3!$A$7</f>
        <v>Interacción del usuario:</v>
      </c>
      <c r="H54" s="31" t="s">
        <v>711</v>
      </c>
      <c r="I54" s="28"/>
      <c r="J54" s="23"/>
      <c r="K54" s="23"/>
      <c r="L54" s="24"/>
      <c r="M54" s="24"/>
      <c r="N54" s="24"/>
      <c r="O54" s="24"/>
    </row>
    <row r="55" customFormat="false" ht="15.75" hidden="false" customHeight="true" outlineLevel="0" collapsed="false">
      <c r="A55" s="23"/>
      <c r="B55" s="24"/>
      <c r="C55" s="24"/>
      <c r="D55" s="24"/>
      <c r="E55" s="24"/>
      <c r="F55" s="25"/>
      <c r="G55" s="30" t="str">
        <f aca="false">CVSSv3!$A$8</f>
        <v>Alcance:</v>
      </c>
      <c r="H55" s="31" t="s">
        <v>712</v>
      </c>
      <c r="I55" s="28"/>
      <c r="J55" s="23"/>
      <c r="K55" s="23"/>
      <c r="L55" s="24"/>
      <c r="M55" s="24"/>
      <c r="N55" s="24"/>
      <c r="O55" s="24"/>
    </row>
    <row r="56" customFormat="false" ht="15.75" hidden="false" customHeight="true" outlineLevel="0" collapsed="false">
      <c r="A56" s="23"/>
      <c r="B56" s="24"/>
      <c r="C56" s="24"/>
      <c r="D56" s="24"/>
      <c r="E56" s="24"/>
      <c r="F56" s="25"/>
      <c r="G56" s="30" t="str">
        <f aca="false">CVSSv3!$A$9</f>
        <v>Impacto a la confidencialidad:</v>
      </c>
      <c r="H56" s="31" t="s">
        <v>713</v>
      </c>
      <c r="I56" s="28"/>
      <c r="J56" s="23"/>
      <c r="K56" s="23"/>
      <c r="L56" s="24"/>
      <c r="M56" s="24"/>
      <c r="N56" s="24"/>
      <c r="O56" s="24"/>
    </row>
    <row r="57" customFormat="false" ht="15.75" hidden="false" customHeight="true" outlineLevel="0" collapsed="false">
      <c r="A57" s="23"/>
      <c r="B57" s="24"/>
      <c r="C57" s="24"/>
      <c r="D57" s="24"/>
      <c r="E57" s="24"/>
      <c r="F57" s="25"/>
      <c r="G57" s="30" t="str">
        <f aca="false">CVSSv3!$A$10</f>
        <v>Impacto a la integridad:</v>
      </c>
      <c r="H57" s="31" t="s">
        <v>713</v>
      </c>
      <c r="I57" s="28"/>
      <c r="J57" s="23"/>
      <c r="K57" s="23"/>
      <c r="L57" s="24"/>
      <c r="M57" s="24"/>
      <c r="N57" s="24"/>
      <c r="O57" s="24"/>
    </row>
    <row r="58" customFormat="false" ht="15.75" hidden="false" customHeight="true" outlineLevel="0" collapsed="false">
      <c r="A58" s="23"/>
      <c r="B58" s="24"/>
      <c r="C58" s="24"/>
      <c r="D58" s="24"/>
      <c r="E58" s="24"/>
      <c r="F58" s="25"/>
      <c r="G58" s="30" t="str">
        <f aca="false">CVSSv3!$A$11</f>
        <v>Impacto a la disponibilidad:</v>
      </c>
      <c r="H58" s="31" t="s">
        <v>713</v>
      </c>
      <c r="I58" s="28"/>
      <c r="J58" s="23"/>
      <c r="K58" s="23"/>
      <c r="L58" s="24"/>
      <c r="M58" s="24"/>
      <c r="N58" s="24"/>
      <c r="O58" s="24"/>
    </row>
    <row r="59" customFormat="false" ht="15.75" hidden="false" customHeight="true" outlineLevel="0" collapsed="false">
      <c r="A59" s="23"/>
      <c r="B59" s="24"/>
      <c r="C59" s="24"/>
      <c r="D59" s="24"/>
      <c r="E59" s="24"/>
      <c r="F59" s="25"/>
      <c r="G59" s="30" t="str">
        <f aca="false">CVSSv3!$A$12</f>
        <v>Explotabilidad:</v>
      </c>
      <c r="H59" s="31" t="s">
        <v>709</v>
      </c>
      <c r="I59" s="28"/>
      <c r="J59" s="23"/>
      <c r="K59" s="23"/>
      <c r="L59" s="24"/>
      <c r="M59" s="24"/>
      <c r="N59" s="24"/>
      <c r="O59" s="24"/>
    </row>
    <row r="60" customFormat="false" ht="15.75" hidden="false" customHeight="true" outlineLevel="0" collapsed="false">
      <c r="A60" s="23"/>
      <c r="B60" s="24"/>
      <c r="C60" s="24"/>
      <c r="D60" s="24"/>
      <c r="E60" s="24"/>
      <c r="F60" s="25"/>
      <c r="G60" s="30" t="str">
        <f aca="false">CVSSv3!$A$13</f>
        <v>Nivel de resolución:</v>
      </c>
      <c r="H60" s="31" t="s">
        <v>714</v>
      </c>
      <c r="I60" s="28"/>
      <c r="J60" s="23"/>
      <c r="K60" s="23"/>
      <c r="L60" s="24"/>
      <c r="M60" s="24"/>
      <c r="N60" s="24"/>
      <c r="O60" s="24"/>
    </row>
    <row r="61" customFormat="false" ht="15.75" hidden="false" customHeight="true" outlineLevel="0" collapsed="false">
      <c r="A61" s="23"/>
      <c r="B61" s="24"/>
      <c r="C61" s="24"/>
      <c r="D61" s="24"/>
      <c r="E61" s="24"/>
      <c r="F61" s="25"/>
      <c r="G61" s="30" t="str">
        <f aca="false">CVSSv3!$A$14</f>
        <v>Nivel de confianza</v>
      </c>
      <c r="H61" s="31" t="s">
        <v>715</v>
      </c>
      <c r="I61" s="28"/>
      <c r="J61" s="23"/>
      <c r="K61" s="23"/>
      <c r="L61" s="24"/>
      <c r="M61" s="24"/>
      <c r="N61" s="24"/>
      <c r="O61" s="24"/>
    </row>
    <row r="62" customFormat="false" ht="15.75" hidden="false" customHeight="true" outlineLevel="0" collapsed="false">
      <c r="A62" s="23"/>
      <c r="B62" s="24"/>
      <c r="C62" s="24"/>
      <c r="D62" s="24"/>
      <c r="E62" s="24"/>
      <c r="F62" s="25"/>
      <c r="G62" s="32" t="str">
        <f aca="false">"("&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32"/>
      <c r="I62" s="28"/>
      <c r="J62" s="23"/>
      <c r="K62" s="23"/>
      <c r="L62" s="24"/>
      <c r="M62" s="24"/>
      <c r="N62" s="24"/>
      <c r="O62" s="24"/>
    </row>
    <row r="63" customFormat="false" ht="15.75" hidden="false" customHeight="true" outlineLevel="0" collapsed="false">
      <c r="A63" s="23" t="n">
        <v>6</v>
      </c>
      <c r="B63" s="24" t="s">
        <v>720</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6" t="str">
        <f aca="false">CVSSv3!$A$4</f>
        <v>Vector de ataque:</v>
      </c>
      <c r="H63" s="27" t="s">
        <v>706</v>
      </c>
      <c r="I63" s="28" t="n">
        <f aca="false">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23" t="n">
        <v>0</v>
      </c>
      <c r="K63" s="23" t="n">
        <v>0</v>
      </c>
      <c r="L63" s="24" t="s">
        <v>17</v>
      </c>
      <c r="M63" s="24" t="s">
        <v>17</v>
      </c>
      <c r="N63" s="24" t="s">
        <v>707</v>
      </c>
      <c r="O63" s="24" t="s">
        <v>708</v>
      </c>
    </row>
    <row r="64" customFormat="false" ht="15.75" hidden="false" customHeight="true" outlineLevel="0" collapsed="false">
      <c r="A64" s="23"/>
      <c r="B64" s="24"/>
      <c r="C64" s="24"/>
      <c r="D64" s="24"/>
      <c r="E64" s="24"/>
      <c r="F64" s="25"/>
      <c r="G64" s="30" t="str">
        <f aca="false">CVSSv3!$A$5</f>
        <v>Complejidad de ataque:</v>
      </c>
      <c r="H64" s="31" t="s">
        <v>709</v>
      </c>
      <c r="I64" s="28"/>
      <c r="J64" s="23"/>
      <c r="K64" s="23"/>
      <c r="L64" s="24"/>
      <c r="M64" s="24"/>
      <c r="N64" s="24"/>
      <c r="O64" s="24"/>
    </row>
    <row r="65" customFormat="false" ht="15.75" hidden="false" customHeight="true" outlineLevel="0" collapsed="false">
      <c r="A65" s="23"/>
      <c r="B65" s="24"/>
      <c r="C65" s="24"/>
      <c r="D65" s="24"/>
      <c r="E65" s="24"/>
      <c r="F65" s="25"/>
      <c r="G65" s="30" t="str">
        <f aca="false">CVSSv3!$A$6</f>
        <v>Privilegios requeridos:</v>
      </c>
      <c r="H65" s="31" t="s">
        <v>710</v>
      </c>
      <c r="I65" s="28"/>
      <c r="J65" s="23"/>
      <c r="K65" s="23"/>
      <c r="L65" s="24"/>
      <c r="M65" s="24"/>
      <c r="N65" s="24"/>
      <c r="O65" s="24"/>
    </row>
    <row r="66" customFormat="false" ht="15.75" hidden="false" customHeight="true" outlineLevel="0" collapsed="false">
      <c r="A66" s="23"/>
      <c r="B66" s="24"/>
      <c r="C66" s="24"/>
      <c r="D66" s="24"/>
      <c r="E66" s="24"/>
      <c r="F66" s="25"/>
      <c r="G66" s="30" t="str">
        <f aca="false">CVSSv3!$A$7</f>
        <v>Interacción del usuario:</v>
      </c>
      <c r="H66" s="31" t="s">
        <v>711</v>
      </c>
      <c r="I66" s="28"/>
      <c r="J66" s="23"/>
      <c r="K66" s="23"/>
      <c r="L66" s="24"/>
      <c r="M66" s="24"/>
      <c r="N66" s="24"/>
      <c r="O66" s="24"/>
    </row>
    <row r="67" customFormat="false" ht="15.75" hidden="false" customHeight="true" outlineLevel="0" collapsed="false">
      <c r="A67" s="23"/>
      <c r="B67" s="24"/>
      <c r="C67" s="24"/>
      <c r="D67" s="24"/>
      <c r="E67" s="24"/>
      <c r="F67" s="25"/>
      <c r="G67" s="30" t="str">
        <f aca="false">CVSSv3!$A$8</f>
        <v>Alcance:</v>
      </c>
      <c r="H67" s="31" t="s">
        <v>712</v>
      </c>
      <c r="I67" s="28"/>
      <c r="J67" s="23"/>
      <c r="K67" s="23"/>
      <c r="L67" s="24"/>
      <c r="M67" s="24"/>
      <c r="N67" s="24"/>
      <c r="O67" s="24"/>
    </row>
    <row r="68" customFormat="false" ht="15.75" hidden="false" customHeight="true" outlineLevel="0" collapsed="false">
      <c r="A68" s="23"/>
      <c r="B68" s="24"/>
      <c r="C68" s="24"/>
      <c r="D68" s="24"/>
      <c r="E68" s="24"/>
      <c r="F68" s="25"/>
      <c r="G68" s="30" t="str">
        <f aca="false">CVSSv3!$A$9</f>
        <v>Impacto a la confidencialidad:</v>
      </c>
      <c r="H68" s="31" t="s">
        <v>713</v>
      </c>
      <c r="I68" s="28"/>
      <c r="J68" s="23"/>
      <c r="K68" s="23"/>
      <c r="L68" s="24"/>
      <c r="M68" s="24"/>
      <c r="N68" s="24"/>
      <c r="O68" s="24"/>
    </row>
    <row r="69" customFormat="false" ht="15.75" hidden="false" customHeight="true" outlineLevel="0" collapsed="false">
      <c r="A69" s="23"/>
      <c r="B69" s="24"/>
      <c r="C69" s="24"/>
      <c r="D69" s="24"/>
      <c r="E69" s="24"/>
      <c r="F69" s="25"/>
      <c r="G69" s="30" t="str">
        <f aca="false">CVSSv3!$A$10</f>
        <v>Impacto a la integridad:</v>
      </c>
      <c r="H69" s="31" t="s">
        <v>713</v>
      </c>
      <c r="I69" s="28"/>
      <c r="J69" s="23"/>
      <c r="K69" s="23"/>
      <c r="L69" s="24"/>
      <c r="M69" s="24"/>
      <c r="N69" s="24"/>
      <c r="O69" s="24"/>
    </row>
    <row r="70" customFormat="false" ht="15.75" hidden="false" customHeight="true" outlineLevel="0" collapsed="false">
      <c r="A70" s="23"/>
      <c r="B70" s="24"/>
      <c r="C70" s="24"/>
      <c r="D70" s="24"/>
      <c r="E70" s="24"/>
      <c r="F70" s="25"/>
      <c r="G70" s="30" t="str">
        <f aca="false">CVSSv3!$A$11</f>
        <v>Impacto a la disponibilidad:</v>
      </c>
      <c r="H70" s="31" t="s">
        <v>713</v>
      </c>
      <c r="I70" s="28"/>
      <c r="J70" s="23"/>
      <c r="K70" s="23"/>
      <c r="L70" s="24"/>
      <c r="M70" s="24"/>
      <c r="N70" s="24"/>
      <c r="O70" s="24"/>
    </row>
    <row r="71" customFormat="false" ht="15.75" hidden="false" customHeight="true" outlineLevel="0" collapsed="false">
      <c r="A71" s="23"/>
      <c r="B71" s="24"/>
      <c r="C71" s="24"/>
      <c r="D71" s="24"/>
      <c r="E71" s="24"/>
      <c r="F71" s="25"/>
      <c r="G71" s="30" t="str">
        <f aca="false">CVSSv3!$A$12</f>
        <v>Explotabilidad:</v>
      </c>
      <c r="H71" s="31" t="s">
        <v>709</v>
      </c>
      <c r="I71" s="28"/>
      <c r="J71" s="23"/>
      <c r="K71" s="23"/>
      <c r="L71" s="24"/>
      <c r="M71" s="24"/>
      <c r="N71" s="24"/>
      <c r="O71" s="24"/>
    </row>
    <row r="72" customFormat="false" ht="15.75" hidden="false" customHeight="true" outlineLevel="0" collapsed="false">
      <c r="A72" s="23"/>
      <c r="B72" s="24"/>
      <c r="C72" s="24"/>
      <c r="D72" s="24"/>
      <c r="E72" s="24"/>
      <c r="F72" s="25"/>
      <c r="G72" s="30" t="str">
        <f aca="false">CVSSv3!$A$13</f>
        <v>Nivel de resolución:</v>
      </c>
      <c r="H72" s="31" t="s">
        <v>714</v>
      </c>
      <c r="I72" s="28"/>
      <c r="J72" s="23"/>
      <c r="K72" s="23"/>
      <c r="L72" s="24"/>
      <c r="M72" s="24"/>
      <c r="N72" s="24"/>
      <c r="O72" s="24"/>
    </row>
    <row r="73" customFormat="false" ht="15.75" hidden="false" customHeight="true" outlineLevel="0" collapsed="false">
      <c r="A73" s="23"/>
      <c r="B73" s="24"/>
      <c r="C73" s="24"/>
      <c r="D73" s="24"/>
      <c r="E73" s="24"/>
      <c r="F73" s="25"/>
      <c r="G73" s="30" t="str">
        <f aca="false">CVSSv3!$A$14</f>
        <v>Nivel de confianza</v>
      </c>
      <c r="H73" s="31" t="s">
        <v>715</v>
      </c>
      <c r="I73" s="28"/>
      <c r="J73" s="23"/>
      <c r="K73" s="23"/>
      <c r="L73" s="24"/>
      <c r="M73" s="24"/>
      <c r="N73" s="24"/>
      <c r="O73" s="24"/>
    </row>
    <row r="74" customFormat="false" ht="15.75" hidden="false" customHeight="true" outlineLevel="0" collapsed="false">
      <c r="A74" s="23"/>
      <c r="B74" s="24"/>
      <c r="C74" s="24"/>
      <c r="D74" s="24"/>
      <c r="E74" s="24"/>
      <c r="F74" s="25"/>
      <c r="G74" s="32" t="str">
        <f aca="false">"("&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32"/>
      <c r="I74" s="28"/>
      <c r="J74" s="23"/>
      <c r="K74" s="23"/>
      <c r="L74" s="24"/>
      <c r="M74" s="24"/>
      <c r="N74" s="24"/>
      <c r="O74" s="24"/>
    </row>
    <row r="75" customFormat="false" ht="15.75" hidden="false" customHeight="true" outlineLevel="0" collapsed="false">
      <c r="A75" s="23" t="n">
        <v>7</v>
      </c>
      <c r="B75" s="24" t="s">
        <v>721</v>
      </c>
      <c r="C75" s="24" t="s">
        <v>17</v>
      </c>
      <c r="D75" s="24" t="s">
        <v>17</v>
      </c>
      <c r="E75" s="24" t="s">
        <v>17</v>
      </c>
      <c r="F7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5" s="26" t="str">
        <f aca="false">CVSSv3!$A$4</f>
        <v>Vector de ataque:</v>
      </c>
      <c r="H75" s="27" t="s">
        <v>706</v>
      </c>
      <c r="I75" s="28" t="n">
        <f aca="false">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23" t="n">
        <v>0</v>
      </c>
      <c r="K75" s="23" t="n">
        <v>0</v>
      </c>
      <c r="L75" s="24" t="s">
        <v>17</v>
      </c>
      <c r="M75" s="24" t="s">
        <v>17</v>
      </c>
      <c r="N75" s="24" t="s">
        <v>707</v>
      </c>
      <c r="O75" s="24" t="s">
        <v>708</v>
      </c>
    </row>
    <row r="76" customFormat="false" ht="15.75" hidden="false" customHeight="true" outlineLevel="0" collapsed="false">
      <c r="A76" s="23"/>
      <c r="B76" s="24"/>
      <c r="C76" s="24"/>
      <c r="D76" s="24"/>
      <c r="E76" s="24"/>
      <c r="F76" s="25"/>
      <c r="G76" s="30" t="str">
        <f aca="false">CVSSv3!$A$5</f>
        <v>Complejidad de ataque:</v>
      </c>
      <c r="H76" s="31" t="s">
        <v>709</v>
      </c>
      <c r="I76" s="28"/>
      <c r="J76" s="23"/>
      <c r="K76" s="23"/>
      <c r="L76" s="24"/>
      <c r="M76" s="24"/>
      <c r="N76" s="24"/>
      <c r="O76" s="24"/>
    </row>
    <row r="77" customFormat="false" ht="15.75" hidden="false" customHeight="true" outlineLevel="0" collapsed="false">
      <c r="A77" s="23"/>
      <c r="B77" s="24"/>
      <c r="C77" s="24"/>
      <c r="D77" s="24"/>
      <c r="E77" s="24"/>
      <c r="F77" s="25"/>
      <c r="G77" s="30" t="str">
        <f aca="false">CVSSv3!$A$6</f>
        <v>Privilegios requeridos:</v>
      </c>
      <c r="H77" s="31" t="s">
        <v>710</v>
      </c>
      <c r="I77" s="28"/>
      <c r="J77" s="23"/>
      <c r="K77" s="23"/>
      <c r="L77" s="24"/>
      <c r="M77" s="24"/>
      <c r="N77" s="24"/>
      <c r="O77" s="24"/>
    </row>
    <row r="78" customFormat="false" ht="15.75" hidden="false" customHeight="true" outlineLevel="0" collapsed="false">
      <c r="A78" s="23"/>
      <c r="B78" s="24"/>
      <c r="C78" s="24"/>
      <c r="D78" s="24"/>
      <c r="E78" s="24"/>
      <c r="F78" s="25"/>
      <c r="G78" s="30" t="str">
        <f aca="false">CVSSv3!$A$7</f>
        <v>Interacción del usuario:</v>
      </c>
      <c r="H78" s="31" t="s">
        <v>711</v>
      </c>
      <c r="I78" s="28"/>
      <c r="J78" s="23"/>
      <c r="K78" s="23"/>
      <c r="L78" s="24"/>
      <c r="M78" s="24"/>
      <c r="N78" s="24"/>
      <c r="O78" s="24"/>
    </row>
    <row r="79" customFormat="false" ht="15.75" hidden="false" customHeight="true" outlineLevel="0" collapsed="false">
      <c r="A79" s="23"/>
      <c r="B79" s="24"/>
      <c r="C79" s="24"/>
      <c r="D79" s="24"/>
      <c r="E79" s="24"/>
      <c r="F79" s="25"/>
      <c r="G79" s="30" t="str">
        <f aca="false">CVSSv3!$A$8</f>
        <v>Alcance:</v>
      </c>
      <c r="H79" s="31" t="s">
        <v>712</v>
      </c>
      <c r="I79" s="28"/>
      <c r="J79" s="23"/>
      <c r="K79" s="23"/>
      <c r="L79" s="24"/>
      <c r="M79" s="24"/>
      <c r="N79" s="24"/>
      <c r="O79" s="24"/>
    </row>
    <row r="80" customFormat="false" ht="15.75" hidden="false" customHeight="true" outlineLevel="0" collapsed="false">
      <c r="A80" s="23"/>
      <c r="B80" s="24"/>
      <c r="C80" s="24"/>
      <c r="D80" s="24"/>
      <c r="E80" s="24"/>
      <c r="F80" s="25"/>
      <c r="G80" s="30" t="str">
        <f aca="false">CVSSv3!$A$9</f>
        <v>Impacto a la confidencialidad:</v>
      </c>
      <c r="H80" s="31" t="s">
        <v>713</v>
      </c>
      <c r="I80" s="28"/>
      <c r="J80" s="23"/>
      <c r="K80" s="23"/>
      <c r="L80" s="24"/>
      <c r="M80" s="24"/>
      <c r="N80" s="24"/>
      <c r="O80" s="24"/>
    </row>
    <row r="81" customFormat="false" ht="15.75" hidden="false" customHeight="true" outlineLevel="0" collapsed="false">
      <c r="A81" s="23"/>
      <c r="B81" s="24"/>
      <c r="C81" s="24"/>
      <c r="D81" s="24"/>
      <c r="E81" s="24"/>
      <c r="F81" s="25"/>
      <c r="G81" s="30" t="str">
        <f aca="false">CVSSv3!$A$10</f>
        <v>Impacto a la integridad:</v>
      </c>
      <c r="H81" s="31" t="s">
        <v>713</v>
      </c>
      <c r="I81" s="28"/>
      <c r="J81" s="23"/>
      <c r="K81" s="23"/>
      <c r="L81" s="24"/>
      <c r="M81" s="24"/>
      <c r="N81" s="24"/>
      <c r="O81" s="24"/>
    </row>
    <row r="82" customFormat="false" ht="15.75" hidden="false" customHeight="true" outlineLevel="0" collapsed="false">
      <c r="A82" s="23"/>
      <c r="B82" s="24"/>
      <c r="C82" s="24"/>
      <c r="D82" s="24"/>
      <c r="E82" s="24"/>
      <c r="F82" s="25"/>
      <c r="G82" s="30" t="str">
        <f aca="false">CVSSv3!$A$11</f>
        <v>Impacto a la disponibilidad:</v>
      </c>
      <c r="H82" s="31" t="s">
        <v>713</v>
      </c>
      <c r="I82" s="28"/>
      <c r="J82" s="23"/>
      <c r="K82" s="23"/>
      <c r="L82" s="24"/>
      <c r="M82" s="24"/>
      <c r="N82" s="24"/>
      <c r="O82" s="24"/>
    </row>
    <row r="83" customFormat="false" ht="15.75" hidden="false" customHeight="true" outlineLevel="0" collapsed="false">
      <c r="A83" s="23"/>
      <c r="B83" s="24"/>
      <c r="C83" s="24"/>
      <c r="D83" s="24"/>
      <c r="E83" s="24"/>
      <c r="F83" s="25"/>
      <c r="G83" s="30" t="str">
        <f aca="false">CVSSv3!$A$12</f>
        <v>Explotabilidad:</v>
      </c>
      <c r="H83" s="31" t="s">
        <v>709</v>
      </c>
      <c r="I83" s="28"/>
      <c r="J83" s="23"/>
      <c r="K83" s="23"/>
      <c r="L83" s="24"/>
      <c r="M83" s="24"/>
      <c r="N83" s="24"/>
      <c r="O83" s="24"/>
    </row>
    <row r="84" customFormat="false" ht="15.75" hidden="false" customHeight="true" outlineLevel="0" collapsed="false">
      <c r="A84" s="23"/>
      <c r="B84" s="24"/>
      <c r="C84" s="24"/>
      <c r="D84" s="24"/>
      <c r="E84" s="24"/>
      <c r="F84" s="25"/>
      <c r="G84" s="30" t="str">
        <f aca="false">CVSSv3!$A$13</f>
        <v>Nivel de resolución:</v>
      </c>
      <c r="H84" s="31" t="s">
        <v>714</v>
      </c>
      <c r="I84" s="28"/>
      <c r="J84" s="23"/>
      <c r="K84" s="23"/>
      <c r="L84" s="24"/>
      <c r="M84" s="24"/>
      <c r="N84" s="24"/>
      <c r="O84" s="24"/>
    </row>
    <row r="85" customFormat="false" ht="15.75" hidden="false" customHeight="true" outlineLevel="0" collapsed="false">
      <c r="A85" s="23"/>
      <c r="B85" s="24"/>
      <c r="C85" s="24"/>
      <c r="D85" s="24"/>
      <c r="E85" s="24"/>
      <c r="F85" s="25"/>
      <c r="G85" s="30" t="str">
        <f aca="false">CVSSv3!$A$14</f>
        <v>Nivel de confianza</v>
      </c>
      <c r="H85" s="31" t="s">
        <v>715</v>
      </c>
      <c r="I85" s="28"/>
      <c r="J85" s="23"/>
      <c r="K85" s="23"/>
      <c r="L85" s="24"/>
      <c r="M85" s="24"/>
      <c r="N85" s="24"/>
      <c r="O85" s="24"/>
    </row>
    <row r="86" customFormat="false" ht="15.75" hidden="false" customHeight="true" outlineLevel="0" collapsed="false">
      <c r="A86" s="23"/>
      <c r="B86" s="24"/>
      <c r="C86" s="24"/>
      <c r="D86" s="24"/>
      <c r="E86" s="24"/>
      <c r="F86" s="25"/>
      <c r="G86" s="32" t="str">
        <f aca="false">"("&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32"/>
      <c r="I86" s="28"/>
      <c r="J86" s="23"/>
      <c r="K86" s="23"/>
      <c r="L86" s="24"/>
      <c r="M86" s="24"/>
      <c r="N86" s="24"/>
      <c r="O86" s="24"/>
    </row>
    <row r="87" customFormat="false" ht="15.75" hidden="false" customHeight="true" outlineLevel="0" collapsed="false">
      <c r="A87" s="23" t="n">
        <v>8</v>
      </c>
      <c r="B87" s="24" t="s">
        <v>722</v>
      </c>
      <c r="C87" s="24" t="s">
        <v>17</v>
      </c>
      <c r="D87" s="24" t="s">
        <v>17</v>
      </c>
      <c r="E87" s="24" t="s">
        <v>17</v>
      </c>
      <c r="F8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7" s="26" t="str">
        <f aca="false">CVSSv3!$A$4</f>
        <v>Vector de ataque:</v>
      </c>
      <c r="H87" s="27" t="s">
        <v>706</v>
      </c>
      <c r="I87" s="28" t="n">
        <f aca="false">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23" t="n">
        <v>0</v>
      </c>
      <c r="K87" s="23" t="n">
        <v>0</v>
      </c>
      <c r="L87" s="24" t="s">
        <v>17</v>
      </c>
      <c r="M87" s="24" t="s">
        <v>17</v>
      </c>
      <c r="N87" s="24" t="s">
        <v>707</v>
      </c>
      <c r="O87" s="24" t="s">
        <v>708</v>
      </c>
    </row>
    <row r="88" customFormat="false" ht="15.75" hidden="false" customHeight="true" outlineLevel="0" collapsed="false">
      <c r="A88" s="23"/>
      <c r="B88" s="24"/>
      <c r="C88" s="24"/>
      <c r="D88" s="24"/>
      <c r="E88" s="24"/>
      <c r="F88" s="25"/>
      <c r="G88" s="30" t="str">
        <f aca="false">CVSSv3!$A$5</f>
        <v>Complejidad de ataque:</v>
      </c>
      <c r="H88" s="31" t="s">
        <v>709</v>
      </c>
      <c r="I88" s="28"/>
      <c r="J88" s="23"/>
      <c r="K88" s="23"/>
      <c r="L88" s="24"/>
      <c r="M88" s="24"/>
      <c r="N88" s="24"/>
      <c r="O88" s="24"/>
    </row>
    <row r="89" customFormat="false" ht="15.75" hidden="false" customHeight="true" outlineLevel="0" collapsed="false">
      <c r="A89" s="23"/>
      <c r="B89" s="24"/>
      <c r="C89" s="24"/>
      <c r="D89" s="24"/>
      <c r="E89" s="24"/>
      <c r="F89" s="25"/>
      <c r="G89" s="30" t="str">
        <f aca="false">CVSSv3!$A$6</f>
        <v>Privilegios requeridos:</v>
      </c>
      <c r="H89" s="31" t="s">
        <v>710</v>
      </c>
      <c r="I89" s="28"/>
      <c r="J89" s="23"/>
      <c r="K89" s="23"/>
      <c r="L89" s="24"/>
      <c r="M89" s="24"/>
      <c r="N89" s="24"/>
      <c r="O89" s="24"/>
    </row>
    <row r="90" customFormat="false" ht="15.75" hidden="false" customHeight="true" outlineLevel="0" collapsed="false">
      <c r="A90" s="23"/>
      <c r="B90" s="24"/>
      <c r="C90" s="24"/>
      <c r="D90" s="24"/>
      <c r="E90" s="24"/>
      <c r="F90" s="25"/>
      <c r="G90" s="30" t="str">
        <f aca="false">CVSSv3!$A$7</f>
        <v>Interacción del usuario:</v>
      </c>
      <c r="H90" s="31" t="s">
        <v>711</v>
      </c>
      <c r="I90" s="28"/>
      <c r="J90" s="23"/>
      <c r="K90" s="23"/>
      <c r="L90" s="24"/>
      <c r="M90" s="24"/>
      <c r="N90" s="24"/>
      <c r="O90" s="24"/>
    </row>
    <row r="91" customFormat="false" ht="15.75" hidden="false" customHeight="true" outlineLevel="0" collapsed="false">
      <c r="A91" s="23"/>
      <c r="B91" s="24"/>
      <c r="C91" s="24"/>
      <c r="D91" s="24"/>
      <c r="E91" s="24"/>
      <c r="F91" s="25"/>
      <c r="G91" s="30" t="str">
        <f aca="false">CVSSv3!$A$8</f>
        <v>Alcance:</v>
      </c>
      <c r="H91" s="31" t="s">
        <v>712</v>
      </c>
      <c r="I91" s="28"/>
      <c r="J91" s="23"/>
      <c r="K91" s="23"/>
      <c r="L91" s="24"/>
      <c r="M91" s="24"/>
      <c r="N91" s="24"/>
      <c r="O91" s="24"/>
    </row>
    <row r="92" customFormat="false" ht="15.75" hidden="false" customHeight="true" outlineLevel="0" collapsed="false">
      <c r="A92" s="23"/>
      <c r="B92" s="24"/>
      <c r="C92" s="24"/>
      <c r="D92" s="24"/>
      <c r="E92" s="24"/>
      <c r="F92" s="25"/>
      <c r="G92" s="30" t="str">
        <f aca="false">CVSSv3!$A$9</f>
        <v>Impacto a la confidencialidad:</v>
      </c>
      <c r="H92" s="31" t="s">
        <v>713</v>
      </c>
      <c r="I92" s="28"/>
      <c r="J92" s="23"/>
      <c r="K92" s="23"/>
      <c r="L92" s="24"/>
      <c r="M92" s="24"/>
      <c r="N92" s="24"/>
      <c r="O92" s="24"/>
    </row>
    <row r="93" customFormat="false" ht="15.75" hidden="false" customHeight="true" outlineLevel="0" collapsed="false">
      <c r="A93" s="23"/>
      <c r="B93" s="24"/>
      <c r="C93" s="24"/>
      <c r="D93" s="24"/>
      <c r="E93" s="24"/>
      <c r="F93" s="25"/>
      <c r="G93" s="30" t="str">
        <f aca="false">CVSSv3!$A$10</f>
        <v>Impacto a la integridad:</v>
      </c>
      <c r="H93" s="31" t="s">
        <v>713</v>
      </c>
      <c r="I93" s="28"/>
      <c r="J93" s="23"/>
      <c r="K93" s="23"/>
      <c r="L93" s="24"/>
      <c r="M93" s="24"/>
      <c r="N93" s="24"/>
      <c r="O93" s="24"/>
    </row>
    <row r="94" customFormat="false" ht="15.75" hidden="false" customHeight="true" outlineLevel="0" collapsed="false">
      <c r="A94" s="23"/>
      <c r="B94" s="24"/>
      <c r="C94" s="24"/>
      <c r="D94" s="24"/>
      <c r="E94" s="24"/>
      <c r="F94" s="25"/>
      <c r="G94" s="30" t="str">
        <f aca="false">CVSSv3!$A$11</f>
        <v>Impacto a la disponibilidad:</v>
      </c>
      <c r="H94" s="31" t="s">
        <v>713</v>
      </c>
      <c r="I94" s="28"/>
      <c r="J94" s="23"/>
      <c r="K94" s="23"/>
      <c r="L94" s="24"/>
      <c r="M94" s="24"/>
      <c r="N94" s="24"/>
      <c r="O94" s="24"/>
    </row>
    <row r="95" customFormat="false" ht="15.75" hidden="false" customHeight="true" outlineLevel="0" collapsed="false">
      <c r="A95" s="23"/>
      <c r="B95" s="24"/>
      <c r="C95" s="24"/>
      <c r="D95" s="24"/>
      <c r="E95" s="24"/>
      <c r="F95" s="25"/>
      <c r="G95" s="30" t="str">
        <f aca="false">CVSSv3!$A$12</f>
        <v>Explotabilidad:</v>
      </c>
      <c r="H95" s="31" t="s">
        <v>709</v>
      </c>
      <c r="I95" s="28"/>
      <c r="J95" s="23"/>
      <c r="K95" s="23"/>
      <c r="L95" s="24"/>
      <c r="M95" s="24"/>
      <c r="N95" s="24"/>
      <c r="O95" s="24"/>
    </row>
    <row r="96" customFormat="false" ht="15.75" hidden="false" customHeight="true" outlineLevel="0" collapsed="false">
      <c r="A96" s="23"/>
      <c r="B96" s="24"/>
      <c r="C96" s="24"/>
      <c r="D96" s="24"/>
      <c r="E96" s="24"/>
      <c r="F96" s="25"/>
      <c r="G96" s="30" t="str">
        <f aca="false">CVSSv3!$A$13</f>
        <v>Nivel de resolución:</v>
      </c>
      <c r="H96" s="31" t="s">
        <v>714</v>
      </c>
      <c r="I96" s="28"/>
      <c r="J96" s="23"/>
      <c r="K96" s="23"/>
      <c r="L96" s="24"/>
      <c r="M96" s="24"/>
      <c r="N96" s="24"/>
      <c r="O96" s="24"/>
    </row>
    <row r="97" customFormat="false" ht="15.75" hidden="false" customHeight="true" outlineLevel="0" collapsed="false">
      <c r="A97" s="23"/>
      <c r="B97" s="24"/>
      <c r="C97" s="24"/>
      <c r="D97" s="24"/>
      <c r="E97" s="24"/>
      <c r="F97" s="25"/>
      <c r="G97" s="30" t="str">
        <f aca="false">CVSSv3!$A$14</f>
        <v>Nivel de confianza</v>
      </c>
      <c r="H97" s="31" t="s">
        <v>715</v>
      </c>
      <c r="I97" s="28"/>
      <c r="J97" s="23"/>
      <c r="K97" s="23"/>
      <c r="L97" s="24"/>
      <c r="M97" s="24"/>
      <c r="N97" s="24"/>
      <c r="O97" s="24"/>
    </row>
    <row r="98" customFormat="false" ht="15.75" hidden="false" customHeight="true" outlineLevel="0" collapsed="false">
      <c r="A98" s="23"/>
      <c r="B98" s="24"/>
      <c r="C98" s="24"/>
      <c r="D98" s="24"/>
      <c r="E98" s="24"/>
      <c r="F98" s="25"/>
      <c r="G98" s="32" t="str">
        <f aca="false">"("&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32"/>
      <c r="I98" s="28"/>
      <c r="J98" s="23"/>
      <c r="K98" s="23"/>
      <c r="L98" s="24"/>
      <c r="M98" s="24"/>
      <c r="N98" s="24"/>
      <c r="O98" s="24"/>
    </row>
    <row r="99" customFormat="false" ht="15.75" hidden="false" customHeight="true" outlineLevel="0" collapsed="false">
      <c r="A99" s="23" t="n">
        <v>9</v>
      </c>
      <c r="B99" s="24" t="s">
        <v>723</v>
      </c>
      <c r="C99" s="24" t="s">
        <v>17</v>
      </c>
      <c r="D99" s="24" t="s">
        <v>17</v>
      </c>
      <c r="E99" s="24" t="s">
        <v>17</v>
      </c>
      <c r="F9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9" s="26" t="str">
        <f aca="false">CVSSv3!$A$4</f>
        <v>Vector de ataque:</v>
      </c>
      <c r="H99" s="27" t="s">
        <v>706</v>
      </c>
      <c r="I99" s="28" t="n">
        <f aca="false">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23" t="n">
        <v>0</v>
      </c>
      <c r="K99" s="23" t="n">
        <v>0</v>
      </c>
      <c r="L99" s="24" t="s">
        <v>17</v>
      </c>
      <c r="M99" s="24" t="s">
        <v>17</v>
      </c>
      <c r="N99" s="24" t="s">
        <v>707</v>
      </c>
      <c r="O99" s="24" t="s">
        <v>708</v>
      </c>
    </row>
    <row r="100" customFormat="false" ht="15.75" hidden="false" customHeight="true" outlineLevel="0" collapsed="false">
      <c r="A100" s="23"/>
      <c r="B100" s="24"/>
      <c r="C100" s="24"/>
      <c r="D100" s="24"/>
      <c r="E100" s="24"/>
      <c r="F100" s="25"/>
      <c r="G100" s="30" t="str">
        <f aca="false">CVSSv3!$A$5</f>
        <v>Complejidad de ataque:</v>
      </c>
      <c r="H100" s="31" t="s">
        <v>709</v>
      </c>
      <c r="I100" s="28"/>
      <c r="J100" s="23"/>
      <c r="K100" s="23"/>
      <c r="L100" s="24"/>
      <c r="M100" s="24"/>
      <c r="N100" s="24"/>
      <c r="O100" s="24"/>
    </row>
    <row r="101" customFormat="false" ht="15.75" hidden="false" customHeight="true" outlineLevel="0" collapsed="false">
      <c r="A101" s="23"/>
      <c r="B101" s="24"/>
      <c r="C101" s="24"/>
      <c r="D101" s="24"/>
      <c r="E101" s="24"/>
      <c r="F101" s="25"/>
      <c r="G101" s="30" t="str">
        <f aca="false">CVSSv3!$A$6</f>
        <v>Privilegios requeridos:</v>
      </c>
      <c r="H101" s="31" t="s">
        <v>710</v>
      </c>
      <c r="I101" s="28"/>
      <c r="J101" s="23"/>
      <c r="K101" s="23"/>
      <c r="L101" s="24"/>
      <c r="M101" s="24"/>
      <c r="N101" s="24"/>
      <c r="O101" s="24"/>
    </row>
    <row r="102" customFormat="false" ht="15.75" hidden="false" customHeight="true" outlineLevel="0" collapsed="false">
      <c r="A102" s="23"/>
      <c r="B102" s="24"/>
      <c r="C102" s="24"/>
      <c r="D102" s="24"/>
      <c r="E102" s="24"/>
      <c r="F102" s="25"/>
      <c r="G102" s="30" t="str">
        <f aca="false">CVSSv3!$A$7</f>
        <v>Interacción del usuario:</v>
      </c>
      <c r="H102" s="31" t="s">
        <v>711</v>
      </c>
      <c r="I102" s="28"/>
      <c r="J102" s="23"/>
      <c r="K102" s="23"/>
      <c r="L102" s="24"/>
      <c r="M102" s="24"/>
      <c r="N102" s="24"/>
      <c r="O102" s="24"/>
    </row>
    <row r="103" customFormat="false" ht="15.75" hidden="false" customHeight="true" outlineLevel="0" collapsed="false">
      <c r="A103" s="23"/>
      <c r="B103" s="24"/>
      <c r="C103" s="24"/>
      <c r="D103" s="24"/>
      <c r="E103" s="24"/>
      <c r="F103" s="25"/>
      <c r="G103" s="30" t="str">
        <f aca="false">CVSSv3!$A$8</f>
        <v>Alcance:</v>
      </c>
      <c r="H103" s="31" t="s">
        <v>712</v>
      </c>
      <c r="I103" s="28"/>
      <c r="J103" s="23"/>
      <c r="K103" s="23"/>
      <c r="L103" s="24"/>
      <c r="M103" s="24"/>
      <c r="N103" s="24"/>
      <c r="O103" s="24"/>
    </row>
    <row r="104" customFormat="false" ht="15.75" hidden="false" customHeight="true" outlineLevel="0" collapsed="false">
      <c r="A104" s="23"/>
      <c r="B104" s="24"/>
      <c r="C104" s="24"/>
      <c r="D104" s="24"/>
      <c r="E104" s="24"/>
      <c r="F104" s="25"/>
      <c r="G104" s="30" t="str">
        <f aca="false">CVSSv3!$A$9</f>
        <v>Impacto a la confidencialidad:</v>
      </c>
      <c r="H104" s="31" t="s">
        <v>713</v>
      </c>
      <c r="I104" s="28"/>
      <c r="J104" s="23"/>
      <c r="K104" s="23"/>
      <c r="L104" s="24"/>
      <c r="M104" s="24"/>
      <c r="N104" s="24"/>
      <c r="O104" s="24"/>
    </row>
    <row r="105" customFormat="false" ht="15.75" hidden="false" customHeight="true" outlineLevel="0" collapsed="false">
      <c r="A105" s="23"/>
      <c r="B105" s="24"/>
      <c r="C105" s="24"/>
      <c r="D105" s="24"/>
      <c r="E105" s="24"/>
      <c r="F105" s="25"/>
      <c r="G105" s="30" t="str">
        <f aca="false">CVSSv3!$A$10</f>
        <v>Impacto a la integridad:</v>
      </c>
      <c r="H105" s="31" t="s">
        <v>713</v>
      </c>
      <c r="I105" s="28"/>
      <c r="J105" s="23"/>
      <c r="K105" s="23"/>
      <c r="L105" s="24"/>
      <c r="M105" s="24"/>
      <c r="N105" s="24"/>
      <c r="O105" s="24"/>
    </row>
    <row r="106" customFormat="false" ht="15.75" hidden="false" customHeight="true" outlineLevel="0" collapsed="false">
      <c r="A106" s="23"/>
      <c r="B106" s="24"/>
      <c r="C106" s="24"/>
      <c r="D106" s="24"/>
      <c r="E106" s="24"/>
      <c r="F106" s="25"/>
      <c r="G106" s="30" t="str">
        <f aca="false">CVSSv3!$A$11</f>
        <v>Impacto a la disponibilidad:</v>
      </c>
      <c r="H106" s="31" t="s">
        <v>713</v>
      </c>
      <c r="I106" s="28"/>
      <c r="J106" s="23"/>
      <c r="K106" s="23"/>
      <c r="L106" s="24"/>
      <c r="M106" s="24"/>
      <c r="N106" s="24"/>
      <c r="O106" s="24"/>
    </row>
    <row r="107" customFormat="false" ht="15.75" hidden="false" customHeight="true" outlineLevel="0" collapsed="false">
      <c r="A107" s="23"/>
      <c r="B107" s="24"/>
      <c r="C107" s="24"/>
      <c r="D107" s="24"/>
      <c r="E107" s="24"/>
      <c r="F107" s="25"/>
      <c r="G107" s="30" t="str">
        <f aca="false">CVSSv3!$A$12</f>
        <v>Explotabilidad:</v>
      </c>
      <c r="H107" s="31" t="s">
        <v>709</v>
      </c>
      <c r="I107" s="28"/>
      <c r="J107" s="23"/>
      <c r="K107" s="23"/>
      <c r="L107" s="24"/>
      <c r="M107" s="24"/>
      <c r="N107" s="24"/>
      <c r="O107" s="24"/>
    </row>
    <row r="108" customFormat="false" ht="15.75" hidden="false" customHeight="true" outlineLevel="0" collapsed="false">
      <c r="A108" s="23"/>
      <c r="B108" s="24"/>
      <c r="C108" s="24"/>
      <c r="D108" s="24"/>
      <c r="E108" s="24"/>
      <c r="F108" s="25"/>
      <c r="G108" s="30" t="str">
        <f aca="false">CVSSv3!$A$13</f>
        <v>Nivel de resolución:</v>
      </c>
      <c r="H108" s="31" t="s">
        <v>714</v>
      </c>
      <c r="I108" s="28"/>
      <c r="J108" s="23"/>
      <c r="K108" s="23"/>
      <c r="L108" s="24"/>
      <c r="M108" s="24"/>
      <c r="N108" s="24"/>
      <c r="O108" s="24"/>
    </row>
    <row r="109" customFormat="false" ht="15.75" hidden="false" customHeight="true" outlineLevel="0" collapsed="false">
      <c r="A109" s="23"/>
      <c r="B109" s="24"/>
      <c r="C109" s="24"/>
      <c r="D109" s="24"/>
      <c r="E109" s="24"/>
      <c r="F109" s="25"/>
      <c r="G109" s="30" t="str">
        <f aca="false">CVSSv3!$A$14</f>
        <v>Nivel de confianza</v>
      </c>
      <c r="H109" s="31" t="s">
        <v>715</v>
      </c>
      <c r="I109" s="28"/>
      <c r="J109" s="23"/>
      <c r="K109" s="23"/>
      <c r="L109" s="24"/>
      <c r="M109" s="24"/>
      <c r="N109" s="24"/>
      <c r="O109" s="24"/>
    </row>
    <row r="110" customFormat="false" ht="15.75" hidden="false" customHeight="true" outlineLevel="0" collapsed="false">
      <c r="A110" s="23"/>
      <c r="B110" s="24"/>
      <c r="C110" s="24"/>
      <c r="D110" s="24"/>
      <c r="E110" s="24"/>
      <c r="F110" s="25"/>
      <c r="G110" s="32" t="str">
        <f aca="false">"("&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32"/>
      <c r="I110" s="28"/>
      <c r="J110" s="23"/>
      <c r="K110" s="23"/>
      <c r="L110" s="24"/>
      <c r="M110" s="24"/>
      <c r="N110" s="24"/>
      <c r="O110" s="24"/>
    </row>
    <row r="111" customFormat="false" ht="15.75" hidden="false" customHeight="true" outlineLevel="0" collapsed="false">
      <c r="A111" s="23" t="n">
        <v>10</v>
      </c>
      <c r="B111" s="24" t="s">
        <v>724</v>
      </c>
      <c r="C111" s="24" t="s">
        <v>17</v>
      </c>
      <c r="D111" s="24" t="s">
        <v>17</v>
      </c>
      <c r="E111" s="24" t="s">
        <v>17</v>
      </c>
      <c r="F11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1" s="26" t="str">
        <f aca="false">CVSSv3!$A$4</f>
        <v>Vector de ataque:</v>
      </c>
      <c r="H111" s="27" t="s">
        <v>706</v>
      </c>
      <c r="I111" s="28" t="n">
        <f aca="false">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23" t="n">
        <v>0</v>
      </c>
      <c r="K111" s="23" t="n">
        <v>0</v>
      </c>
      <c r="L111" s="24" t="s">
        <v>17</v>
      </c>
      <c r="M111" s="24" t="s">
        <v>17</v>
      </c>
      <c r="N111" s="24" t="s">
        <v>707</v>
      </c>
      <c r="O111" s="24" t="s">
        <v>708</v>
      </c>
    </row>
    <row r="112" customFormat="false" ht="15.75" hidden="false" customHeight="true" outlineLevel="0" collapsed="false">
      <c r="A112" s="23"/>
      <c r="B112" s="24"/>
      <c r="C112" s="24"/>
      <c r="D112" s="24"/>
      <c r="E112" s="24"/>
      <c r="F112" s="25"/>
      <c r="G112" s="30" t="str">
        <f aca="false">CVSSv3!$A$5</f>
        <v>Complejidad de ataque:</v>
      </c>
      <c r="H112" s="31" t="s">
        <v>709</v>
      </c>
      <c r="I112" s="28"/>
      <c r="J112" s="23"/>
      <c r="K112" s="23"/>
      <c r="L112" s="24"/>
      <c r="M112" s="24"/>
      <c r="N112" s="24"/>
      <c r="O112" s="24"/>
    </row>
    <row r="113" customFormat="false" ht="15.75" hidden="false" customHeight="true" outlineLevel="0" collapsed="false">
      <c r="A113" s="23"/>
      <c r="B113" s="24"/>
      <c r="C113" s="24"/>
      <c r="D113" s="24"/>
      <c r="E113" s="24"/>
      <c r="F113" s="25"/>
      <c r="G113" s="30" t="str">
        <f aca="false">CVSSv3!$A$6</f>
        <v>Privilegios requeridos:</v>
      </c>
      <c r="H113" s="31" t="s">
        <v>710</v>
      </c>
      <c r="I113" s="28"/>
      <c r="J113" s="23"/>
      <c r="K113" s="23"/>
      <c r="L113" s="24"/>
      <c r="M113" s="24"/>
      <c r="N113" s="24"/>
      <c r="O113" s="24"/>
    </row>
    <row r="114" customFormat="false" ht="15.75" hidden="false" customHeight="true" outlineLevel="0" collapsed="false">
      <c r="A114" s="23"/>
      <c r="B114" s="24"/>
      <c r="C114" s="24"/>
      <c r="D114" s="24"/>
      <c r="E114" s="24"/>
      <c r="F114" s="25"/>
      <c r="G114" s="30" t="str">
        <f aca="false">CVSSv3!$A$7</f>
        <v>Interacción del usuario:</v>
      </c>
      <c r="H114" s="31" t="s">
        <v>711</v>
      </c>
      <c r="I114" s="28"/>
      <c r="J114" s="23"/>
      <c r="K114" s="23"/>
      <c r="L114" s="24"/>
      <c r="M114" s="24"/>
      <c r="N114" s="24"/>
      <c r="O114" s="24"/>
    </row>
    <row r="115" customFormat="false" ht="15.75" hidden="false" customHeight="true" outlineLevel="0" collapsed="false">
      <c r="A115" s="23"/>
      <c r="B115" s="24"/>
      <c r="C115" s="24"/>
      <c r="D115" s="24"/>
      <c r="E115" s="24"/>
      <c r="F115" s="25"/>
      <c r="G115" s="30" t="str">
        <f aca="false">CVSSv3!$A$8</f>
        <v>Alcance:</v>
      </c>
      <c r="H115" s="31" t="s">
        <v>712</v>
      </c>
      <c r="I115" s="28"/>
      <c r="J115" s="23"/>
      <c r="K115" s="23"/>
      <c r="L115" s="24"/>
      <c r="M115" s="24"/>
      <c r="N115" s="24"/>
      <c r="O115" s="24"/>
    </row>
    <row r="116" customFormat="false" ht="15.75" hidden="false" customHeight="true" outlineLevel="0" collapsed="false">
      <c r="A116" s="23"/>
      <c r="B116" s="24"/>
      <c r="C116" s="24"/>
      <c r="D116" s="24"/>
      <c r="E116" s="24"/>
      <c r="F116" s="25"/>
      <c r="G116" s="30" t="str">
        <f aca="false">CVSSv3!$A$9</f>
        <v>Impacto a la confidencialidad:</v>
      </c>
      <c r="H116" s="31" t="s">
        <v>713</v>
      </c>
      <c r="I116" s="28"/>
      <c r="J116" s="23"/>
      <c r="K116" s="23"/>
      <c r="L116" s="24"/>
      <c r="M116" s="24"/>
      <c r="N116" s="24"/>
      <c r="O116" s="24"/>
    </row>
    <row r="117" customFormat="false" ht="15.75" hidden="false" customHeight="true" outlineLevel="0" collapsed="false">
      <c r="A117" s="23"/>
      <c r="B117" s="24"/>
      <c r="C117" s="24"/>
      <c r="D117" s="24"/>
      <c r="E117" s="24"/>
      <c r="F117" s="25"/>
      <c r="G117" s="30" t="str">
        <f aca="false">CVSSv3!$A$10</f>
        <v>Impacto a la integridad:</v>
      </c>
      <c r="H117" s="31" t="s">
        <v>713</v>
      </c>
      <c r="I117" s="28"/>
      <c r="J117" s="23"/>
      <c r="K117" s="23"/>
      <c r="L117" s="24"/>
      <c r="M117" s="24"/>
      <c r="N117" s="24"/>
      <c r="O117" s="24"/>
    </row>
    <row r="118" customFormat="false" ht="15.75" hidden="false" customHeight="true" outlineLevel="0" collapsed="false">
      <c r="A118" s="23"/>
      <c r="B118" s="24"/>
      <c r="C118" s="24"/>
      <c r="D118" s="24"/>
      <c r="E118" s="24"/>
      <c r="F118" s="25"/>
      <c r="G118" s="30" t="str">
        <f aca="false">CVSSv3!$A$11</f>
        <v>Impacto a la disponibilidad:</v>
      </c>
      <c r="H118" s="31" t="s">
        <v>713</v>
      </c>
      <c r="I118" s="28"/>
      <c r="J118" s="23"/>
      <c r="K118" s="23"/>
      <c r="L118" s="24"/>
      <c r="M118" s="24"/>
      <c r="N118" s="24"/>
      <c r="O118" s="24"/>
    </row>
    <row r="119" customFormat="false" ht="15.75" hidden="false" customHeight="true" outlineLevel="0" collapsed="false">
      <c r="A119" s="23"/>
      <c r="B119" s="24"/>
      <c r="C119" s="24"/>
      <c r="D119" s="24"/>
      <c r="E119" s="24"/>
      <c r="F119" s="25"/>
      <c r="G119" s="30" t="str">
        <f aca="false">CVSSv3!$A$12</f>
        <v>Explotabilidad:</v>
      </c>
      <c r="H119" s="31" t="s">
        <v>709</v>
      </c>
      <c r="I119" s="28"/>
      <c r="J119" s="23"/>
      <c r="K119" s="23"/>
      <c r="L119" s="24"/>
      <c r="M119" s="24"/>
      <c r="N119" s="24"/>
      <c r="O119" s="24"/>
    </row>
    <row r="120" customFormat="false" ht="15.75" hidden="false" customHeight="true" outlineLevel="0" collapsed="false">
      <c r="A120" s="23"/>
      <c r="B120" s="24"/>
      <c r="C120" s="24"/>
      <c r="D120" s="24"/>
      <c r="E120" s="24"/>
      <c r="F120" s="25"/>
      <c r="G120" s="30" t="str">
        <f aca="false">CVSSv3!$A$13</f>
        <v>Nivel de resolución:</v>
      </c>
      <c r="H120" s="31" t="s">
        <v>714</v>
      </c>
      <c r="I120" s="28"/>
      <c r="J120" s="23"/>
      <c r="K120" s="23"/>
      <c r="L120" s="24"/>
      <c r="M120" s="24"/>
      <c r="N120" s="24"/>
      <c r="O120" s="24"/>
    </row>
    <row r="121" customFormat="false" ht="15.75" hidden="false" customHeight="true" outlineLevel="0" collapsed="false">
      <c r="A121" s="23"/>
      <c r="B121" s="24"/>
      <c r="C121" s="24"/>
      <c r="D121" s="24"/>
      <c r="E121" s="24"/>
      <c r="F121" s="25"/>
      <c r="G121" s="30" t="str">
        <f aca="false">CVSSv3!$A$14</f>
        <v>Nivel de confianza</v>
      </c>
      <c r="H121" s="31" t="s">
        <v>715</v>
      </c>
      <c r="I121" s="28"/>
      <c r="J121" s="23"/>
      <c r="K121" s="23"/>
      <c r="L121" s="24"/>
      <c r="M121" s="24"/>
      <c r="N121" s="24"/>
      <c r="O121" s="24"/>
    </row>
    <row r="122" customFormat="false" ht="15.75" hidden="false" customHeight="true" outlineLevel="0" collapsed="false">
      <c r="A122" s="23"/>
      <c r="B122" s="24"/>
      <c r="C122" s="24"/>
      <c r="D122" s="24"/>
      <c r="E122" s="24"/>
      <c r="F122" s="25"/>
      <c r="G122" s="32" t="str">
        <f aca="false">"("&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32"/>
      <c r="I122" s="28"/>
      <c r="J122" s="23"/>
      <c r="K122" s="23"/>
      <c r="L122" s="24"/>
      <c r="M122" s="24"/>
      <c r="N122" s="24"/>
      <c r="O122" s="24"/>
    </row>
    <row r="123" customFormat="false" ht="15.75" hidden="false" customHeight="true" outlineLevel="0" collapsed="false">
      <c r="A123" s="23" t="n">
        <v>11</v>
      </c>
      <c r="B123" s="24" t="s">
        <v>725</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6" t="str">
        <f aca="false">CVSSv3!$A$4</f>
        <v>Vector de ataque:</v>
      </c>
      <c r="H123" s="27" t="s">
        <v>706</v>
      </c>
      <c r="I123" s="28" t="n">
        <f aca="false">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23" t="n">
        <v>0</v>
      </c>
      <c r="K123" s="23" t="n">
        <v>0</v>
      </c>
      <c r="L123" s="24" t="s">
        <v>17</v>
      </c>
      <c r="M123" s="24" t="s">
        <v>17</v>
      </c>
      <c r="N123" s="24" t="s">
        <v>707</v>
      </c>
      <c r="O123" s="24" t="s">
        <v>708</v>
      </c>
    </row>
    <row r="124" customFormat="false" ht="15.75" hidden="false" customHeight="true" outlineLevel="0" collapsed="false">
      <c r="A124" s="23"/>
      <c r="B124" s="24"/>
      <c r="C124" s="24"/>
      <c r="D124" s="24"/>
      <c r="E124" s="24"/>
      <c r="F124" s="25"/>
      <c r="G124" s="30" t="str">
        <f aca="false">CVSSv3!$A$5</f>
        <v>Complejidad de ataque:</v>
      </c>
      <c r="H124" s="31" t="s">
        <v>709</v>
      </c>
      <c r="I124" s="28"/>
      <c r="J124" s="23"/>
      <c r="K124" s="23"/>
      <c r="L124" s="24"/>
      <c r="M124" s="24"/>
      <c r="N124" s="24"/>
      <c r="O124" s="24"/>
    </row>
    <row r="125" customFormat="false" ht="15.75" hidden="false" customHeight="true" outlineLevel="0" collapsed="false">
      <c r="A125" s="23"/>
      <c r="B125" s="24"/>
      <c r="C125" s="24"/>
      <c r="D125" s="24"/>
      <c r="E125" s="24"/>
      <c r="F125" s="25"/>
      <c r="G125" s="30" t="str">
        <f aca="false">CVSSv3!$A$6</f>
        <v>Privilegios requeridos:</v>
      </c>
      <c r="H125" s="31" t="s">
        <v>710</v>
      </c>
      <c r="I125" s="28"/>
      <c r="J125" s="23"/>
      <c r="K125" s="23"/>
      <c r="L125" s="24"/>
      <c r="M125" s="24"/>
      <c r="N125" s="24"/>
      <c r="O125" s="24"/>
    </row>
    <row r="126" customFormat="false" ht="15.75" hidden="false" customHeight="true" outlineLevel="0" collapsed="false">
      <c r="A126" s="23"/>
      <c r="B126" s="24"/>
      <c r="C126" s="24"/>
      <c r="D126" s="24"/>
      <c r="E126" s="24"/>
      <c r="F126" s="25"/>
      <c r="G126" s="30" t="str">
        <f aca="false">CVSSv3!$A$7</f>
        <v>Interacción del usuario:</v>
      </c>
      <c r="H126" s="31" t="s">
        <v>711</v>
      </c>
      <c r="I126" s="28"/>
      <c r="J126" s="23"/>
      <c r="K126" s="23"/>
      <c r="L126" s="24"/>
      <c r="M126" s="24"/>
      <c r="N126" s="24"/>
      <c r="O126" s="24"/>
    </row>
    <row r="127" customFormat="false" ht="15.75" hidden="false" customHeight="true" outlineLevel="0" collapsed="false">
      <c r="A127" s="23"/>
      <c r="B127" s="24"/>
      <c r="C127" s="24"/>
      <c r="D127" s="24"/>
      <c r="E127" s="24"/>
      <c r="F127" s="25"/>
      <c r="G127" s="30" t="str">
        <f aca="false">CVSSv3!$A$8</f>
        <v>Alcance:</v>
      </c>
      <c r="H127" s="31" t="s">
        <v>712</v>
      </c>
      <c r="I127" s="28"/>
      <c r="J127" s="23"/>
      <c r="K127" s="23"/>
      <c r="L127" s="24"/>
      <c r="M127" s="24"/>
      <c r="N127" s="24"/>
      <c r="O127" s="24"/>
    </row>
    <row r="128" customFormat="false" ht="15.75" hidden="false" customHeight="true" outlineLevel="0" collapsed="false">
      <c r="A128" s="23"/>
      <c r="B128" s="24"/>
      <c r="C128" s="24"/>
      <c r="D128" s="24"/>
      <c r="E128" s="24"/>
      <c r="F128" s="25"/>
      <c r="G128" s="30" t="str">
        <f aca="false">CVSSv3!$A$9</f>
        <v>Impacto a la confidencialidad:</v>
      </c>
      <c r="H128" s="31" t="s">
        <v>713</v>
      </c>
      <c r="I128" s="28"/>
      <c r="J128" s="23"/>
      <c r="K128" s="23"/>
      <c r="L128" s="24"/>
      <c r="M128" s="24"/>
      <c r="N128" s="24"/>
      <c r="O128" s="24"/>
    </row>
    <row r="129" customFormat="false" ht="15.75" hidden="false" customHeight="true" outlineLevel="0" collapsed="false">
      <c r="A129" s="23"/>
      <c r="B129" s="24"/>
      <c r="C129" s="24"/>
      <c r="D129" s="24"/>
      <c r="E129" s="24"/>
      <c r="F129" s="25"/>
      <c r="G129" s="30" t="str">
        <f aca="false">CVSSv3!$A$10</f>
        <v>Impacto a la integridad:</v>
      </c>
      <c r="H129" s="31" t="s">
        <v>713</v>
      </c>
      <c r="I129" s="28"/>
      <c r="J129" s="23"/>
      <c r="K129" s="23"/>
      <c r="L129" s="24"/>
      <c r="M129" s="24"/>
      <c r="N129" s="24"/>
      <c r="O129" s="24"/>
    </row>
    <row r="130" customFormat="false" ht="15.75" hidden="false" customHeight="true" outlineLevel="0" collapsed="false">
      <c r="A130" s="23"/>
      <c r="B130" s="24"/>
      <c r="C130" s="24"/>
      <c r="D130" s="24"/>
      <c r="E130" s="24"/>
      <c r="F130" s="25"/>
      <c r="G130" s="30" t="str">
        <f aca="false">CVSSv3!$A$11</f>
        <v>Impacto a la disponibilidad:</v>
      </c>
      <c r="H130" s="31" t="s">
        <v>713</v>
      </c>
      <c r="I130" s="28"/>
      <c r="J130" s="23"/>
      <c r="K130" s="23"/>
      <c r="L130" s="24"/>
      <c r="M130" s="24"/>
      <c r="N130" s="24"/>
      <c r="O130" s="24"/>
    </row>
    <row r="131" customFormat="false" ht="15.75" hidden="false" customHeight="true" outlineLevel="0" collapsed="false">
      <c r="A131" s="23"/>
      <c r="B131" s="24"/>
      <c r="C131" s="24"/>
      <c r="D131" s="24"/>
      <c r="E131" s="24"/>
      <c r="F131" s="25"/>
      <c r="G131" s="30" t="str">
        <f aca="false">CVSSv3!$A$12</f>
        <v>Explotabilidad:</v>
      </c>
      <c r="H131" s="31" t="s">
        <v>709</v>
      </c>
      <c r="I131" s="28"/>
      <c r="J131" s="23"/>
      <c r="K131" s="23"/>
      <c r="L131" s="24"/>
      <c r="M131" s="24"/>
      <c r="N131" s="24"/>
      <c r="O131" s="24"/>
    </row>
    <row r="132" customFormat="false" ht="15.75" hidden="false" customHeight="true" outlineLevel="0" collapsed="false">
      <c r="A132" s="23"/>
      <c r="B132" s="24"/>
      <c r="C132" s="24"/>
      <c r="D132" s="24"/>
      <c r="E132" s="24"/>
      <c r="F132" s="25"/>
      <c r="G132" s="30" t="str">
        <f aca="false">CVSSv3!$A$13</f>
        <v>Nivel de resolución:</v>
      </c>
      <c r="H132" s="31" t="s">
        <v>714</v>
      </c>
      <c r="I132" s="28"/>
      <c r="J132" s="23"/>
      <c r="K132" s="23"/>
      <c r="L132" s="24"/>
      <c r="M132" s="24"/>
      <c r="N132" s="24"/>
      <c r="O132" s="24"/>
    </row>
    <row r="133" customFormat="false" ht="15.75" hidden="false" customHeight="true" outlineLevel="0" collapsed="false">
      <c r="A133" s="23"/>
      <c r="B133" s="24"/>
      <c r="C133" s="24"/>
      <c r="D133" s="24"/>
      <c r="E133" s="24"/>
      <c r="F133" s="25"/>
      <c r="G133" s="30" t="str">
        <f aca="false">CVSSv3!$A$14</f>
        <v>Nivel de confianza</v>
      </c>
      <c r="H133" s="31" t="s">
        <v>715</v>
      </c>
      <c r="I133" s="28"/>
      <c r="J133" s="23"/>
      <c r="K133" s="23"/>
      <c r="L133" s="24"/>
      <c r="M133" s="24"/>
      <c r="N133" s="24"/>
      <c r="O133" s="24"/>
    </row>
    <row r="134" customFormat="false" ht="15.75" hidden="false" customHeight="true" outlineLevel="0" collapsed="false">
      <c r="A134" s="23"/>
      <c r="B134" s="24"/>
      <c r="C134" s="24"/>
      <c r="D134" s="24"/>
      <c r="E134" s="24"/>
      <c r="F134" s="25"/>
      <c r="G134" s="32" t="str">
        <f aca="false">"("&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32"/>
      <c r="I134" s="28"/>
      <c r="J134" s="23"/>
      <c r="K134" s="23"/>
      <c r="L134" s="24"/>
      <c r="M134" s="24"/>
      <c r="N134" s="24"/>
      <c r="O134" s="24"/>
    </row>
    <row r="135" customFormat="false" ht="15.75" hidden="false" customHeight="true" outlineLevel="0" collapsed="false">
      <c r="A135" s="23" t="n">
        <v>12</v>
      </c>
      <c r="B135" s="24" t="s">
        <v>726</v>
      </c>
      <c r="C135" s="24" t="s">
        <v>17</v>
      </c>
      <c r="D135" s="24" t="s">
        <v>17</v>
      </c>
      <c r="E135" s="24" t="s">
        <v>17</v>
      </c>
      <c r="F13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5" s="26" t="str">
        <f aca="false">CVSSv3!$A$4</f>
        <v>Vector de ataque:</v>
      </c>
      <c r="H135" s="27" t="s">
        <v>706</v>
      </c>
      <c r="I135" s="28" t="n">
        <f aca="false">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23" t="n">
        <v>0</v>
      </c>
      <c r="K135" s="23" t="n">
        <v>0</v>
      </c>
      <c r="L135" s="24" t="s">
        <v>17</v>
      </c>
      <c r="M135" s="24" t="s">
        <v>17</v>
      </c>
      <c r="N135" s="24" t="s">
        <v>707</v>
      </c>
      <c r="O135" s="24" t="s">
        <v>708</v>
      </c>
    </row>
    <row r="136" customFormat="false" ht="15.75" hidden="false" customHeight="true" outlineLevel="0" collapsed="false">
      <c r="A136" s="23"/>
      <c r="B136" s="24"/>
      <c r="C136" s="24"/>
      <c r="D136" s="24"/>
      <c r="E136" s="24"/>
      <c r="F136" s="25"/>
      <c r="G136" s="30" t="str">
        <f aca="false">CVSSv3!$A$5</f>
        <v>Complejidad de ataque:</v>
      </c>
      <c r="H136" s="31" t="s">
        <v>709</v>
      </c>
      <c r="I136" s="28"/>
      <c r="J136" s="23"/>
      <c r="K136" s="23"/>
      <c r="L136" s="24"/>
      <c r="M136" s="24"/>
      <c r="N136" s="24"/>
      <c r="O136" s="24"/>
    </row>
    <row r="137" customFormat="false" ht="15.75" hidden="false" customHeight="true" outlineLevel="0" collapsed="false">
      <c r="A137" s="23"/>
      <c r="B137" s="24"/>
      <c r="C137" s="24"/>
      <c r="D137" s="24"/>
      <c r="E137" s="24"/>
      <c r="F137" s="25"/>
      <c r="G137" s="30" t="str">
        <f aca="false">CVSSv3!$A$6</f>
        <v>Privilegios requeridos:</v>
      </c>
      <c r="H137" s="31" t="s">
        <v>710</v>
      </c>
      <c r="I137" s="28"/>
      <c r="J137" s="23"/>
      <c r="K137" s="23"/>
      <c r="L137" s="24"/>
      <c r="M137" s="24"/>
      <c r="N137" s="24"/>
      <c r="O137" s="24"/>
    </row>
    <row r="138" customFormat="false" ht="15.75" hidden="false" customHeight="true" outlineLevel="0" collapsed="false">
      <c r="A138" s="23"/>
      <c r="B138" s="24"/>
      <c r="C138" s="24"/>
      <c r="D138" s="24"/>
      <c r="E138" s="24"/>
      <c r="F138" s="25"/>
      <c r="G138" s="30" t="str">
        <f aca="false">CVSSv3!$A$7</f>
        <v>Interacción del usuario:</v>
      </c>
      <c r="H138" s="31" t="s">
        <v>711</v>
      </c>
      <c r="I138" s="28"/>
      <c r="J138" s="23"/>
      <c r="K138" s="23"/>
      <c r="L138" s="24"/>
      <c r="M138" s="24"/>
      <c r="N138" s="24"/>
      <c r="O138" s="24"/>
    </row>
    <row r="139" customFormat="false" ht="15.75" hidden="false" customHeight="true" outlineLevel="0" collapsed="false">
      <c r="A139" s="23"/>
      <c r="B139" s="24"/>
      <c r="C139" s="24"/>
      <c r="D139" s="24"/>
      <c r="E139" s="24"/>
      <c r="F139" s="25"/>
      <c r="G139" s="30" t="str">
        <f aca="false">CVSSv3!$A$8</f>
        <v>Alcance:</v>
      </c>
      <c r="H139" s="31" t="s">
        <v>712</v>
      </c>
      <c r="I139" s="28"/>
      <c r="J139" s="23"/>
      <c r="K139" s="23"/>
      <c r="L139" s="24"/>
      <c r="M139" s="24"/>
      <c r="N139" s="24"/>
      <c r="O139" s="24"/>
    </row>
    <row r="140" customFormat="false" ht="15.75" hidden="false" customHeight="true" outlineLevel="0" collapsed="false">
      <c r="A140" s="23"/>
      <c r="B140" s="24"/>
      <c r="C140" s="24"/>
      <c r="D140" s="24"/>
      <c r="E140" s="24"/>
      <c r="F140" s="25"/>
      <c r="G140" s="30" t="str">
        <f aca="false">CVSSv3!$A$9</f>
        <v>Impacto a la confidencialidad:</v>
      </c>
      <c r="H140" s="31" t="s">
        <v>713</v>
      </c>
      <c r="I140" s="28"/>
      <c r="J140" s="23"/>
      <c r="K140" s="23"/>
      <c r="L140" s="24"/>
      <c r="M140" s="24"/>
      <c r="N140" s="24"/>
      <c r="O140" s="24"/>
    </row>
    <row r="141" customFormat="false" ht="15.75" hidden="false" customHeight="true" outlineLevel="0" collapsed="false">
      <c r="A141" s="23"/>
      <c r="B141" s="24"/>
      <c r="C141" s="24"/>
      <c r="D141" s="24"/>
      <c r="E141" s="24"/>
      <c r="F141" s="25"/>
      <c r="G141" s="30" t="str">
        <f aca="false">CVSSv3!$A$10</f>
        <v>Impacto a la integridad:</v>
      </c>
      <c r="H141" s="31" t="s">
        <v>713</v>
      </c>
      <c r="I141" s="28"/>
      <c r="J141" s="23"/>
      <c r="K141" s="23"/>
      <c r="L141" s="24"/>
      <c r="M141" s="24"/>
      <c r="N141" s="24"/>
      <c r="O141" s="24"/>
    </row>
    <row r="142" customFormat="false" ht="15.75" hidden="false" customHeight="true" outlineLevel="0" collapsed="false">
      <c r="A142" s="23"/>
      <c r="B142" s="24"/>
      <c r="C142" s="24"/>
      <c r="D142" s="24"/>
      <c r="E142" s="24"/>
      <c r="F142" s="25"/>
      <c r="G142" s="30" t="str">
        <f aca="false">CVSSv3!$A$11</f>
        <v>Impacto a la disponibilidad:</v>
      </c>
      <c r="H142" s="31" t="s">
        <v>713</v>
      </c>
      <c r="I142" s="28"/>
      <c r="J142" s="23"/>
      <c r="K142" s="23"/>
      <c r="L142" s="24"/>
      <c r="M142" s="24"/>
      <c r="N142" s="24"/>
      <c r="O142" s="24"/>
    </row>
    <row r="143" customFormat="false" ht="15.75" hidden="false" customHeight="true" outlineLevel="0" collapsed="false">
      <c r="A143" s="23"/>
      <c r="B143" s="24"/>
      <c r="C143" s="24"/>
      <c r="D143" s="24"/>
      <c r="E143" s="24"/>
      <c r="F143" s="25"/>
      <c r="G143" s="30" t="str">
        <f aca="false">CVSSv3!$A$12</f>
        <v>Explotabilidad:</v>
      </c>
      <c r="H143" s="31" t="s">
        <v>709</v>
      </c>
      <c r="I143" s="28"/>
      <c r="J143" s="23"/>
      <c r="K143" s="23"/>
      <c r="L143" s="24"/>
      <c r="M143" s="24"/>
      <c r="N143" s="24"/>
      <c r="O143" s="24"/>
    </row>
    <row r="144" customFormat="false" ht="15.75" hidden="false" customHeight="true" outlineLevel="0" collapsed="false">
      <c r="A144" s="23"/>
      <c r="B144" s="24"/>
      <c r="C144" s="24"/>
      <c r="D144" s="24"/>
      <c r="E144" s="24"/>
      <c r="F144" s="25"/>
      <c r="G144" s="30" t="str">
        <f aca="false">CVSSv3!$A$13</f>
        <v>Nivel de resolución:</v>
      </c>
      <c r="H144" s="31" t="s">
        <v>714</v>
      </c>
      <c r="I144" s="28"/>
      <c r="J144" s="23"/>
      <c r="K144" s="23"/>
      <c r="L144" s="24"/>
      <c r="M144" s="24"/>
      <c r="N144" s="24"/>
      <c r="O144" s="24"/>
    </row>
    <row r="145" customFormat="false" ht="15.75" hidden="false" customHeight="true" outlineLevel="0" collapsed="false">
      <c r="A145" s="23"/>
      <c r="B145" s="24"/>
      <c r="C145" s="24"/>
      <c r="D145" s="24"/>
      <c r="E145" s="24"/>
      <c r="F145" s="25"/>
      <c r="G145" s="30" t="str">
        <f aca="false">CVSSv3!$A$14</f>
        <v>Nivel de confianza</v>
      </c>
      <c r="H145" s="31" t="s">
        <v>715</v>
      </c>
      <c r="I145" s="28"/>
      <c r="J145" s="23"/>
      <c r="K145" s="23"/>
      <c r="L145" s="24"/>
      <c r="M145" s="24"/>
      <c r="N145" s="24"/>
      <c r="O145" s="24"/>
    </row>
    <row r="146" customFormat="false" ht="15.75" hidden="false" customHeight="true" outlineLevel="0" collapsed="false">
      <c r="A146" s="23"/>
      <c r="B146" s="24"/>
      <c r="C146" s="24"/>
      <c r="D146" s="24"/>
      <c r="E146" s="24"/>
      <c r="F146" s="25"/>
      <c r="G146" s="32" t="str">
        <f aca="false">"("&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32"/>
      <c r="I146" s="28"/>
      <c r="J146" s="23"/>
      <c r="K146" s="23"/>
      <c r="L146" s="24"/>
      <c r="M146" s="24"/>
      <c r="N146" s="24"/>
      <c r="O146" s="24"/>
    </row>
    <row r="147" customFormat="false" ht="15.75" hidden="false" customHeight="true" outlineLevel="0" collapsed="false">
      <c r="A147" s="23" t="n">
        <v>13</v>
      </c>
      <c r="B147" s="24" t="s">
        <v>727</v>
      </c>
      <c r="C147" s="24" t="s">
        <v>17</v>
      </c>
      <c r="D147" s="24" t="s">
        <v>17</v>
      </c>
      <c r="E147" s="24" t="s">
        <v>17</v>
      </c>
      <c r="F14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7" s="26" t="str">
        <f aca="false">CVSSv3!$A$4</f>
        <v>Vector de ataque:</v>
      </c>
      <c r="H147" s="27" t="s">
        <v>706</v>
      </c>
      <c r="I147" s="28" t="n">
        <f aca="false">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23" t="n">
        <v>0</v>
      </c>
      <c r="K147" s="23" t="n">
        <v>0</v>
      </c>
      <c r="L147" s="24" t="s">
        <v>17</v>
      </c>
      <c r="M147" s="24" t="s">
        <v>17</v>
      </c>
      <c r="N147" s="24" t="s">
        <v>707</v>
      </c>
      <c r="O147" s="24" t="s">
        <v>708</v>
      </c>
    </row>
    <row r="148" customFormat="false" ht="15.75" hidden="false" customHeight="true" outlineLevel="0" collapsed="false">
      <c r="A148" s="23"/>
      <c r="B148" s="24"/>
      <c r="C148" s="24"/>
      <c r="D148" s="24"/>
      <c r="E148" s="24"/>
      <c r="F148" s="25"/>
      <c r="G148" s="30" t="str">
        <f aca="false">CVSSv3!$A$5</f>
        <v>Complejidad de ataque:</v>
      </c>
      <c r="H148" s="31" t="s">
        <v>709</v>
      </c>
      <c r="I148" s="28"/>
      <c r="J148" s="23"/>
      <c r="K148" s="23"/>
      <c r="L148" s="24"/>
      <c r="M148" s="24"/>
      <c r="N148" s="24"/>
      <c r="O148" s="24"/>
    </row>
    <row r="149" customFormat="false" ht="15.75" hidden="false" customHeight="true" outlineLevel="0" collapsed="false">
      <c r="A149" s="23"/>
      <c r="B149" s="24"/>
      <c r="C149" s="24"/>
      <c r="D149" s="24"/>
      <c r="E149" s="24"/>
      <c r="F149" s="25"/>
      <c r="G149" s="30" t="str">
        <f aca="false">CVSSv3!$A$6</f>
        <v>Privilegios requeridos:</v>
      </c>
      <c r="H149" s="31" t="s">
        <v>710</v>
      </c>
      <c r="I149" s="28"/>
      <c r="J149" s="23"/>
      <c r="K149" s="23"/>
      <c r="L149" s="24"/>
      <c r="M149" s="24"/>
      <c r="N149" s="24"/>
      <c r="O149" s="24"/>
    </row>
    <row r="150" customFormat="false" ht="15.75" hidden="false" customHeight="true" outlineLevel="0" collapsed="false">
      <c r="A150" s="23"/>
      <c r="B150" s="24"/>
      <c r="C150" s="24"/>
      <c r="D150" s="24"/>
      <c r="E150" s="24"/>
      <c r="F150" s="25"/>
      <c r="G150" s="30" t="str">
        <f aca="false">CVSSv3!$A$7</f>
        <v>Interacción del usuario:</v>
      </c>
      <c r="H150" s="31" t="s">
        <v>711</v>
      </c>
      <c r="I150" s="28"/>
      <c r="J150" s="23"/>
      <c r="K150" s="23"/>
      <c r="L150" s="24"/>
      <c r="M150" s="24"/>
      <c r="N150" s="24"/>
      <c r="O150" s="24"/>
    </row>
    <row r="151" customFormat="false" ht="15.75" hidden="false" customHeight="true" outlineLevel="0" collapsed="false">
      <c r="A151" s="23"/>
      <c r="B151" s="24"/>
      <c r="C151" s="24"/>
      <c r="D151" s="24"/>
      <c r="E151" s="24"/>
      <c r="F151" s="25"/>
      <c r="G151" s="30" t="str">
        <f aca="false">CVSSv3!$A$8</f>
        <v>Alcance:</v>
      </c>
      <c r="H151" s="31" t="s">
        <v>712</v>
      </c>
      <c r="I151" s="28"/>
      <c r="J151" s="23"/>
      <c r="K151" s="23"/>
      <c r="L151" s="24"/>
      <c r="M151" s="24"/>
      <c r="N151" s="24"/>
      <c r="O151" s="24"/>
    </row>
    <row r="152" customFormat="false" ht="15.75" hidden="false" customHeight="true" outlineLevel="0" collapsed="false">
      <c r="A152" s="23"/>
      <c r="B152" s="24"/>
      <c r="C152" s="24"/>
      <c r="D152" s="24"/>
      <c r="E152" s="24"/>
      <c r="F152" s="25"/>
      <c r="G152" s="30" t="str">
        <f aca="false">CVSSv3!$A$9</f>
        <v>Impacto a la confidencialidad:</v>
      </c>
      <c r="H152" s="31" t="s">
        <v>713</v>
      </c>
      <c r="I152" s="28"/>
      <c r="J152" s="23"/>
      <c r="K152" s="23"/>
      <c r="L152" s="24"/>
      <c r="M152" s="24"/>
      <c r="N152" s="24"/>
      <c r="O152" s="24"/>
    </row>
    <row r="153" customFormat="false" ht="15.75" hidden="false" customHeight="true" outlineLevel="0" collapsed="false">
      <c r="A153" s="23"/>
      <c r="B153" s="24"/>
      <c r="C153" s="24"/>
      <c r="D153" s="24"/>
      <c r="E153" s="24"/>
      <c r="F153" s="25"/>
      <c r="G153" s="30" t="str">
        <f aca="false">CVSSv3!$A$10</f>
        <v>Impacto a la integridad:</v>
      </c>
      <c r="H153" s="31" t="s">
        <v>713</v>
      </c>
      <c r="I153" s="28"/>
      <c r="J153" s="23"/>
      <c r="K153" s="23"/>
      <c r="L153" s="24"/>
      <c r="M153" s="24"/>
      <c r="N153" s="24"/>
      <c r="O153" s="24"/>
    </row>
    <row r="154" customFormat="false" ht="15.75" hidden="false" customHeight="true" outlineLevel="0" collapsed="false">
      <c r="A154" s="23"/>
      <c r="B154" s="24"/>
      <c r="C154" s="24"/>
      <c r="D154" s="24"/>
      <c r="E154" s="24"/>
      <c r="F154" s="25"/>
      <c r="G154" s="30" t="str">
        <f aca="false">CVSSv3!$A$11</f>
        <v>Impacto a la disponibilidad:</v>
      </c>
      <c r="H154" s="31" t="s">
        <v>713</v>
      </c>
      <c r="I154" s="28"/>
      <c r="J154" s="23"/>
      <c r="K154" s="23"/>
      <c r="L154" s="24"/>
      <c r="M154" s="24"/>
      <c r="N154" s="24"/>
      <c r="O154" s="24"/>
    </row>
    <row r="155" customFormat="false" ht="15.75" hidden="false" customHeight="true" outlineLevel="0" collapsed="false">
      <c r="A155" s="23"/>
      <c r="B155" s="24"/>
      <c r="C155" s="24"/>
      <c r="D155" s="24"/>
      <c r="E155" s="24"/>
      <c r="F155" s="25"/>
      <c r="G155" s="30" t="str">
        <f aca="false">CVSSv3!$A$12</f>
        <v>Explotabilidad:</v>
      </c>
      <c r="H155" s="31" t="s">
        <v>709</v>
      </c>
      <c r="I155" s="28"/>
      <c r="J155" s="23"/>
      <c r="K155" s="23"/>
      <c r="L155" s="24"/>
      <c r="M155" s="24"/>
      <c r="N155" s="24"/>
      <c r="O155" s="24"/>
    </row>
    <row r="156" customFormat="false" ht="15.75" hidden="false" customHeight="true" outlineLevel="0" collapsed="false">
      <c r="A156" s="23"/>
      <c r="B156" s="24"/>
      <c r="C156" s="24"/>
      <c r="D156" s="24"/>
      <c r="E156" s="24"/>
      <c r="F156" s="25"/>
      <c r="G156" s="30" t="str">
        <f aca="false">CVSSv3!$A$13</f>
        <v>Nivel de resolución:</v>
      </c>
      <c r="H156" s="31" t="s">
        <v>714</v>
      </c>
      <c r="I156" s="28"/>
      <c r="J156" s="23"/>
      <c r="K156" s="23"/>
      <c r="L156" s="24"/>
      <c r="M156" s="24"/>
      <c r="N156" s="24"/>
      <c r="O156" s="24"/>
    </row>
    <row r="157" customFormat="false" ht="15.75" hidden="false" customHeight="true" outlineLevel="0" collapsed="false">
      <c r="A157" s="23"/>
      <c r="B157" s="24"/>
      <c r="C157" s="24"/>
      <c r="D157" s="24"/>
      <c r="E157" s="24"/>
      <c r="F157" s="25"/>
      <c r="G157" s="30" t="str">
        <f aca="false">CVSSv3!$A$14</f>
        <v>Nivel de confianza</v>
      </c>
      <c r="H157" s="31" t="s">
        <v>715</v>
      </c>
      <c r="I157" s="28"/>
      <c r="J157" s="23"/>
      <c r="K157" s="23"/>
      <c r="L157" s="24"/>
      <c r="M157" s="24"/>
      <c r="N157" s="24"/>
      <c r="O157" s="24"/>
    </row>
    <row r="158" customFormat="false" ht="15.75" hidden="false" customHeight="true" outlineLevel="0" collapsed="false">
      <c r="A158" s="23"/>
      <c r="B158" s="24"/>
      <c r="C158" s="24"/>
      <c r="D158" s="24"/>
      <c r="E158" s="24"/>
      <c r="F158" s="25"/>
      <c r="G158" s="32" t="str">
        <f aca="false">"("&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32"/>
      <c r="I158" s="28"/>
      <c r="J158" s="23"/>
      <c r="K158" s="23"/>
      <c r="L158" s="24"/>
      <c r="M158" s="24"/>
      <c r="N158" s="24"/>
      <c r="O158" s="24"/>
    </row>
    <row r="159" customFormat="false" ht="15.75" hidden="false" customHeight="true" outlineLevel="0" collapsed="false">
      <c r="A159" s="23" t="n">
        <v>14</v>
      </c>
      <c r="B159" s="24" t="s">
        <v>728</v>
      </c>
      <c r="C159" s="24" t="s">
        <v>17</v>
      </c>
      <c r="D159" s="24" t="s">
        <v>17</v>
      </c>
      <c r="E159" s="24" t="s">
        <v>17</v>
      </c>
      <c r="F15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9" s="26" t="str">
        <f aca="false">CVSSv3!$A$4</f>
        <v>Vector de ataque:</v>
      </c>
      <c r="H159" s="27" t="s">
        <v>706</v>
      </c>
      <c r="I159" s="28" t="n">
        <f aca="false">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23" t="n">
        <v>0</v>
      </c>
      <c r="K159" s="23" t="n">
        <v>0</v>
      </c>
      <c r="L159" s="24" t="s">
        <v>17</v>
      </c>
      <c r="M159" s="24" t="s">
        <v>17</v>
      </c>
      <c r="N159" s="24" t="s">
        <v>707</v>
      </c>
      <c r="O159" s="24" t="s">
        <v>708</v>
      </c>
    </row>
    <row r="160" customFormat="false" ht="15.75" hidden="false" customHeight="true" outlineLevel="0" collapsed="false">
      <c r="A160" s="23"/>
      <c r="B160" s="24"/>
      <c r="C160" s="24"/>
      <c r="D160" s="24"/>
      <c r="E160" s="24"/>
      <c r="F160" s="25"/>
      <c r="G160" s="30" t="str">
        <f aca="false">CVSSv3!$A$5</f>
        <v>Complejidad de ataque:</v>
      </c>
      <c r="H160" s="31" t="s">
        <v>709</v>
      </c>
      <c r="I160" s="28"/>
      <c r="J160" s="23"/>
      <c r="K160" s="23"/>
      <c r="L160" s="24"/>
      <c r="M160" s="24"/>
      <c r="N160" s="24"/>
      <c r="O160" s="24"/>
    </row>
    <row r="161" customFormat="false" ht="15.75" hidden="false" customHeight="true" outlineLevel="0" collapsed="false">
      <c r="A161" s="23"/>
      <c r="B161" s="24"/>
      <c r="C161" s="24"/>
      <c r="D161" s="24"/>
      <c r="E161" s="24"/>
      <c r="F161" s="25"/>
      <c r="G161" s="30" t="str">
        <f aca="false">CVSSv3!$A$6</f>
        <v>Privilegios requeridos:</v>
      </c>
      <c r="H161" s="31" t="s">
        <v>710</v>
      </c>
      <c r="I161" s="28"/>
      <c r="J161" s="23"/>
      <c r="K161" s="23"/>
      <c r="L161" s="24"/>
      <c r="M161" s="24"/>
      <c r="N161" s="24"/>
      <c r="O161" s="24"/>
    </row>
    <row r="162" customFormat="false" ht="15.75" hidden="false" customHeight="true" outlineLevel="0" collapsed="false">
      <c r="A162" s="23"/>
      <c r="B162" s="24"/>
      <c r="C162" s="24"/>
      <c r="D162" s="24"/>
      <c r="E162" s="24"/>
      <c r="F162" s="25"/>
      <c r="G162" s="30" t="str">
        <f aca="false">CVSSv3!$A$7</f>
        <v>Interacción del usuario:</v>
      </c>
      <c r="H162" s="31" t="s">
        <v>711</v>
      </c>
      <c r="I162" s="28"/>
      <c r="J162" s="23"/>
      <c r="K162" s="23"/>
      <c r="L162" s="24"/>
      <c r="M162" s="24"/>
      <c r="N162" s="24"/>
      <c r="O162" s="24"/>
    </row>
    <row r="163" customFormat="false" ht="15.75" hidden="false" customHeight="true" outlineLevel="0" collapsed="false">
      <c r="A163" s="23"/>
      <c r="B163" s="24"/>
      <c r="C163" s="24"/>
      <c r="D163" s="24"/>
      <c r="E163" s="24"/>
      <c r="F163" s="25"/>
      <c r="G163" s="30" t="str">
        <f aca="false">CVSSv3!$A$8</f>
        <v>Alcance:</v>
      </c>
      <c r="H163" s="31" t="s">
        <v>712</v>
      </c>
      <c r="I163" s="28"/>
      <c r="J163" s="23"/>
      <c r="K163" s="23"/>
      <c r="L163" s="24"/>
      <c r="M163" s="24"/>
      <c r="N163" s="24"/>
      <c r="O163" s="24"/>
    </row>
    <row r="164" customFormat="false" ht="15.75" hidden="false" customHeight="true" outlineLevel="0" collapsed="false">
      <c r="A164" s="23"/>
      <c r="B164" s="24"/>
      <c r="C164" s="24"/>
      <c r="D164" s="24"/>
      <c r="E164" s="24"/>
      <c r="F164" s="25"/>
      <c r="G164" s="30" t="str">
        <f aca="false">CVSSv3!$A$9</f>
        <v>Impacto a la confidencialidad:</v>
      </c>
      <c r="H164" s="31" t="s">
        <v>713</v>
      </c>
      <c r="I164" s="28"/>
      <c r="J164" s="23"/>
      <c r="K164" s="23"/>
      <c r="L164" s="24"/>
      <c r="M164" s="24"/>
      <c r="N164" s="24"/>
      <c r="O164" s="24"/>
    </row>
    <row r="165" customFormat="false" ht="15.75" hidden="false" customHeight="true" outlineLevel="0" collapsed="false">
      <c r="A165" s="23"/>
      <c r="B165" s="24"/>
      <c r="C165" s="24"/>
      <c r="D165" s="24"/>
      <c r="E165" s="24"/>
      <c r="F165" s="25"/>
      <c r="G165" s="30" t="str">
        <f aca="false">CVSSv3!$A$10</f>
        <v>Impacto a la integridad:</v>
      </c>
      <c r="H165" s="31" t="s">
        <v>713</v>
      </c>
      <c r="I165" s="28"/>
      <c r="J165" s="23"/>
      <c r="K165" s="23"/>
      <c r="L165" s="24"/>
      <c r="M165" s="24"/>
      <c r="N165" s="24"/>
      <c r="O165" s="24"/>
    </row>
    <row r="166" customFormat="false" ht="15.75" hidden="false" customHeight="true" outlineLevel="0" collapsed="false">
      <c r="A166" s="23"/>
      <c r="B166" s="24"/>
      <c r="C166" s="24"/>
      <c r="D166" s="24"/>
      <c r="E166" s="24"/>
      <c r="F166" s="25"/>
      <c r="G166" s="30" t="str">
        <f aca="false">CVSSv3!$A$11</f>
        <v>Impacto a la disponibilidad:</v>
      </c>
      <c r="H166" s="31" t="s">
        <v>713</v>
      </c>
      <c r="I166" s="28"/>
      <c r="J166" s="23"/>
      <c r="K166" s="23"/>
      <c r="L166" s="24"/>
      <c r="M166" s="24"/>
      <c r="N166" s="24"/>
      <c r="O166" s="24"/>
    </row>
    <row r="167" customFormat="false" ht="15.75" hidden="false" customHeight="true" outlineLevel="0" collapsed="false">
      <c r="A167" s="23"/>
      <c r="B167" s="24"/>
      <c r="C167" s="24"/>
      <c r="D167" s="24"/>
      <c r="E167" s="24"/>
      <c r="F167" s="25"/>
      <c r="G167" s="30" t="str">
        <f aca="false">CVSSv3!$A$12</f>
        <v>Explotabilidad:</v>
      </c>
      <c r="H167" s="31" t="s">
        <v>709</v>
      </c>
      <c r="I167" s="28"/>
      <c r="J167" s="23"/>
      <c r="K167" s="23"/>
      <c r="L167" s="24"/>
      <c r="M167" s="24"/>
      <c r="N167" s="24"/>
      <c r="O167" s="24"/>
    </row>
    <row r="168" customFormat="false" ht="15.75" hidden="false" customHeight="true" outlineLevel="0" collapsed="false">
      <c r="A168" s="23"/>
      <c r="B168" s="24"/>
      <c r="C168" s="24"/>
      <c r="D168" s="24"/>
      <c r="E168" s="24"/>
      <c r="F168" s="25"/>
      <c r="G168" s="30" t="str">
        <f aca="false">CVSSv3!$A$13</f>
        <v>Nivel de resolución:</v>
      </c>
      <c r="H168" s="31" t="s">
        <v>714</v>
      </c>
      <c r="I168" s="28"/>
      <c r="J168" s="23"/>
      <c r="K168" s="23"/>
      <c r="L168" s="24"/>
      <c r="M168" s="24"/>
      <c r="N168" s="24"/>
      <c r="O168" s="24"/>
    </row>
    <row r="169" customFormat="false" ht="15.75" hidden="false" customHeight="true" outlineLevel="0" collapsed="false">
      <c r="A169" s="23"/>
      <c r="B169" s="24"/>
      <c r="C169" s="24"/>
      <c r="D169" s="24"/>
      <c r="E169" s="24"/>
      <c r="F169" s="25"/>
      <c r="G169" s="30" t="str">
        <f aca="false">CVSSv3!$A$14</f>
        <v>Nivel de confianza</v>
      </c>
      <c r="H169" s="31" t="s">
        <v>715</v>
      </c>
      <c r="I169" s="28"/>
      <c r="J169" s="23"/>
      <c r="K169" s="23"/>
      <c r="L169" s="24"/>
      <c r="M169" s="24"/>
      <c r="N169" s="24"/>
      <c r="O169" s="24"/>
    </row>
    <row r="170" customFormat="false" ht="15.75" hidden="false" customHeight="true" outlineLevel="0" collapsed="false">
      <c r="A170" s="23"/>
      <c r="B170" s="24"/>
      <c r="C170" s="24"/>
      <c r="D170" s="24"/>
      <c r="E170" s="24"/>
      <c r="F170" s="25"/>
      <c r="G170" s="32" t="str">
        <f aca="false">"("&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32"/>
      <c r="I170" s="28"/>
      <c r="J170" s="23"/>
      <c r="K170" s="23"/>
      <c r="L170" s="24"/>
      <c r="M170" s="24"/>
      <c r="N170" s="24"/>
      <c r="O170" s="24"/>
    </row>
    <row r="171" customFormat="false" ht="15.75" hidden="false" customHeight="true" outlineLevel="0" collapsed="false">
      <c r="A171" s="23" t="n">
        <v>15</v>
      </c>
      <c r="B171" s="24" t="s">
        <v>729</v>
      </c>
      <c r="C171" s="24" t="s">
        <v>17</v>
      </c>
      <c r="D171" s="24" t="s">
        <v>17</v>
      </c>
      <c r="E171" s="24" t="s">
        <v>17</v>
      </c>
      <c r="F17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1" s="26" t="str">
        <f aca="false">CVSSv3!$A$4</f>
        <v>Vector de ataque:</v>
      </c>
      <c r="H171" s="27" t="s">
        <v>706</v>
      </c>
      <c r="I171" s="28" t="n">
        <f aca="false">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23" t="n">
        <v>0</v>
      </c>
      <c r="K171" s="23" t="n">
        <v>0</v>
      </c>
      <c r="L171" s="24" t="s">
        <v>17</v>
      </c>
      <c r="M171" s="24" t="s">
        <v>17</v>
      </c>
      <c r="N171" s="24" t="s">
        <v>707</v>
      </c>
      <c r="O171" s="24" t="s">
        <v>708</v>
      </c>
    </row>
    <row r="172" customFormat="false" ht="15.75" hidden="false" customHeight="true" outlineLevel="0" collapsed="false">
      <c r="A172" s="23"/>
      <c r="B172" s="24"/>
      <c r="C172" s="24"/>
      <c r="D172" s="24"/>
      <c r="E172" s="24"/>
      <c r="F172" s="25"/>
      <c r="G172" s="30" t="str">
        <f aca="false">CVSSv3!$A$5</f>
        <v>Complejidad de ataque:</v>
      </c>
      <c r="H172" s="31" t="s">
        <v>709</v>
      </c>
      <c r="I172" s="28"/>
      <c r="J172" s="23"/>
      <c r="K172" s="23"/>
      <c r="L172" s="24"/>
      <c r="M172" s="24"/>
      <c r="N172" s="24"/>
      <c r="O172" s="24"/>
    </row>
    <row r="173" customFormat="false" ht="15.75" hidden="false" customHeight="true" outlineLevel="0" collapsed="false">
      <c r="A173" s="23"/>
      <c r="B173" s="24"/>
      <c r="C173" s="24"/>
      <c r="D173" s="24"/>
      <c r="E173" s="24"/>
      <c r="F173" s="25"/>
      <c r="G173" s="30" t="str">
        <f aca="false">CVSSv3!$A$6</f>
        <v>Privilegios requeridos:</v>
      </c>
      <c r="H173" s="31" t="s">
        <v>710</v>
      </c>
      <c r="I173" s="28"/>
      <c r="J173" s="23"/>
      <c r="K173" s="23"/>
      <c r="L173" s="24"/>
      <c r="M173" s="24"/>
      <c r="N173" s="24"/>
      <c r="O173" s="24"/>
    </row>
    <row r="174" customFormat="false" ht="15.75" hidden="false" customHeight="true" outlineLevel="0" collapsed="false">
      <c r="A174" s="23"/>
      <c r="B174" s="24"/>
      <c r="C174" s="24"/>
      <c r="D174" s="24"/>
      <c r="E174" s="24"/>
      <c r="F174" s="25"/>
      <c r="G174" s="30" t="str">
        <f aca="false">CVSSv3!$A$7</f>
        <v>Interacción del usuario:</v>
      </c>
      <c r="H174" s="31" t="s">
        <v>711</v>
      </c>
      <c r="I174" s="28"/>
      <c r="J174" s="23"/>
      <c r="K174" s="23"/>
      <c r="L174" s="24"/>
      <c r="M174" s="24"/>
      <c r="N174" s="24"/>
      <c r="O174" s="24"/>
    </row>
    <row r="175" customFormat="false" ht="15.75" hidden="false" customHeight="true" outlineLevel="0" collapsed="false">
      <c r="A175" s="23"/>
      <c r="B175" s="24"/>
      <c r="C175" s="24"/>
      <c r="D175" s="24"/>
      <c r="E175" s="24"/>
      <c r="F175" s="25"/>
      <c r="G175" s="30" t="str">
        <f aca="false">CVSSv3!$A$8</f>
        <v>Alcance:</v>
      </c>
      <c r="H175" s="31" t="s">
        <v>712</v>
      </c>
      <c r="I175" s="28"/>
      <c r="J175" s="23"/>
      <c r="K175" s="23"/>
      <c r="L175" s="24"/>
      <c r="M175" s="24"/>
      <c r="N175" s="24"/>
      <c r="O175" s="24"/>
    </row>
    <row r="176" customFormat="false" ht="15.75" hidden="false" customHeight="true" outlineLevel="0" collapsed="false">
      <c r="A176" s="23"/>
      <c r="B176" s="24"/>
      <c r="C176" s="24"/>
      <c r="D176" s="24"/>
      <c r="E176" s="24"/>
      <c r="F176" s="25"/>
      <c r="G176" s="30" t="str">
        <f aca="false">CVSSv3!$A$9</f>
        <v>Impacto a la confidencialidad:</v>
      </c>
      <c r="H176" s="31" t="s">
        <v>713</v>
      </c>
      <c r="I176" s="28"/>
      <c r="J176" s="23"/>
      <c r="K176" s="23"/>
      <c r="L176" s="24"/>
      <c r="M176" s="24"/>
      <c r="N176" s="24"/>
      <c r="O176" s="24"/>
    </row>
    <row r="177" customFormat="false" ht="15.75" hidden="false" customHeight="true" outlineLevel="0" collapsed="false">
      <c r="A177" s="23"/>
      <c r="B177" s="24"/>
      <c r="C177" s="24"/>
      <c r="D177" s="24"/>
      <c r="E177" s="24"/>
      <c r="F177" s="25"/>
      <c r="G177" s="30" t="str">
        <f aca="false">CVSSv3!$A$10</f>
        <v>Impacto a la integridad:</v>
      </c>
      <c r="H177" s="31" t="s">
        <v>713</v>
      </c>
      <c r="I177" s="28"/>
      <c r="J177" s="23"/>
      <c r="K177" s="23"/>
      <c r="L177" s="24"/>
      <c r="M177" s="24"/>
      <c r="N177" s="24"/>
      <c r="O177" s="24"/>
    </row>
    <row r="178" customFormat="false" ht="15.75" hidden="false" customHeight="true" outlineLevel="0" collapsed="false">
      <c r="A178" s="23"/>
      <c r="B178" s="24"/>
      <c r="C178" s="24"/>
      <c r="D178" s="24"/>
      <c r="E178" s="24"/>
      <c r="F178" s="25"/>
      <c r="G178" s="30" t="str">
        <f aca="false">CVSSv3!$A$11</f>
        <v>Impacto a la disponibilidad:</v>
      </c>
      <c r="H178" s="31" t="s">
        <v>713</v>
      </c>
      <c r="I178" s="28"/>
      <c r="J178" s="23"/>
      <c r="K178" s="23"/>
      <c r="L178" s="24"/>
      <c r="M178" s="24"/>
      <c r="N178" s="24"/>
      <c r="O178" s="24"/>
    </row>
    <row r="179" customFormat="false" ht="15.75" hidden="false" customHeight="true" outlineLevel="0" collapsed="false">
      <c r="A179" s="23"/>
      <c r="B179" s="24"/>
      <c r="C179" s="24"/>
      <c r="D179" s="24"/>
      <c r="E179" s="24"/>
      <c r="F179" s="25"/>
      <c r="G179" s="30" t="str">
        <f aca="false">CVSSv3!$A$12</f>
        <v>Explotabilidad:</v>
      </c>
      <c r="H179" s="31" t="s">
        <v>709</v>
      </c>
      <c r="I179" s="28"/>
      <c r="J179" s="23"/>
      <c r="K179" s="23"/>
      <c r="L179" s="24"/>
      <c r="M179" s="24"/>
      <c r="N179" s="24"/>
      <c r="O179" s="24"/>
    </row>
    <row r="180" customFormat="false" ht="15.75" hidden="false" customHeight="true" outlineLevel="0" collapsed="false">
      <c r="A180" s="23"/>
      <c r="B180" s="24"/>
      <c r="C180" s="24"/>
      <c r="D180" s="24"/>
      <c r="E180" s="24"/>
      <c r="F180" s="25"/>
      <c r="G180" s="30" t="str">
        <f aca="false">CVSSv3!$A$13</f>
        <v>Nivel de resolución:</v>
      </c>
      <c r="H180" s="31" t="s">
        <v>714</v>
      </c>
      <c r="I180" s="28"/>
      <c r="J180" s="23"/>
      <c r="K180" s="23"/>
      <c r="L180" s="24"/>
      <c r="M180" s="24"/>
      <c r="N180" s="24"/>
      <c r="O180" s="24"/>
    </row>
    <row r="181" customFormat="false" ht="15.75" hidden="false" customHeight="true" outlineLevel="0" collapsed="false">
      <c r="A181" s="23"/>
      <c r="B181" s="24"/>
      <c r="C181" s="24"/>
      <c r="D181" s="24"/>
      <c r="E181" s="24"/>
      <c r="F181" s="25"/>
      <c r="G181" s="30" t="str">
        <f aca="false">CVSSv3!$A$14</f>
        <v>Nivel de confianza</v>
      </c>
      <c r="H181" s="31" t="s">
        <v>715</v>
      </c>
      <c r="I181" s="28"/>
      <c r="J181" s="23"/>
      <c r="K181" s="23"/>
      <c r="L181" s="24"/>
      <c r="M181" s="24"/>
      <c r="N181" s="24"/>
      <c r="O181" s="24"/>
    </row>
    <row r="182" customFormat="false" ht="15.75" hidden="false" customHeight="true" outlineLevel="0" collapsed="false">
      <c r="A182" s="23"/>
      <c r="B182" s="24"/>
      <c r="C182" s="24"/>
      <c r="D182" s="24"/>
      <c r="E182" s="24"/>
      <c r="F182" s="25"/>
      <c r="G182" s="32" t="str">
        <f aca="false">"("&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32"/>
      <c r="I182" s="28"/>
      <c r="J182" s="23"/>
      <c r="K182" s="23"/>
      <c r="L182" s="24"/>
      <c r="M182" s="24"/>
      <c r="N182" s="24"/>
      <c r="O182" s="24"/>
    </row>
    <row r="183" customFormat="false" ht="15.75" hidden="false" customHeight="true" outlineLevel="0" collapsed="false">
      <c r="A183" s="23" t="n">
        <v>16</v>
      </c>
      <c r="B183" s="24" t="s">
        <v>730</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6" t="str">
        <f aca="false">CVSSv3!$A$4</f>
        <v>Vector de ataque:</v>
      </c>
      <c r="H183" s="27" t="s">
        <v>706</v>
      </c>
      <c r="I183" s="28" t="n">
        <f aca="false">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23" t="n">
        <v>0</v>
      </c>
      <c r="K183" s="23" t="n">
        <v>0</v>
      </c>
      <c r="L183" s="24" t="s">
        <v>17</v>
      </c>
      <c r="M183" s="24" t="s">
        <v>17</v>
      </c>
      <c r="N183" s="24" t="s">
        <v>707</v>
      </c>
      <c r="O183" s="24" t="s">
        <v>708</v>
      </c>
    </row>
    <row r="184" customFormat="false" ht="15.75" hidden="false" customHeight="true" outlineLevel="0" collapsed="false">
      <c r="A184" s="23"/>
      <c r="B184" s="24"/>
      <c r="C184" s="24"/>
      <c r="D184" s="24"/>
      <c r="E184" s="24"/>
      <c r="F184" s="25"/>
      <c r="G184" s="30" t="str">
        <f aca="false">CVSSv3!$A$5</f>
        <v>Complejidad de ataque:</v>
      </c>
      <c r="H184" s="31" t="s">
        <v>709</v>
      </c>
      <c r="I184" s="28"/>
      <c r="J184" s="23"/>
      <c r="K184" s="23"/>
      <c r="L184" s="24"/>
      <c r="M184" s="24"/>
      <c r="N184" s="24"/>
      <c r="O184" s="24"/>
    </row>
    <row r="185" customFormat="false" ht="15.75" hidden="false" customHeight="true" outlineLevel="0" collapsed="false">
      <c r="A185" s="23"/>
      <c r="B185" s="24"/>
      <c r="C185" s="24"/>
      <c r="D185" s="24"/>
      <c r="E185" s="24"/>
      <c r="F185" s="25"/>
      <c r="G185" s="30" t="str">
        <f aca="false">CVSSv3!$A$6</f>
        <v>Privilegios requeridos:</v>
      </c>
      <c r="H185" s="31" t="s">
        <v>710</v>
      </c>
      <c r="I185" s="28"/>
      <c r="J185" s="23"/>
      <c r="K185" s="23"/>
      <c r="L185" s="24"/>
      <c r="M185" s="24"/>
      <c r="N185" s="24"/>
      <c r="O185" s="24"/>
    </row>
    <row r="186" customFormat="false" ht="15.75" hidden="false" customHeight="true" outlineLevel="0" collapsed="false">
      <c r="A186" s="23"/>
      <c r="B186" s="24"/>
      <c r="C186" s="24"/>
      <c r="D186" s="24"/>
      <c r="E186" s="24"/>
      <c r="F186" s="25"/>
      <c r="G186" s="30" t="str">
        <f aca="false">CVSSv3!$A$7</f>
        <v>Interacción del usuario:</v>
      </c>
      <c r="H186" s="31" t="s">
        <v>711</v>
      </c>
      <c r="I186" s="28"/>
      <c r="J186" s="23"/>
      <c r="K186" s="23"/>
      <c r="L186" s="24"/>
      <c r="M186" s="24"/>
      <c r="N186" s="24"/>
      <c r="O186" s="24"/>
    </row>
    <row r="187" customFormat="false" ht="15.75" hidden="false" customHeight="true" outlineLevel="0" collapsed="false">
      <c r="A187" s="23"/>
      <c r="B187" s="24"/>
      <c r="C187" s="24"/>
      <c r="D187" s="24"/>
      <c r="E187" s="24"/>
      <c r="F187" s="25"/>
      <c r="G187" s="30" t="str">
        <f aca="false">CVSSv3!$A$8</f>
        <v>Alcance:</v>
      </c>
      <c r="H187" s="31" t="s">
        <v>712</v>
      </c>
      <c r="I187" s="28"/>
      <c r="J187" s="23"/>
      <c r="K187" s="23"/>
      <c r="L187" s="24"/>
      <c r="M187" s="24"/>
      <c r="N187" s="24"/>
      <c r="O187" s="24"/>
    </row>
    <row r="188" customFormat="false" ht="15.75" hidden="false" customHeight="true" outlineLevel="0" collapsed="false">
      <c r="A188" s="23"/>
      <c r="B188" s="24"/>
      <c r="C188" s="24"/>
      <c r="D188" s="24"/>
      <c r="E188" s="24"/>
      <c r="F188" s="25"/>
      <c r="G188" s="30" t="str">
        <f aca="false">CVSSv3!$A$9</f>
        <v>Impacto a la confidencialidad:</v>
      </c>
      <c r="H188" s="31" t="s">
        <v>713</v>
      </c>
      <c r="I188" s="28"/>
      <c r="J188" s="23"/>
      <c r="K188" s="23"/>
      <c r="L188" s="24"/>
      <c r="M188" s="24"/>
      <c r="N188" s="24"/>
      <c r="O188" s="24"/>
    </row>
    <row r="189" customFormat="false" ht="15.75" hidden="false" customHeight="true" outlineLevel="0" collapsed="false">
      <c r="A189" s="23"/>
      <c r="B189" s="24"/>
      <c r="C189" s="24"/>
      <c r="D189" s="24"/>
      <c r="E189" s="24"/>
      <c r="F189" s="25"/>
      <c r="G189" s="30" t="str">
        <f aca="false">CVSSv3!$A$10</f>
        <v>Impacto a la integridad:</v>
      </c>
      <c r="H189" s="31" t="s">
        <v>713</v>
      </c>
      <c r="I189" s="28"/>
      <c r="J189" s="23"/>
      <c r="K189" s="23"/>
      <c r="L189" s="24"/>
      <c r="M189" s="24"/>
      <c r="N189" s="24"/>
      <c r="O189" s="24"/>
    </row>
    <row r="190" customFormat="false" ht="15.75" hidden="false" customHeight="true" outlineLevel="0" collapsed="false">
      <c r="A190" s="23"/>
      <c r="B190" s="24"/>
      <c r="C190" s="24"/>
      <c r="D190" s="24"/>
      <c r="E190" s="24"/>
      <c r="F190" s="25"/>
      <c r="G190" s="30" t="str">
        <f aca="false">CVSSv3!$A$11</f>
        <v>Impacto a la disponibilidad:</v>
      </c>
      <c r="H190" s="31" t="s">
        <v>713</v>
      </c>
      <c r="I190" s="28"/>
      <c r="J190" s="23"/>
      <c r="K190" s="23"/>
      <c r="L190" s="24"/>
      <c r="M190" s="24"/>
      <c r="N190" s="24"/>
      <c r="O190" s="24"/>
    </row>
    <row r="191" customFormat="false" ht="15.75" hidden="false" customHeight="true" outlineLevel="0" collapsed="false">
      <c r="A191" s="23"/>
      <c r="B191" s="24"/>
      <c r="C191" s="24"/>
      <c r="D191" s="24"/>
      <c r="E191" s="24"/>
      <c r="F191" s="25"/>
      <c r="G191" s="30" t="str">
        <f aca="false">CVSSv3!$A$12</f>
        <v>Explotabilidad:</v>
      </c>
      <c r="H191" s="31" t="s">
        <v>709</v>
      </c>
      <c r="I191" s="28"/>
      <c r="J191" s="23"/>
      <c r="K191" s="23"/>
      <c r="L191" s="24"/>
      <c r="M191" s="24"/>
      <c r="N191" s="24"/>
      <c r="O191" s="24"/>
    </row>
    <row r="192" customFormat="false" ht="15.75" hidden="false" customHeight="true" outlineLevel="0" collapsed="false">
      <c r="A192" s="23"/>
      <c r="B192" s="24"/>
      <c r="C192" s="24"/>
      <c r="D192" s="24"/>
      <c r="E192" s="24"/>
      <c r="F192" s="25"/>
      <c r="G192" s="30" t="str">
        <f aca="false">CVSSv3!$A$13</f>
        <v>Nivel de resolución:</v>
      </c>
      <c r="H192" s="31" t="s">
        <v>714</v>
      </c>
      <c r="I192" s="28"/>
      <c r="J192" s="23"/>
      <c r="K192" s="23"/>
      <c r="L192" s="24"/>
      <c r="M192" s="24"/>
      <c r="N192" s="24"/>
      <c r="O192" s="24"/>
    </row>
    <row r="193" customFormat="false" ht="15.75" hidden="false" customHeight="true" outlineLevel="0" collapsed="false">
      <c r="A193" s="23"/>
      <c r="B193" s="24"/>
      <c r="C193" s="24"/>
      <c r="D193" s="24"/>
      <c r="E193" s="24"/>
      <c r="F193" s="25"/>
      <c r="G193" s="30" t="str">
        <f aca="false">CVSSv3!$A$14</f>
        <v>Nivel de confianza</v>
      </c>
      <c r="H193" s="31" t="s">
        <v>715</v>
      </c>
      <c r="I193" s="28"/>
      <c r="J193" s="23"/>
      <c r="K193" s="23"/>
      <c r="L193" s="24"/>
      <c r="M193" s="24"/>
      <c r="N193" s="24"/>
      <c r="O193" s="24"/>
    </row>
    <row r="194" customFormat="false" ht="15.75" hidden="false" customHeight="true" outlineLevel="0" collapsed="false">
      <c r="A194" s="23"/>
      <c r="B194" s="24"/>
      <c r="C194" s="24"/>
      <c r="D194" s="24"/>
      <c r="E194" s="24"/>
      <c r="F194" s="25"/>
      <c r="G194" s="32" t="str">
        <f aca="false">"("&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32"/>
      <c r="I194" s="28"/>
      <c r="J194" s="23"/>
      <c r="K194" s="23"/>
      <c r="L194" s="24"/>
      <c r="M194" s="24"/>
      <c r="N194" s="24"/>
      <c r="O194" s="24"/>
    </row>
    <row r="195" customFormat="false" ht="15.75" hidden="false" customHeight="true" outlineLevel="0" collapsed="false">
      <c r="A195" s="23" t="n">
        <v>17</v>
      </c>
      <c r="B195" s="24" t="s">
        <v>731</v>
      </c>
      <c r="C195" s="24" t="s">
        <v>17</v>
      </c>
      <c r="D195" s="24" t="s">
        <v>17</v>
      </c>
      <c r="E195" s="24" t="s">
        <v>17</v>
      </c>
      <c r="F19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5" s="26" t="str">
        <f aca="false">CVSSv3!$A$4</f>
        <v>Vector de ataque:</v>
      </c>
      <c r="H195" s="27" t="s">
        <v>706</v>
      </c>
      <c r="I195" s="28" t="n">
        <f aca="false">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23" t="n">
        <v>0</v>
      </c>
      <c r="K195" s="23" t="n">
        <v>0</v>
      </c>
      <c r="L195" s="24" t="s">
        <v>17</v>
      </c>
      <c r="M195" s="24" t="s">
        <v>17</v>
      </c>
      <c r="N195" s="24" t="s">
        <v>707</v>
      </c>
      <c r="O195" s="24" t="s">
        <v>708</v>
      </c>
    </row>
    <row r="196" customFormat="false" ht="15.75" hidden="false" customHeight="true" outlineLevel="0" collapsed="false">
      <c r="A196" s="23"/>
      <c r="B196" s="24"/>
      <c r="C196" s="24"/>
      <c r="D196" s="24"/>
      <c r="E196" s="24"/>
      <c r="F196" s="25"/>
      <c r="G196" s="30" t="str">
        <f aca="false">CVSSv3!$A$5</f>
        <v>Complejidad de ataque:</v>
      </c>
      <c r="H196" s="31" t="s">
        <v>709</v>
      </c>
      <c r="I196" s="28"/>
      <c r="J196" s="23"/>
      <c r="K196" s="23"/>
      <c r="L196" s="24"/>
      <c r="M196" s="24"/>
      <c r="N196" s="24"/>
      <c r="O196" s="24"/>
    </row>
    <row r="197" customFormat="false" ht="15.75" hidden="false" customHeight="true" outlineLevel="0" collapsed="false">
      <c r="A197" s="23"/>
      <c r="B197" s="24"/>
      <c r="C197" s="24"/>
      <c r="D197" s="24"/>
      <c r="E197" s="24"/>
      <c r="F197" s="25"/>
      <c r="G197" s="30" t="str">
        <f aca="false">CVSSv3!$A$6</f>
        <v>Privilegios requeridos:</v>
      </c>
      <c r="H197" s="31" t="s">
        <v>710</v>
      </c>
      <c r="I197" s="28"/>
      <c r="J197" s="23"/>
      <c r="K197" s="23"/>
      <c r="L197" s="24"/>
      <c r="M197" s="24"/>
      <c r="N197" s="24"/>
      <c r="O197" s="24"/>
    </row>
    <row r="198" customFormat="false" ht="15.75" hidden="false" customHeight="true" outlineLevel="0" collapsed="false">
      <c r="A198" s="23"/>
      <c r="B198" s="24"/>
      <c r="C198" s="24"/>
      <c r="D198" s="24"/>
      <c r="E198" s="24"/>
      <c r="F198" s="25"/>
      <c r="G198" s="30" t="str">
        <f aca="false">CVSSv3!$A$7</f>
        <v>Interacción del usuario:</v>
      </c>
      <c r="H198" s="31" t="s">
        <v>711</v>
      </c>
      <c r="I198" s="28"/>
      <c r="J198" s="23"/>
      <c r="K198" s="23"/>
      <c r="L198" s="24"/>
      <c r="M198" s="24"/>
      <c r="N198" s="24"/>
      <c r="O198" s="24"/>
    </row>
    <row r="199" customFormat="false" ht="15.75" hidden="false" customHeight="true" outlineLevel="0" collapsed="false">
      <c r="A199" s="23"/>
      <c r="B199" s="24"/>
      <c r="C199" s="24"/>
      <c r="D199" s="24"/>
      <c r="E199" s="24"/>
      <c r="F199" s="25"/>
      <c r="G199" s="30" t="str">
        <f aca="false">CVSSv3!$A$8</f>
        <v>Alcance:</v>
      </c>
      <c r="H199" s="31" t="s">
        <v>712</v>
      </c>
      <c r="I199" s="28"/>
      <c r="J199" s="23"/>
      <c r="K199" s="23"/>
      <c r="L199" s="24"/>
      <c r="M199" s="24"/>
      <c r="N199" s="24"/>
      <c r="O199" s="24"/>
    </row>
    <row r="200" customFormat="false" ht="15.75" hidden="false" customHeight="true" outlineLevel="0" collapsed="false">
      <c r="A200" s="23"/>
      <c r="B200" s="24"/>
      <c r="C200" s="24"/>
      <c r="D200" s="24"/>
      <c r="E200" s="24"/>
      <c r="F200" s="25"/>
      <c r="G200" s="30" t="str">
        <f aca="false">CVSSv3!$A$9</f>
        <v>Impacto a la confidencialidad:</v>
      </c>
      <c r="H200" s="31" t="s">
        <v>713</v>
      </c>
      <c r="I200" s="28"/>
      <c r="J200" s="23"/>
      <c r="K200" s="23"/>
      <c r="L200" s="24"/>
      <c r="M200" s="24"/>
      <c r="N200" s="24"/>
      <c r="O200" s="24"/>
    </row>
    <row r="201" customFormat="false" ht="15.75" hidden="false" customHeight="true" outlineLevel="0" collapsed="false">
      <c r="A201" s="23"/>
      <c r="B201" s="24"/>
      <c r="C201" s="24"/>
      <c r="D201" s="24"/>
      <c r="E201" s="24"/>
      <c r="F201" s="25"/>
      <c r="G201" s="30" t="str">
        <f aca="false">CVSSv3!$A$10</f>
        <v>Impacto a la integridad:</v>
      </c>
      <c r="H201" s="31" t="s">
        <v>713</v>
      </c>
      <c r="I201" s="28"/>
      <c r="J201" s="23"/>
      <c r="K201" s="23"/>
      <c r="L201" s="24"/>
      <c r="M201" s="24"/>
      <c r="N201" s="24"/>
      <c r="O201" s="24"/>
    </row>
    <row r="202" customFormat="false" ht="15.75" hidden="false" customHeight="true" outlineLevel="0" collapsed="false">
      <c r="A202" s="23"/>
      <c r="B202" s="24"/>
      <c r="C202" s="24"/>
      <c r="D202" s="24"/>
      <c r="E202" s="24"/>
      <c r="F202" s="25"/>
      <c r="G202" s="30" t="str">
        <f aca="false">CVSSv3!$A$11</f>
        <v>Impacto a la disponibilidad:</v>
      </c>
      <c r="H202" s="31" t="s">
        <v>713</v>
      </c>
      <c r="I202" s="28"/>
      <c r="J202" s="23"/>
      <c r="K202" s="23"/>
      <c r="L202" s="24"/>
      <c r="M202" s="24"/>
      <c r="N202" s="24"/>
      <c r="O202" s="24"/>
    </row>
    <row r="203" customFormat="false" ht="15.75" hidden="false" customHeight="true" outlineLevel="0" collapsed="false">
      <c r="A203" s="23"/>
      <c r="B203" s="24"/>
      <c r="C203" s="24"/>
      <c r="D203" s="24"/>
      <c r="E203" s="24"/>
      <c r="F203" s="25"/>
      <c r="G203" s="30" t="str">
        <f aca="false">CVSSv3!$A$12</f>
        <v>Explotabilidad:</v>
      </c>
      <c r="H203" s="31" t="s">
        <v>709</v>
      </c>
      <c r="I203" s="28"/>
      <c r="J203" s="23"/>
      <c r="K203" s="23"/>
      <c r="L203" s="24"/>
      <c r="M203" s="24"/>
      <c r="N203" s="24"/>
      <c r="O203" s="24"/>
    </row>
    <row r="204" customFormat="false" ht="15.75" hidden="false" customHeight="true" outlineLevel="0" collapsed="false">
      <c r="A204" s="23"/>
      <c r="B204" s="24"/>
      <c r="C204" s="24"/>
      <c r="D204" s="24"/>
      <c r="E204" s="24"/>
      <c r="F204" s="25"/>
      <c r="G204" s="30" t="str">
        <f aca="false">CVSSv3!$A$13</f>
        <v>Nivel de resolución:</v>
      </c>
      <c r="H204" s="31" t="s">
        <v>714</v>
      </c>
      <c r="I204" s="28"/>
      <c r="J204" s="23"/>
      <c r="K204" s="23"/>
      <c r="L204" s="24"/>
      <c r="M204" s="24"/>
      <c r="N204" s="24"/>
      <c r="O204" s="24"/>
    </row>
    <row r="205" customFormat="false" ht="15.75" hidden="false" customHeight="true" outlineLevel="0" collapsed="false">
      <c r="A205" s="23"/>
      <c r="B205" s="24"/>
      <c r="C205" s="24"/>
      <c r="D205" s="24"/>
      <c r="E205" s="24"/>
      <c r="F205" s="25"/>
      <c r="G205" s="30" t="str">
        <f aca="false">CVSSv3!$A$14</f>
        <v>Nivel de confianza</v>
      </c>
      <c r="H205" s="31" t="s">
        <v>715</v>
      </c>
      <c r="I205" s="28"/>
      <c r="J205" s="23"/>
      <c r="K205" s="23"/>
      <c r="L205" s="24"/>
      <c r="M205" s="24"/>
      <c r="N205" s="24"/>
      <c r="O205" s="24"/>
    </row>
    <row r="206" customFormat="false" ht="15.75" hidden="false" customHeight="true" outlineLevel="0" collapsed="false">
      <c r="A206" s="23"/>
      <c r="B206" s="24"/>
      <c r="C206" s="24"/>
      <c r="D206" s="24"/>
      <c r="E206" s="24"/>
      <c r="F206" s="25"/>
      <c r="G206" s="32" t="str">
        <f aca="false">"("&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32"/>
      <c r="I206" s="28"/>
      <c r="J206" s="23"/>
      <c r="K206" s="23"/>
      <c r="L206" s="24"/>
      <c r="M206" s="24"/>
      <c r="N206" s="24"/>
      <c r="O206" s="24"/>
    </row>
    <row r="207" customFormat="false" ht="15.75" hidden="false" customHeight="true" outlineLevel="0" collapsed="false">
      <c r="A207" s="23" t="n">
        <v>18</v>
      </c>
      <c r="B207" s="24" t="s">
        <v>732</v>
      </c>
      <c r="C207" s="24" t="s">
        <v>17</v>
      </c>
      <c r="D207" s="24" t="s">
        <v>17</v>
      </c>
      <c r="E207" s="24" t="s">
        <v>17</v>
      </c>
      <c r="F20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7" s="26" t="str">
        <f aca="false">CVSSv3!$A$4</f>
        <v>Vector de ataque:</v>
      </c>
      <c r="H207" s="27" t="s">
        <v>706</v>
      </c>
      <c r="I207" s="28" t="n">
        <f aca="false">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23" t="n">
        <v>0</v>
      </c>
      <c r="K207" s="23" t="n">
        <v>0</v>
      </c>
      <c r="L207" s="24" t="s">
        <v>17</v>
      </c>
      <c r="M207" s="24" t="s">
        <v>17</v>
      </c>
      <c r="N207" s="24" t="s">
        <v>707</v>
      </c>
      <c r="O207" s="24" t="s">
        <v>708</v>
      </c>
    </row>
    <row r="208" customFormat="false" ht="15.75" hidden="false" customHeight="true" outlineLevel="0" collapsed="false">
      <c r="A208" s="23"/>
      <c r="B208" s="24"/>
      <c r="C208" s="24"/>
      <c r="D208" s="24"/>
      <c r="E208" s="24"/>
      <c r="F208" s="25"/>
      <c r="G208" s="30" t="str">
        <f aca="false">CVSSv3!$A$5</f>
        <v>Complejidad de ataque:</v>
      </c>
      <c r="H208" s="31" t="s">
        <v>709</v>
      </c>
      <c r="I208" s="28"/>
      <c r="J208" s="23"/>
      <c r="K208" s="23"/>
      <c r="L208" s="24"/>
      <c r="M208" s="24"/>
      <c r="N208" s="24"/>
      <c r="O208" s="24"/>
    </row>
    <row r="209" customFormat="false" ht="15.75" hidden="false" customHeight="true" outlineLevel="0" collapsed="false">
      <c r="A209" s="23"/>
      <c r="B209" s="24"/>
      <c r="C209" s="24"/>
      <c r="D209" s="24"/>
      <c r="E209" s="24"/>
      <c r="F209" s="25"/>
      <c r="G209" s="30" t="str">
        <f aca="false">CVSSv3!$A$6</f>
        <v>Privilegios requeridos:</v>
      </c>
      <c r="H209" s="31" t="s">
        <v>710</v>
      </c>
      <c r="I209" s="28"/>
      <c r="J209" s="23"/>
      <c r="K209" s="23"/>
      <c r="L209" s="24"/>
      <c r="M209" s="24"/>
      <c r="N209" s="24"/>
      <c r="O209" s="24"/>
    </row>
    <row r="210" customFormat="false" ht="15.75" hidden="false" customHeight="true" outlineLevel="0" collapsed="false">
      <c r="A210" s="23"/>
      <c r="B210" s="24"/>
      <c r="C210" s="24"/>
      <c r="D210" s="24"/>
      <c r="E210" s="24"/>
      <c r="F210" s="25"/>
      <c r="G210" s="30" t="str">
        <f aca="false">CVSSv3!$A$7</f>
        <v>Interacción del usuario:</v>
      </c>
      <c r="H210" s="31" t="s">
        <v>711</v>
      </c>
      <c r="I210" s="28"/>
      <c r="J210" s="23"/>
      <c r="K210" s="23"/>
      <c r="L210" s="24"/>
      <c r="M210" s="24"/>
      <c r="N210" s="24"/>
      <c r="O210" s="24"/>
    </row>
    <row r="211" customFormat="false" ht="15.75" hidden="false" customHeight="true" outlineLevel="0" collapsed="false">
      <c r="A211" s="23"/>
      <c r="B211" s="24"/>
      <c r="C211" s="24"/>
      <c r="D211" s="24"/>
      <c r="E211" s="24"/>
      <c r="F211" s="25"/>
      <c r="G211" s="30" t="str">
        <f aca="false">CVSSv3!$A$8</f>
        <v>Alcance:</v>
      </c>
      <c r="H211" s="31" t="s">
        <v>712</v>
      </c>
      <c r="I211" s="28"/>
      <c r="J211" s="23"/>
      <c r="K211" s="23"/>
      <c r="L211" s="24"/>
      <c r="M211" s="24"/>
      <c r="N211" s="24"/>
      <c r="O211" s="24"/>
    </row>
    <row r="212" customFormat="false" ht="15.75" hidden="false" customHeight="true" outlineLevel="0" collapsed="false">
      <c r="A212" s="23"/>
      <c r="B212" s="24"/>
      <c r="C212" s="24"/>
      <c r="D212" s="24"/>
      <c r="E212" s="24"/>
      <c r="F212" s="25"/>
      <c r="G212" s="30" t="str">
        <f aca="false">CVSSv3!$A$9</f>
        <v>Impacto a la confidencialidad:</v>
      </c>
      <c r="H212" s="31" t="s">
        <v>713</v>
      </c>
      <c r="I212" s="28"/>
      <c r="J212" s="23"/>
      <c r="K212" s="23"/>
      <c r="L212" s="24"/>
      <c r="M212" s="24"/>
      <c r="N212" s="24"/>
      <c r="O212" s="24"/>
    </row>
    <row r="213" customFormat="false" ht="15.75" hidden="false" customHeight="true" outlineLevel="0" collapsed="false">
      <c r="A213" s="23"/>
      <c r="B213" s="24"/>
      <c r="C213" s="24"/>
      <c r="D213" s="24"/>
      <c r="E213" s="24"/>
      <c r="F213" s="25"/>
      <c r="G213" s="30" t="str">
        <f aca="false">CVSSv3!$A$10</f>
        <v>Impacto a la integridad:</v>
      </c>
      <c r="H213" s="31" t="s">
        <v>713</v>
      </c>
      <c r="I213" s="28"/>
      <c r="J213" s="23"/>
      <c r="K213" s="23"/>
      <c r="L213" s="24"/>
      <c r="M213" s="24"/>
      <c r="N213" s="24"/>
      <c r="O213" s="24"/>
    </row>
    <row r="214" customFormat="false" ht="15.75" hidden="false" customHeight="true" outlineLevel="0" collapsed="false">
      <c r="A214" s="23"/>
      <c r="B214" s="24"/>
      <c r="C214" s="24"/>
      <c r="D214" s="24"/>
      <c r="E214" s="24"/>
      <c r="F214" s="25"/>
      <c r="G214" s="30" t="str">
        <f aca="false">CVSSv3!$A$11</f>
        <v>Impacto a la disponibilidad:</v>
      </c>
      <c r="H214" s="31" t="s">
        <v>713</v>
      </c>
      <c r="I214" s="28"/>
      <c r="J214" s="23"/>
      <c r="K214" s="23"/>
      <c r="L214" s="24"/>
      <c r="M214" s="24"/>
      <c r="N214" s="24"/>
      <c r="O214" s="24"/>
    </row>
    <row r="215" customFormat="false" ht="15.75" hidden="false" customHeight="true" outlineLevel="0" collapsed="false">
      <c r="A215" s="23"/>
      <c r="B215" s="24"/>
      <c r="C215" s="24"/>
      <c r="D215" s="24"/>
      <c r="E215" s="24"/>
      <c r="F215" s="25"/>
      <c r="G215" s="30" t="str">
        <f aca="false">CVSSv3!$A$12</f>
        <v>Explotabilidad:</v>
      </c>
      <c r="H215" s="31" t="s">
        <v>709</v>
      </c>
      <c r="I215" s="28"/>
      <c r="J215" s="23"/>
      <c r="K215" s="23"/>
      <c r="L215" s="24"/>
      <c r="M215" s="24"/>
      <c r="N215" s="24"/>
      <c r="O215" s="24"/>
    </row>
    <row r="216" customFormat="false" ht="15.75" hidden="false" customHeight="true" outlineLevel="0" collapsed="false">
      <c r="A216" s="23"/>
      <c r="B216" s="24"/>
      <c r="C216" s="24"/>
      <c r="D216" s="24"/>
      <c r="E216" s="24"/>
      <c r="F216" s="25"/>
      <c r="G216" s="30" t="str">
        <f aca="false">CVSSv3!$A$13</f>
        <v>Nivel de resolución:</v>
      </c>
      <c r="H216" s="31" t="s">
        <v>714</v>
      </c>
      <c r="I216" s="28"/>
      <c r="J216" s="23"/>
      <c r="K216" s="23"/>
      <c r="L216" s="24"/>
      <c r="M216" s="24"/>
      <c r="N216" s="24"/>
      <c r="O216" s="24"/>
    </row>
    <row r="217" customFormat="false" ht="15.75" hidden="false" customHeight="true" outlineLevel="0" collapsed="false">
      <c r="A217" s="23"/>
      <c r="B217" s="24"/>
      <c r="C217" s="24"/>
      <c r="D217" s="24"/>
      <c r="E217" s="24"/>
      <c r="F217" s="25"/>
      <c r="G217" s="30" t="str">
        <f aca="false">CVSSv3!$A$14</f>
        <v>Nivel de confianza</v>
      </c>
      <c r="H217" s="31" t="s">
        <v>715</v>
      </c>
      <c r="I217" s="28"/>
      <c r="J217" s="23"/>
      <c r="K217" s="23"/>
      <c r="L217" s="24"/>
      <c r="M217" s="24"/>
      <c r="N217" s="24"/>
      <c r="O217" s="24"/>
    </row>
    <row r="218" customFormat="false" ht="15.75" hidden="false" customHeight="true" outlineLevel="0" collapsed="false">
      <c r="A218" s="23"/>
      <c r="B218" s="24"/>
      <c r="C218" s="24"/>
      <c r="D218" s="24"/>
      <c r="E218" s="24"/>
      <c r="F218" s="25"/>
      <c r="G218" s="32" t="str">
        <f aca="false">"("&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32"/>
      <c r="I218" s="28"/>
      <c r="J218" s="23"/>
      <c r="K218" s="23"/>
      <c r="L218" s="24"/>
      <c r="M218" s="24"/>
      <c r="N218" s="24"/>
      <c r="O218" s="24"/>
    </row>
    <row r="219" customFormat="false" ht="15.75" hidden="false" customHeight="true" outlineLevel="0" collapsed="false">
      <c r="A219" s="23" t="n">
        <v>19</v>
      </c>
      <c r="B219" s="24" t="s">
        <v>733</v>
      </c>
      <c r="C219" s="24" t="s">
        <v>17</v>
      </c>
      <c r="D219" s="24" t="s">
        <v>17</v>
      </c>
      <c r="E219" s="24" t="s">
        <v>17</v>
      </c>
      <c r="F21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9" s="26" t="str">
        <f aca="false">CVSSv3!$A$4</f>
        <v>Vector de ataque:</v>
      </c>
      <c r="H219" s="27" t="s">
        <v>706</v>
      </c>
      <c r="I219" s="28" t="n">
        <f aca="false">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23" t="n">
        <v>0</v>
      </c>
      <c r="K219" s="23" t="n">
        <v>0</v>
      </c>
      <c r="L219" s="24" t="s">
        <v>17</v>
      </c>
      <c r="M219" s="24" t="s">
        <v>17</v>
      </c>
      <c r="N219" s="24" t="s">
        <v>707</v>
      </c>
      <c r="O219" s="24" t="s">
        <v>708</v>
      </c>
    </row>
    <row r="220" customFormat="false" ht="15.75" hidden="false" customHeight="true" outlineLevel="0" collapsed="false">
      <c r="A220" s="23"/>
      <c r="B220" s="24"/>
      <c r="C220" s="24"/>
      <c r="D220" s="24"/>
      <c r="E220" s="24"/>
      <c r="F220" s="25"/>
      <c r="G220" s="30" t="str">
        <f aca="false">CVSSv3!$A$5</f>
        <v>Complejidad de ataque:</v>
      </c>
      <c r="H220" s="31" t="s">
        <v>709</v>
      </c>
      <c r="I220" s="28"/>
      <c r="J220" s="23"/>
      <c r="K220" s="23"/>
      <c r="L220" s="24"/>
      <c r="M220" s="24"/>
      <c r="N220" s="24"/>
      <c r="O220" s="24"/>
    </row>
    <row r="221" customFormat="false" ht="15.75" hidden="false" customHeight="true" outlineLevel="0" collapsed="false">
      <c r="A221" s="23"/>
      <c r="B221" s="24"/>
      <c r="C221" s="24"/>
      <c r="D221" s="24"/>
      <c r="E221" s="24"/>
      <c r="F221" s="25"/>
      <c r="G221" s="30" t="str">
        <f aca="false">CVSSv3!$A$6</f>
        <v>Privilegios requeridos:</v>
      </c>
      <c r="H221" s="31" t="s">
        <v>710</v>
      </c>
      <c r="I221" s="28"/>
      <c r="J221" s="23"/>
      <c r="K221" s="23"/>
      <c r="L221" s="24"/>
      <c r="M221" s="24"/>
      <c r="N221" s="24"/>
      <c r="O221" s="24"/>
    </row>
    <row r="222" customFormat="false" ht="15.75" hidden="false" customHeight="true" outlineLevel="0" collapsed="false">
      <c r="A222" s="23"/>
      <c r="B222" s="24"/>
      <c r="C222" s="24"/>
      <c r="D222" s="24"/>
      <c r="E222" s="24"/>
      <c r="F222" s="25"/>
      <c r="G222" s="30" t="str">
        <f aca="false">CVSSv3!$A$7</f>
        <v>Interacción del usuario:</v>
      </c>
      <c r="H222" s="31" t="s">
        <v>711</v>
      </c>
      <c r="I222" s="28"/>
      <c r="J222" s="23"/>
      <c r="K222" s="23"/>
      <c r="L222" s="24"/>
      <c r="M222" s="24"/>
      <c r="N222" s="24"/>
      <c r="O222" s="24"/>
    </row>
    <row r="223" customFormat="false" ht="15.75" hidden="false" customHeight="true" outlineLevel="0" collapsed="false">
      <c r="A223" s="23"/>
      <c r="B223" s="24"/>
      <c r="C223" s="24"/>
      <c r="D223" s="24"/>
      <c r="E223" s="24"/>
      <c r="F223" s="25"/>
      <c r="G223" s="30" t="str">
        <f aca="false">CVSSv3!$A$8</f>
        <v>Alcance:</v>
      </c>
      <c r="H223" s="31" t="s">
        <v>712</v>
      </c>
      <c r="I223" s="28"/>
      <c r="J223" s="23"/>
      <c r="K223" s="23"/>
      <c r="L223" s="24"/>
      <c r="M223" s="24"/>
      <c r="N223" s="24"/>
      <c r="O223" s="24"/>
    </row>
    <row r="224" customFormat="false" ht="15.75" hidden="false" customHeight="true" outlineLevel="0" collapsed="false">
      <c r="A224" s="23"/>
      <c r="B224" s="24"/>
      <c r="C224" s="24"/>
      <c r="D224" s="24"/>
      <c r="E224" s="24"/>
      <c r="F224" s="25"/>
      <c r="G224" s="30" t="str">
        <f aca="false">CVSSv3!$A$9</f>
        <v>Impacto a la confidencialidad:</v>
      </c>
      <c r="H224" s="31" t="s">
        <v>713</v>
      </c>
      <c r="I224" s="28"/>
      <c r="J224" s="23"/>
      <c r="K224" s="23"/>
      <c r="L224" s="24"/>
      <c r="M224" s="24"/>
      <c r="N224" s="24"/>
      <c r="O224" s="24"/>
    </row>
    <row r="225" customFormat="false" ht="15.75" hidden="false" customHeight="true" outlineLevel="0" collapsed="false">
      <c r="A225" s="23"/>
      <c r="B225" s="24"/>
      <c r="C225" s="24"/>
      <c r="D225" s="24"/>
      <c r="E225" s="24"/>
      <c r="F225" s="25"/>
      <c r="G225" s="30" t="str">
        <f aca="false">CVSSv3!$A$10</f>
        <v>Impacto a la integridad:</v>
      </c>
      <c r="H225" s="31" t="s">
        <v>713</v>
      </c>
      <c r="I225" s="28"/>
      <c r="J225" s="23"/>
      <c r="K225" s="23"/>
      <c r="L225" s="24"/>
      <c r="M225" s="24"/>
      <c r="N225" s="24"/>
      <c r="O225" s="24"/>
    </row>
    <row r="226" customFormat="false" ht="15.75" hidden="false" customHeight="true" outlineLevel="0" collapsed="false">
      <c r="A226" s="23"/>
      <c r="B226" s="24"/>
      <c r="C226" s="24"/>
      <c r="D226" s="24"/>
      <c r="E226" s="24"/>
      <c r="F226" s="25"/>
      <c r="G226" s="30" t="str">
        <f aca="false">CVSSv3!$A$11</f>
        <v>Impacto a la disponibilidad:</v>
      </c>
      <c r="H226" s="31" t="s">
        <v>713</v>
      </c>
      <c r="I226" s="28"/>
      <c r="J226" s="23"/>
      <c r="K226" s="23"/>
      <c r="L226" s="24"/>
      <c r="M226" s="24"/>
      <c r="N226" s="24"/>
      <c r="O226" s="24"/>
    </row>
    <row r="227" customFormat="false" ht="15.75" hidden="false" customHeight="true" outlineLevel="0" collapsed="false">
      <c r="A227" s="23"/>
      <c r="B227" s="24"/>
      <c r="C227" s="24"/>
      <c r="D227" s="24"/>
      <c r="E227" s="24"/>
      <c r="F227" s="25"/>
      <c r="G227" s="30" t="str">
        <f aca="false">CVSSv3!$A$12</f>
        <v>Explotabilidad:</v>
      </c>
      <c r="H227" s="31" t="s">
        <v>709</v>
      </c>
      <c r="I227" s="28"/>
      <c r="J227" s="23"/>
      <c r="K227" s="23"/>
      <c r="L227" s="24"/>
      <c r="M227" s="24"/>
      <c r="N227" s="24"/>
      <c r="O227" s="24"/>
    </row>
    <row r="228" customFormat="false" ht="15.75" hidden="false" customHeight="true" outlineLevel="0" collapsed="false">
      <c r="A228" s="23"/>
      <c r="B228" s="24"/>
      <c r="C228" s="24"/>
      <c r="D228" s="24"/>
      <c r="E228" s="24"/>
      <c r="F228" s="25"/>
      <c r="G228" s="30" t="str">
        <f aca="false">CVSSv3!$A$13</f>
        <v>Nivel de resolución:</v>
      </c>
      <c r="H228" s="31" t="s">
        <v>714</v>
      </c>
      <c r="I228" s="28"/>
      <c r="J228" s="23"/>
      <c r="K228" s="23"/>
      <c r="L228" s="24"/>
      <c r="M228" s="24"/>
      <c r="N228" s="24"/>
      <c r="O228" s="24"/>
    </row>
    <row r="229" customFormat="false" ht="15.75" hidden="false" customHeight="true" outlineLevel="0" collapsed="false">
      <c r="A229" s="23"/>
      <c r="B229" s="24"/>
      <c r="C229" s="24"/>
      <c r="D229" s="24"/>
      <c r="E229" s="24"/>
      <c r="F229" s="25"/>
      <c r="G229" s="30" t="str">
        <f aca="false">CVSSv3!$A$14</f>
        <v>Nivel de confianza</v>
      </c>
      <c r="H229" s="31" t="s">
        <v>715</v>
      </c>
      <c r="I229" s="28"/>
      <c r="J229" s="23"/>
      <c r="K229" s="23"/>
      <c r="L229" s="24"/>
      <c r="M229" s="24"/>
      <c r="N229" s="24"/>
      <c r="O229" s="24"/>
    </row>
    <row r="230" customFormat="false" ht="15.75" hidden="false" customHeight="true" outlineLevel="0" collapsed="false">
      <c r="A230" s="23"/>
      <c r="B230" s="24"/>
      <c r="C230" s="24"/>
      <c r="D230" s="24"/>
      <c r="E230" s="24"/>
      <c r="F230" s="25"/>
      <c r="G230" s="32" t="str">
        <f aca="false">"("&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32"/>
      <c r="I230" s="28"/>
      <c r="J230" s="23"/>
      <c r="K230" s="23"/>
      <c r="L230" s="24"/>
      <c r="M230" s="24"/>
      <c r="N230" s="24"/>
      <c r="O230" s="24"/>
    </row>
    <row r="231" customFormat="false" ht="15.75" hidden="false" customHeight="true" outlineLevel="0" collapsed="false">
      <c r="A231" s="23" t="n">
        <v>20</v>
      </c>
      <c r="B231" s="24" t="s">
        <v>734</v>
      </c>
      <c r="C231" s="24" t="s">
        <v>17</v>
      </c>
      <c r="D231" s="24" t="s">
        <v>17</v>
      </c>
      <c r="E231" s="24" t="s">
        <v>17</v>
      </c>
      <c r="F23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1" s="26" t="str">
        <f aca="false">CVSSv3!$A$4</f>
        <v>Vector de ataque:</v>
      </c>
      <c r="H231" s="27" t="s">
        <v>706</v>
      </c>
      <c r="I231" s="28" t="n">
        <f aca="false">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23" t="n">
        <v>0</v>
      </c>
      <c r="K231" s="23" t="n">
        <v>0</v>
      </c>
      <c r="L231" s="24" t="s">
        <v>17</v>
      </c>
      <c r="M231" s="24" t="s">
        <v>17</v>
      </c>
      <c r="N231" s="24" t="s">
        <v>707</v>
      </c>
      <c r="O231" s="24" t="s">
        <v>708</v>
      </c>
    </row>
    <row r="232" customFormat="false" ht="15.75" hidden="false" customHeight="true" outlineLevel="0" collapsed="false">
      <c r="A232" s="23"/>
      <c r="B232" s="24"/>
      <c r="C232" s="24"/>
      <c r="D232" s="24"/>
      <c r="E232" s="24"/>
      <c r="F232" s="25"/>
      <c r="G232" s="30" t="str">
        <f aca="false">CVSSv3!$A$5</f>
        <v>Complejidad de ataque:</v>
      </c>
      <c r="H232" s="31" t="s">
        <v>709</v>
      </c>
      <c r="I232" s="28"/>
      <c r="J232" s="23"/>
      <c r="K232" s="23"/>
      <c r="L232" s="24"/>
      <c r="M232" s="24"/>
      <c r="N232" s="24"/>
      <c r="O232" s="24"/>
    </row>
    <row r="233" customFormat="false" ht="15.75" hidden="false" customHeight="true" outlineLevel="0" collapsed="false">
      <c r="A233" s="23"/>
      <c r="B233" s="24"/>
      <c r="C233" s="24"/>
      <c r="D233" s="24"/>
      <c r="E233" s="24"/>
      <c r="F233" s="25"/>
      <c r="G233" s="30" t="str">
        <f aca="false">CVSSv3!$A$6</f>
        <v>Privilegios requeridos:</v>
      </c>
      <c r="H233" s="31" t="s">
        <v>710</v>
      </c>
      <c r="I233" s="28"/>
      <c r="J233" s="23"/>
      <c r="K233" s="23"/>
      <c r="L233" s="24"/>
      <c r="M233" s="24"/>
      <c r="N233" s="24"/>
      <c r="O233" s="24"/>
    </row>
    <row r="234" customFormat="false" ht="15.75" hidden="false" customHeight="true" outlineLevel="0" collapsed="false">
      <c r="A234" s="23"/>
      <c r="B234" s="24"/>
      <c r="C234" s="24"/>
      <c r="D234" s="24"/>
      <c r="E234" s="24"/>
      <c r="F234" s="25"/>
      <c r="G234" s="30" t="str">
        <f aca="false">CVSSv3!$A$7</f>
        <v>Interacción del usuario:</v>
      </c>
      <c r="H234" s="31" t="s">
        <v>711</v>
      </c>
      <c r="I234" s="28"/>
      <c r="J234" s="23"/>
      <c r="K234" s="23"/>
      <c r="L234" s="24"/>
      <c r="M234" s="24"/>
      <c r="N234" s="24"/>
      <c r="O234" s="24"/>
    </row>
    <row r="235" customFormat="false" ht="15.75" hidden="false" customHeight="true" outlineLevel="0" collapsed="false">
      <c r="A235" s="23"/>
      <c r="B235" s="24"/>
      <c r="C235" s="24"/>
      <c r="D235" s="24"/>
      <c r="E235" s="24"/>
      <c r="F235" s="25"/>
      <c r="G235" s="30" t="str">
        <f aca="false">CVSSv3!$A$8</f>
        <v>Alcance:</v>
      </c>
      <c r="H235" s="31" t="s">
        <v>712</v>
      </c>
      <c r="I235" s="28"/>
      <c r="J235" s="23"/>
      <c r="K235" s="23"/>
      <c r="L235" s="24"/>
      <c r="M235" s="24"/>
      <c r="N235" s="24"/>
      <c r="O235" s="24"/>
    </row>
    <row r="236" customFormat="false" ht="15.75" hidden="false" customHeight="true" outlineLevel="0" collapsed="false">
      <c r="A236" s="23"/>
      <c r="B236" s="24"/>
      <c r="C236" s="24"/>
      <c r="D236" s="24"/>
      <c r="E236" s="24"/>
      <c r="F236" s="25"/>
      <c r="G236" s="30" t="str">
        <f aca="false">CVSSv3!$A$9</f>
        <v>Impacto a la confidencialidad:</v>
      </c>
      <c r="H236" s="31" t="s">
        <v>713</v>
      </c>
      <c r="I236" s="28"/>
      <c r="J236" s="23"/>
      <c r="K236" s="23"/>
      <c r="L236" s="24"/>
      <c r="M236" s="24"/>
      <c r="N236" s="24"/>
      <c r="O236" s="24"/>
    </row>
    <row r="237" customFormat="false" ht="15.75" hidden="false" customHeight="true" outlineLevel="0" collapsed="false">
      <c r="A237" s="23"/>
      <c r="B237" s="24"/>
      <c r="C237" s="24"/>
      <c r="D237" s="24"/>
      <c r="E237" s="24"/>
      <c r="F237" s="25"/>
      <c r="G237" s="30" t="str">
        <f aca="false">CVSSv3!$A$10</f>
        <v>Impacto a la integridad:</v>
      </c>
      <c r="H237" s="31" t="s">
        <v>713</v>
      </c>
      <c r="I237" s="28"/>
      <c r="J237" s="23"/>
      <c r="K237" s="23"/>
      <c r="L237" s="24"/>
      <c r="M237" s="24"/>
      <c r="N237" s="24"/>
      <c r="O237" s="24"/>
    </row>
    <row r="238" customFormat="false" ht="15.75" hidden="false" customHeight="true" outlineLevel="0" collapsed="false">
      <c r="A238" s="23"/>
      <c r="B238" s="24"/>
      <c r="C238" s="24"/>
      <c r="D238" s="24"/>
      <c r="E238" s="24"/>
      <c r="F238" s="25"/>
      <c r="G238" s="30" t="str">
        <f aca="false">CVSSv3!$A$11</f>
        <v>Impacto a la disponibilidad:</v>
      </c>
      <c r="H238" s="31" t="s">
        <v>713</v>
      </c>
      <c r="I238" s="28"/>
      <c r="J238" s="23"/>
      <c r="K238" s="23"/>
      <c r="L238" s="24"/>
      <c r="M238" s="24"/>
      <c r="N238" s="24"/>
      <c r="O238" s="24"/>
    </row>
    <row r="239" customFormat="false" ht="15.75" hidden="false" customHeight="true" outlineLevel="0" collapsed="false">
      <c r="A239" s="23"/>
      <c r="B239" s="24"/>
      <c r="C239" s="24"/>
      <c r="D239" s="24"/>
      <c r="E239" s="24"/>
      <c r="F239" s="25"/>
      <c r="G239" s="30" t="str">
        <f aca="false">CVSSv3!$A$12</f>
        <v>Explotabilidad:</v>
      </c>
      <c r="H239" s="31" t="s">
        <v>709</v>
      </c>
      <c r="I239" s="28"/>
      <c r="J239" s="23"/>
      <c r="K239" s="23"/>
      <c r="L239" s="24"/>
      <c r="M239" s="24"/>
      <c r="N239" s="24"/>
      <c r="O239" s="24"/>
    </row>
    <row r="240" customFormat="false" ht="15.75" hidden="false" customHeight="true" outlineLevel="0" collapsed="false">
      <c r="A240" s="23"/>
      <c r="B240" s="24"/>
      <c r="C240" s="24"/>
      <c r="D240" s="24"/>
      <c r="E240" s="24"/>
      <c r="F240" s="25"/>
      <c r="G240" s="30" t="str">
        <f aca="false">CVSSv3!$A$13</f>
        <v>Nivel de resolución:</v>
      </c>
      <c r="H240" s="31" t="s">
        <v>714</v>
      </c>
      <c r="I240" s="28"/>
      <c r="J240" s="23"/>
      <c r="K240" s="23"/>
      <c r="L240" s="24"/>
      <c r="M240" s="24"/>
      <c r="N240" s="24"/>
      <c r="O240" s="24"/>
    </row>
    <row r="241" customFormat="false" ht="15.75" hidden="false" customHeight="true" outlineLevel="0" collapsed="false">
      <c r="A241" s="23"/>
      <c r="B241" s="24"/>
      <c r="C241" s="24"/>
      <c r="D241" s="24"/>
      <c r="E241" s="24"/>
      <c r="F241" s="25"/>
      <c r="G241" s="30" t="str">
        <f aca="false">CVSSv3!$A$14</f>
        <v>Nivel de confianza</v>
      </c>
      <c r="H241" s="31" t="s">
        <v>715</v>
      </c>
      <c r="I241" s="28"/>
      <c r="J241" s="23"/>
      <c r="K241" s="23"/>
      <c r="L241" s="24"/>
      <c r="M241" s="24"/>
      <c r="N241" s="24"/>
      <c r="O241" s="24"/>
    </row>
    <row r="242" customFormat="false" ht="15.75" hidden="false" customHeight="true" outlineLevel="0" collapsed="false">
      <c r="A242" s="23"/>
      <c r="B242" s="24"/>
      <c r="C242" s="24"/>
      <c r="D242" s="24"/>
      <c r="E242" s="24"/>
      <c r="F242" s="25"/>
      <c r="G242" s="32" t="str">
        <f aca="false">"("&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32"/>
      <c r="I242" s="28"/>
      <c r="J242" s="23"/>
      <c r="K242" s="23"/>
      <c r="L242" s="24"/>
      <c r="M242" s="24"/>
      <c r="N242" s="24"/>
      <c r="O242" s="24"/>
    </row>
    <row r="243" customFormat="false" ht="15.75" hidden="false" customHeight="true" outlineLevel="0" collapsed="false">
      <c r="A243" s="23" t="n">
        <v>21</v>
      </c>
      <c r="B243" s="24" t="s">
        <v>735</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6" t="str">
        <f aca="false">CVSSv3!$A$4</f>
        <v>Vector de ataque:</v>
      </c>
      <c r="H243" s="27" t="s">
        <v>706</v>
      </c>
      <c r="I243" s="28" t="n">
        <f aca="false">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23" t="n">
        <v>0</v>
      </c>
      <c r="K243" s="23" t="n">
        <v>0</v>
      </c>
      <c r="L243" s="24" t="s">
        <v>17</v>
      </c>
      <c r="M243" s="24" t="s">
        <v>17</v>
      </c>
      <c r="N243" s="24" t="s">
        <v>707</v>
      </c>
      <c r="O243" s="24" t="s">
        <v>708</v>
      </c>
    </row>
    <row r="244" customFormat="false" ht="15.75" hidden="false" customHeight="true" outlineLevel="0" collapsed="false">
      <c r="A244" s="23"/>
      <c r="B244" s="24"/>
      <c r="C244" s="24"/>
      <c r="D244" s="24"/>
      <c r="E244" s="24"/>
      <c r="F244" s="25"/>
      <c r="G244" s="30" t="str">
        <f aca="false">CVSSv3!$A$5</f>
        <v>Complejidad de ataque:</v>
      </c>
      <c r="H244" s="31" t="s">
        <v>709</v>
      </c>
      <c r="I244" s="28"/>
      <c r="J244" s="23"/>
      <c r="K244" s="23"/>
      <c r="L244" s="24"/>
      <c r="M244" s="24"/>
      <c r="N244" s="24"/>
      <c r="O244" s="24"/>
    </row>
    <row r="245" customFormat="false" ht="15.75" hidden="false" customHeight="true" outlineLevel="0" collapsed="false">
      <c r="A245" s="23"/>
      <c r="B245" s="24"/>
      <c r="C245" s="24"/>
      <c r="D245" s="24"/>
      <c r="E245" s="24"/>
      <c r="F245" s="25"/>
      <c r="G245" s="30" t="str">
        <f aca="false">CVSSv3!$A$6</f>
        <v>Privilegios requeridos:</v>
      </c>
      <c r="H245" s="31" t="s">
        <v>710</v>
      </c>
      <c r="I245" s="28"/>
      <c r="J245" s="23"/>
      <c r="K245" s="23"/>
      <c r="L245" s="24"/>
      <c r="M245" s="24"/>
      <c r="N245" s="24"/>
      <c r="O245" s="24"/>
    </row>
    <row r="246" customFormat="false" ht="15.75" hidden="false" customHeight="true" outlineLevel="0" collapsed="false">
      <c r="A246" s="23"/>
      <c r="B246" s="24"/>
      <c r="C246" s="24"/>
      <c r="D246" s="24"/>
      <c r="E246" s="24"/>
      <c r="F246" s="25"/>
      <c r="G246" s="30" t="str">
        <f aca="false">CVSSv3!$A$7</f>
        <v>Interacción del usuario:</v>
      </c>
      <c r="H246" s="31" t="s">
        <v>711</v>
      </c>
      <c r="I246" s="28"/>
      <c r="J246" s="23"/>
      <c r="K246" s="23"/>
      <c r="L246" s="24"/>
      <c r="M246" s="24"/>
      <c r="N246" s="24"/>
      <c r="O246" s="24"/>
    </row>
    <row r="247" customFormat="false" ht="15.75" hidden="false" customHeight="true" outlineLevel="0" collapsed="false">
      <c r="A247" s="23"/>
      <c r="B247" s="24"/>
      <c r="C247" s="24"/>
      <c r="D247" s="24"/>
      <c r="E247" s="24"/>
      <c r="F247" s="25"/>
      <c r="G247" s="30" t="str">
        <f aca="false">CVSSv3!$A$8</f>
        <v>Alcance:</v>
      </c>
      <c r="H247" s="31" t="s">
        <v>712</v>
      </c>
      <c r="I247" s="28"/>
      <c r="J247" s="23"/>
      <c r="K247" s="23"/>
      <c r="L247" s="24"/>
      <c r="M247" s="24"/>
      <c r="N247" s="24"/>
      <c r="O247" s="24"/>
    </row>
    <row r="248" customFormat="false" ht="15.75" hidden="false" customHeight="true" outlineLevel="0" collapsed="false">
      <c r="A248" s="23"/>
      <c r="B248" s="24"/>
      <c r="C248" s="24"/>
      <c r="D248" s="24"/>
      <c r="E248" s="24"/>
      <c r="F248" s="25"/>
      <c r="G248" s="30" t="str">
        <f aca="false">CVSSv3!$A$9</f>
        <v>Impacto a la confidencialidad:</v>
      </c>
      <c r="H248" s="31" t="s">
        <v>713</v>
      </c>
      <c r="I248" s="28"/>
      <c r="J248" s="23"/>
      <c r="K248" s="23"/>
      <c r="L248" s="24"/>
      <c r="M248" s="24"/>
      <c r="N248" s="24"/>
      <c r="O248" s="24"/>
    </row>
    <row r="249" customFormat="false" ht="15.75" hidden="false" customHeight="true" outlineLevel="0" collapsed="false">
      <c r="A249" s="23"/>
      <c r="B249" s="24"/>
      <c r="C249" s="24"/>
      <c r="D249" s="24"/>
      <c r="E249" s="24"/>
      <c r="F249" s="25"/>
      <c r="G249" s="30" t="str">
        <f aca="false">CVSSv3!$A$10</f>
        <v>Impacto a la integridad:</v>
      </c>
      <c r="H249" s="31" t="s">
        <v>713</v>
      </c>
      <c r="I249" s="28"/>
      <c r="J249" s="23"/>
      <c r="K249" s="23"/>
      <c r="L249" s="24"/>
      <c r="M249" s="24"/>
      <c r="N249" s="24"/>
      <c r="O249" s="24"/>
    </row>
    <row r="250" customFormat="false" ht="15.75" hidden="false" customHeight="true" outlineLevel="0" collapsed="false">
      <c r="A250" s="23"/>
      <c r="B250" s="24"/>
      <c r="C250" s="24"/>
      <c r="D250" s="24"/>
      <c r="E250" s="24"/>
      <c r="F250" s="25"/>
      <c r="G250" s="30" t="str">
        <f aca="false">CVSSv3!$A$11</f>
        <v>Impacto a la disponibilidad:</v>
      </c>
      <c r="H250" s="31" t="s">
        <v>713</v>
      </c>
      <c r="I250" s="28"/>
      <c r="J250" s="23"/>
      <c r="K250" s="23"/>
      <c r="L250" s="24"/>
      <c r="M250" s="24"/>
      <c r="N250" s="24"/>
      <c r="O250" s="24"/>
    </row>
    <row r="251" customFormat="false" ht="15.75" hidden="false" customHeight="true" outlineLevel="0" collapsed="false">
      <c r="A251" s="23"/>
      <c r="B251" s="24"/>
      <c r="C251" s="24"/>
      <c r="D251" s="24"/>
      <c r="E251" s="24"/>
      <c r="F251" s="25"/>
      <c r="G251" s="30" t="str">
        <f aca="false">CVSSv3!$A$12</f>
        <v>Explotabilidad:</v>
      </c>
      <c r="H251" s="31" t="s">
        <v>709</v>
      </c>
      <c r="I251" s="28"/>
      <c r="J251" s="23"/>
      <c r="K251" s="23"/>
      <c r="L251" s="24"/>
      <c r="M251" s="24"/>
      <c r="N251" s="24"/>
      <c r="O251" s="24"/>
    </row>
    <row r="252" customFormat="false" ht="15.75" hidden="false" customHeight="true" outlineLevel="0" collapsed="false">
      <c r="A252" s="23"/>
      <c r="B252" s="24"/>
      <c r="C252" s="24"/>
      <c r="D252" s="24"/>
      <c r="E252" s="24"/>
      <c r="F252" s="25"/>
      <c r="G252" s="30" t="str">
        <f aca="false">CVSSv3!$A$13</f>
        <v>Nivel de resolución:</v>
      </c>
      <c r="H252" s="31" t="s">
        <v>714</v>
      </c>
      <c r="I252" s="28"/>
      <c r="J252" s="23"/>
      <c r="K252" s="23"/>
      <c r="L252" s="24"/>
      <c r="M252" s="24"/>
      <c r="N252" s="24"/>
      <c r="O252" s="24"/>
    </row>
    <row r="253" customFormat="false" ht="15.75" hidden="false" customHeight="true" outlineLevel="0" collapsed="false">
      <c r="A253" s="23"/>
      <c r="B253" s="24"/>
      <c r="C253" s="24"/>
      <c r="D253" s="24"/>
      <c r="E253" s="24"/>
      <c r="F253" s="25"/>
      <c r="G253" s="30" t="str">
        <f aca="false">CVSSv3!$A$14</f>
        <v>Nivel de confianza</v>
      </c>
      <c r="H253" s="31" t="s">
        <v>715</v>
      </c>
      <c r="I253" s="28"/>
      <c r="J253" s="23"/>
      <c r="K253" s="23"/>
      <c r="L253" s="24"/>
      <c r="M253" s="24"/>
      <c r="N253" s="24"/>
      <c r="O253" s="24"/>
    </row>
    <row r="254" customFormat="false" ht="15.75" hidden="false" customHeight="true" outlineLevel="0" collapsed="false">
      <c r="A254" s="23"/>
      <c r="B254" s="24"/>
      <c r="C254" s="24"/>
      <c r="D254" s="24"/>
      <c r="E254" s="24"/>
      <c r="F254" s="25"/>
      <c r="G254" s="32" t="str">
        <f aca="false">"("&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32"/>
      <c r="I254" s="28"/>
      <c r="J254" s="23"/>
      <c r="K254" s="23"/>
      <c r="L254" s="24"/>
      <c r="M254" s="24"/>
      <c r="N254" s="24"/>
      <c r="O254" s="24"/>
    </row>
    <row r="255" customFormat="false" ht="15.75" hidden="false" customHeight="true" outlineLevel="0" collapsed="false">
      <c r="A255" s="23" t="n">
        <v>22</v>
      </c>
      <c r="B255" s="24" t="s">
        <v>736</v>
      </c>
      <c r="C255" s="24" t="s">
        <v>17</v>
      </c>
      <c r="D255" s="24" t="s">
        <v>17</v>
      </c>
      <c r="E255" s="24" t="s">
        <v>17</v>
      </c>
      <c r="F25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5" s="26" t="str">
        <f aca="false">CVSSv3!$A$4</f>
        <v>Vector de ataque:</v>
      </c>
      <c r="H255" s="27" t="s">
        <v>706</v>
      </c>
      <c r="I255" s="28" t="n">
        <f aca="false">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23" t="n">
        <v>0</v>
      </c>
      <c r="K255" s="23" t="n">
        <v>0</v>
      </c>
      <c r="L255" s="24" t="s">
        <v>17</v>
      </c>
      <c r="M255" s="24" t="s">
        <v>17</v>
      </c>
      <c r="N255" s="24" t="s">
        <v>707</v>
      </c>
      <c r="O255" s="24" t="s">
        <v>708</v>
      </c>
    </row>
    <row r="256" customFormat="false" ht="15.75" hidden="false" customHeight="true" outlineLevel="0" collapsed="false">
      <c r="A256" s="23"/>
      <c r="B256" s="24"/>
      <c r="C256" s="24"/>
      <c r="D256" s="24"/>
      <c r="E256" s="24"/>
      <c r="F256" s="25"/>
      <c r="G256" s="30" t="str">
        <f aca="false">CVSSv3!$A$5</f>
        <v>Complejidad de ataque:</v>
      </c>
      <c r="H256" s="31" t="s">
        <v>709</v>
      </c>
      <c r="I256" s="28"/>
      <c r="J256" s="23"/>
      <c r="K256" s="23"/>
      <c r="L256" s="24"/>
      <c r="M256" s="24"/>
      <c r="N256" s="24"/>
      <c r="O256" s="24"/>
    </row>
    <row r="257" customFormat="false" ht="15.75" hidden="false" customHeight="true" outlineLevel="0" collapsed="false">
      <c r="A257" s="23"/>
      <c r="B257" s="24"/>
      <c r="C257" s="24"/>
      <c r="D257" s="24"/>
      <c r="E257" s="24"/>
      <c r="F257" s="25"/>
      <c r="G257" s="30" t="str">
        <f aca="false">CVSSv3!$A$6</f>
        <v>Privilegios requeridos:</v>
      </c>
      <c r="H257" s="31" t="s">
        <v>710</v>
      </c>
      <c r="I257" s="28"/>
      <c r="J257" s="23"/>
      <c r="K257" s="23"/>
      <c r="L257" s="24"/>
      <c r="M257" s="24"/>
      <c r="N257" s="24"/>
      <c r="O257" s="24"/>
    </row>
    <row r="258" customFormat="false" ht="15.75" hidden="false" customHeight="true" outlineLevel="0" collapsed="false">
      <c r="A258" s="23"/>
      <c r="B258" s="24"/>
      <c r="C258" s="24"/>
      <c r="D258" s="24"/>
      <c r="E258" s="24"/>
      <c r="F258" s="25"/>
      <c r="G258" s="30" t="str">
        <f aca="false">CVSSv3!$A$7</f>
        <v>Interacción del usuario:</v>
      </c>
      <c r="H258" s="31" t="s">
        <v>711</v>
      </c>
      <c r="I258" s="28"/>
      <c r="J258" s="23"/>
      <c r="K258" s="23"/>
      <c r="L258" s="24"/>
      <c r="M258" s="24"/>
      <c r="N258" s="24"/>
      <c r="O258" s="24"/>
    </row>
    <row r="259" customFormat="false" ht="15.75" hidden="false" customHeight="true" outlineLevel="0" collapsed="false">
      <c r="A259" s="23"/>
      <c r="B259" s="24"/>
      <c r="C259" s="24"/>
      <c r="D259" s="24"/>
      <c r="E259" s="24"/>
      <c r="F259" s="25"/>
      <c r="G259" s="30" t="str">
        <f aca="false">CVSSv3!$A$8</f>
        <v>Alcance:</v>
      </c>
      <c r="H259" s="31" t="s">
        <v>712</v>
      </c>
      <c r="I259" s="28"/>
      <c r="J259" s="23"/>
      <c r="K259" s="23"/>
      <c r="L259" s="24"/>
      <c r="M259" s="24"/>
      <c r="N259" s="24"/>
      <c r="O259" s="24"/>
    </row>
    <row r="260" customFormat="false" ht="15.75" hidden="false" customHeight="true" outlineLevel="0" collapsed="false">
      <c r="A260" s="23"/>
      <c r="B260" s="24"/>
      <c r="C260" s="24"/>
      <c r="D260" s="24"/>
      <c r="E260" s="24"/>
      <c r="F260" s="25"/>
      <c r="G260" s="30" t="str">
        <f aca="false">CVSSv3!$A$9</f>
        <v>Impacto a la confidencialidad:</v>
      </c>
      <c r="H260" s="31" t="s">
        <v>713</v>
      </c>
      <c r="I260" s="28"/>
      <c r="J260" s="23"/>
      <c r="K260" s="23"/>
      <c r="L260" s="24"/>
      <c r="M260" s="24"/>
      <c r="N260" s="24"/>
      <c r="O260" s="24"/>
    </row>
    <row r="261" customFormat="false" ht="15.75" hidden="false" customHeight="true" outlineLevel="0" collapsed="false">
      <c r="A261" s="23"/>
      <c r="B261" s="24"/>
      <c r="C261" s="24"/>
      <c r="D261" s="24"/>
      <c r="E261" s="24"/>
      <c r="F261" s="25"/>
      <c r="G261" s="30" t="str">
        <f aca="false">CVSSv3!$A$10</f>
        <v>Impacto a la integridad:</v>
      </c>
      <c r="H261" s="31" t="s">
        <v>713</v>
      </c>
      <c r="I261" s="28"/>
      <c r="J261" s="23"/>
      <c r="K261" s="23"/>
      <c r="L261" s="24"/>
      <c r="M261" s="24"/>
      <c r="N261" s="24"/>
      <c r="O261" s="24"/>
    </row>
    <row r="262" customFormat="false" ht="15.75" hidden="false" customHeight="true" outlineLevel="0" collapsed="false">
      <c r="A262" s="23"/>
      <c r="B262" s="24"/>
      <c r="C262" s="24"/>
      <c r="D262" s="24"/>
      <c r="E262" s="24"/>
      <c r="F262" s="25"/>
      <c r="G262" s="30" t="str">
        <f aca="false">CVSSv3!$A$11</f>
        <v>Impacto a la disponibilidad:</v>
      </c>
      <c r="H262" s="31" t="s">
        <v>713</v>
      </c>
      <c r="I262" s="28"/>
      <c r="J262" s="23"/>
      <c r="K262" s="23"/>
      <c r="L262" s="24"/>
      <c r="M262" s="24"/>
      <c r="N262" s="24"/>
      <c r="O262" s="24"/>
    </row>
    <row r="263" customFormat="false" ht="15.75" hidden="false" customHeight="true" outlineLevel="0" collapsed="false">
      <c r="A263" s="23"/>
      <c r="B263" s="24"/>
      <c r="C263" s="24"/>
      <c r="D263" s="24"/>
      <c r="E263" s="24"/>
      <c r="F263" s="25"/>
      <c r="G263" s="30" t="str">
        <f aca="false">CVSSv3!$A$12</f>
        <v>Explotabilidad:</v>
      </c>
      <c r="H263" s="31" t="s">
        <v>709</v>
      </c>
      <c r="I263" s="28"/>
      <c r="J263" s="23"/>
      <c r="K263" s="23"/>
      <c r="L263" s="24"/>
      <c r="M263" s="24"/>
      <c r="N263" s="24"/>
      <c r="O263" s="24"/>
    </row>
    <row r="264" customFormat="false" ht="15.75" hidden="false" customHeight="true" outlineLevel="0" collapsed="false">
      <c r="A264" s="23"/>
      <c r="B264" s="24"/>
      <c r="C264" s="24"/>
      <c r="D264" s="24"/>
      <c r="E264" s="24"/>
      <c r="F264" s="25"/>
      <c r="G264" s="30" t="str">
        <f aca="false">CVSSv3!$A$13</f>
        <v>Nivel de resolución:</v>
      </c>
      <c r="H264" s="31" t="s">
        <v>714</v>
      </c>
      <c r="I264" s="28"/>
      <c r="J264" s="23"/>
      <c r="K264" s="23"/>
      <c r="L264" s="24"/>
      <c r="M264" s="24"/>
      <c r="N264" s="24"/>
      <c r="O264" s="24"/>
    </row>
    <row r="265" customFormat="false" ht="15.75" hidden="false" customHeight="true" outlineLevel="0" collapsed="false">
      <c r="A265" s="23"/>
      <c r="B265" s="24"/>
      <c r="C265" s="24"/>
      <c r="D265" s="24"/>
      <c r="E265" s="24"/>
      <c r="F265" s="25"/>
      <c r="G265" s="30" t="str">
        <f aca="false">CVSSv3!$A$14</f>
        <v>Nivel de confianza</v>
      </c>
      <c r="H265" s="31" t="s">
        <v>715</v>
      </c>
      <c r="I265" s="28"/>
      <c r="J265" s="23"/>
      <c r="K265" s="23"/>
      <c r="L265" s="24"/>
      <c r="M265" s="24"/>
      <c r="N265" s="24"/>
      <c r="O265" s="24"/>
    </row>
    <row r="266" customFormat="false" ht="15.75" hidden="false" customHeight="true" outlineLevel="0" collapsed="false">
      <c r="A266" s="23"/>
      <c r="B266" s="24"/>
      <c r="C266" s="24"/>
      <c r="D266" s="24"/>
      <c r="E266" s="24"/>
      <c r="F266" s="25"/>
      <c r="G266" s="32" t="str">
        <f aca="false">"("&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32"/>
      <c r="I266" s="28"/>
      <c r="J266" s="23"/>
      <c r="K266" s="23"/>
      <c r="L266" s="24"/>
      <c r="M266" s="24"/>
      <c r="N266" s="24"/>
      <c r="O266" s="24"/>
    </row>
    <row r="267" customFormat="false" ht="15.75" hidden="false" customHeight="true" outlineLevel="0" collapsed="false">
      <c r="A267" s="23" t="n">
        <v>23</v>
      </c>
      <c r="B267" s="24" t="s">
        <v>737</v>
      </c>
      <c r="C267" s="24" t="s">
        <v>17</v>
      </c>
      <c r="D267" s="24" t="s">
        <v>17</v>
      </c>
      <c r="E267" s="24" t="s">
        <v>17</v>
      </c>
      <c r="F26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7" s="26" t="str">
        <f aca="false">CVSSv3!$A$4</f>
        <v>Vector de ataque:</v>
      </c>
      <c r="H267" s="27" t="s">
        <v>706</v>
      </c>
      <c r="I267" s="28" t="n">
        <f aca="false">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23" t="n">
        <v>0</v>
      </c>
      <c r="K267" s="23" t="n">
        <v>0</v>
      </c>
      <c r="L267" s="24" t="s">
        <v>17</v>
      </c>
      <c r="M267" s="24" t="s">
        <v>17</v>
      </c>
      <c r="N267" s="24" t="s">
        <v>707</v>
      </c>
      <c r="O267" s="24" t="s">
        <v>708</v>
      </c>
    </row>
    <row r="268" customFormat="false" ht="15.75" hidden="false" customHeight="true" outlineLevel="0" collapsed="false">
      <c r="A268" s="23"/>
      <c r="B268" s="24"/>
      <c r="C268" s="24"/>
      <c r="D268" s="24"/>
      <c r="E268" s="24"/>
      <c r="F268" s="25"/>
      <c r="G268" s="30" t="str">
        <f aca="false">CVSSv3!$A$5</f>
        <v>Complejidad de ataque:</v>
      </c>
      <c r="H268" s="31" t="s">
        <v>709</v>
      </c>
      <c r="I268" s="28"/>
      <c r="J268" s="23"/>
      <c r="K268" s="23"/>
      <c r="L268" s="24"/>
      <c r="M268" s="24"/>
      <c r="N268" s="24"/>
      <c r="O268" s="24"/>
    </row>
    <row r="269" customFormat="false" ht="15.75" hidden="false" customHeight="true" outlineLevel="0" collapsed="false">
      <c r="A269" s="23"/>
      <c r="B269" s="24"/>
      <c r="C269" s="24"/>
      <c r="D269" s="24"/>
      <c r="E269" s="24"/>
      <c r="F269" s="25"/>
      <c r="G269" s="30" t="str">
        <f aca="false">CVSSv3!$A$6</f>
        <v>Privilegios requeridos:</v>
      </c>
      <c r="H269" s="31" t="s">
        <v>710</v>
      </c>
      <c r="I269" s="28"/>
      <c r="J269" s="23"/>
      <c r="K269" s="23"/>
      <c r="L269" s="24"/>
      <c r="M269" s="24"/>
      <c r="N269" s="24"/>
      <c r="O269" s="24"/>
    </row>
    <row r="270" customFormat="false" ht="15.75" hidden="false" customHeight="true" outlineLevel="0" collapsed="false">
      <c r="A270" s="23"/>
      <c r="B270" s="24"/>
      <c r="C270" s="24"/>
      <c r="D270" s="24"/>
      <c r="E270" s="24"/>
      <c r="F270" s="25"/>
      <c r="G270" s="30" t="str">
        <f aca="false">CVSSv3!$A$7</f>
        <v>Interacción del usuario:</v>
      </c>
      <c r="H270" s="31" t="s">
        <v>711</v>
      </c>
      <c r="I270" s="28"/>
      <c r="J270" s="23"/>
      <c r="K270" s="23"/>
      <c r="L270" s="24"/>
      <c r="M270" s="24"/>
      <c r="N270" s="24"/>
      <c r="O270" s="24"/>
    </row>
    <row r="271" customFormat="false" ht="15.75" hidden="false" customHeight="true" outlineLevel="0" collapsed="false">
      <c r="A271" s="23"/>
      <c r="B271" s="24"/>
      <c r="C271" s="24"/>
      <c r="D271" s="24"/>
      <c r="E271" s="24"/>
      <c r="F271" s="25"/>
      <c r="G271" s="30" t="str">
        <f aca="false">CVSSv3!$A$8</f>
        <v>Alcance:</v>
      </c>
      <c r="H271" s="31" t="s">
        <v>712</v>
      </c>
      <c r="I271" s="28"/>
      <c r="J271" s="23"/>
      <c r="K271" s="23"/>
      <c r="L271" s="24"/>
      <c r="M271" s="24"/>
      <c r="N271" s="24"/>
      <c r="O271" s="24"/>
    </row>
    <row r="272" customFormat="false" ht="15.75" hidden="false" customHeight="true" outlineLevel="0" collapsed="false">
      <c r="A272" s="23"/>
      <c r="B272" s="24"/>
      <c r="C272" s="24"/>
      <c r="D272" s="24"/>
      <c r="E272" s="24"/>
      <c r="F272" s="25"/>
      <c r="G272" s="30" t="str">
        <f aca="false">CVSSv3!$A$9</f>
        <v>Impacto a la confidencialidad:</v>
      </c>
      <c r="H272" s="31" t="s">
        <v>713</v>
      </c>
      <c r="I272" s="28"/>
      <c r="J272" s="23"/>
      <c r="K272" s="23"/>
      <c r="L272" s="24"/>
      <c r="M272" s="24"/>
      <c r="N272" s="24"/>
      <c r="O272" s="24"/>
    </row>
    <row r="273" customFormat="false" ht="15.75" hidden="false" customHeight="true" outlineLevel="0" collapsed="false">
      <c r="A273" s="23"/>
      <c r="B273" s="24"/>
      <c r="C273" s="24"/>
      <c r="D273" s="24"/>
      <c r="E273" s="24"/>
      <c r="F273" s="25"/>
      <c r="G273" s="30" t="str">
        <f aca="false">CVSSv3!$A$10</f>
        <v>Impacto a la integridad:</v>
      </c>
      <c r="H273" s="31" t="s">
        <v>713</v>
      </c>
      <c r="I273" s="28"/>
      <c r="J273" s="23"/>
      <c r="K273" s="23"/>
      <c r="L273" s="24"/>
      <c r="M273" s="24"/>
      <c r="N273" s="24"/>
      <c r="O273" s="24"/>
    </row>
    <row r="274" customFormat="false" ht="15.75" hidden="false" customHeight="true" outlineLevel="0" collapsed="false">
      <c r="A274" s="23"/>
      <c r="B274" s="24"/>
      <c r="C274" s="24"/>
      <c r="D274" s="24"/>
      <c r="E274" s="24"/>
      <c r="F274" s="25"/>
      <c r="G274" s="30" t="str">
        <f aca="false">CVSSv3!$A$11</f>
        <v>Impacto a la disponibilidad:</v>
      </c>
      <c r="H274" s="31" t="s">
        <v>713</v>
      </c>
      <c r="I274" s="28"/>
      <c r="J274" s="23"/>
      <c r="K274" s="23"/>
      <c r="L274" s="24"/>
      <c r="M274" s="24"/>
      <c r="N274" s="24"/>
      <c r="O274" s="24"/>
    </row>
    <row r="275" customFormat="false" ht="15.75" hidden="false" customHeight="true" outlineLevel="0" collapsed="false">
      <c r="A275" s="23"/>
      <c r="B275" s="24"/>
      <c r="C275" s="24"/>
      <c r="D275" s="24"/>
      <c r="E275" s="24"/>
      <c r="F275" s="25"/>
      <c r="G275" s="30" t="str">
        <f aca="false">CVSSv3!$A$12</f>
        <v>Explotabilidad:</v>
      </c>
      <c r="H275" s="31" t="s">
        <v>709</v>
      </c>
      <c r="I275" s="28"/>
      <c r="J275" s="23"/>
      <c r="K275" s="23"/>
      <c r="L275" s="24"/>
      <c r="M275" s="24"/>
      <c r="N275" s="24"/>
      <c r="O275" s="24"/>
    </row>
    <row r="276" customFormat="false" ht="15.75" hidden="false" customHeight="true" outlineLevel="0" collapsed="false">
      <c r="A276" s="23"/>
      <c r="B276" s="24"/>
      <c r="C276" s="24"/>
      <c r="D276" s="24"/>
      <c r="E276" s="24"/>
      <c r="F276" s="25"/>
      <c r="G276" s="30" t="str">
        <f aca="false">CVSSv3!$A$13</f>
        <v>Nivel de resolución:</v>
      </c>
      <c r="H276" s="31" t="s">
        <v>714</v>
      </c>
      <c r="I276" s="28"/>
      <c r="J276" s="23"/>
      <c r="K276" s="23"/>
      <c r="L276" s="24"/>
      <c r="M276" s="24"/>
      <c r="N276" s="24"/>
      <c r="O276" s="24"/>
    </row>
    <row r="277" customFormat="false" ht="15.75" hidden="false" customHeight="true" outlineLevel="0" collapsed="false">
      <c r="A277" s="23"/>
      <c r="B277" s="24"/>
      <c r="C277" s="24"/>
      <c r="D277" s="24"/>
      <c r="E277" s="24"/>
      <c r="F277" s="25"/>
      <c r="G277" s="30" t="str">
        <f aca="false">CVSSv3!$A$14</f>
        <v>Nivel de confianza</v>
      </c>
      <c r="H277" s="31" t="s">
        <v>715</v>
      </c>
      <c r="I277" s="28"/>
      <c r="J277" s="23"/>
      <c r="K277" s="23"/>
      <c r="L277" s="24"/>
      <c r="M277" s="24"/>
      <c r="N277" s="24"/>
      <c r="O277" s="24"/>
    </row>
    <row r="278" customFormat="false" ht="15.75" hidden="false" customHeight="true" outlineLevel="0" collapsed="false">
      <c r="A278" s="23"/>
      <c r="B278" s="24"/>
      <c r="C278" s="24"/>
      <c r="D278" s="24"/>
      <c r="E278" s="24"/>
      <c r="F278" s="25"/>
      <c r="G278" s="32" t="str">
        <f aca="false">"("&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32"/>
      <c r="I278" s="28"/>
      <c r="J278" s="23"/>
      <c r="K278" s="23"/>
      <c r="L278" s="24"/>
      <c r="M278" s="24"/>
      <c r="N278" s="24"/>
      <c r="O278" s="24"/>
    </row>
    <row r="279" customFormat="false" ht="15.75" hidden="false" customHeight="true" outlineLevel="0" collapsed="false">
      <c r="A279" s="23" t="n">
        <v>24</v>
      </c>
      <c r="B279" s="24" t="s">
        <v>738</v>
      </c>
      <c r="C279" s="24" t="s">
        <v>17</v>
      </c>
      <c r="D279" s="24" t="s">
        <v>17</v>
      </c>
      <c r="E279" s="24" t="s">
        <v>17</v>
      </c>
      <c r="F27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9" s="26" t="str">
        <f aca="false">CVSSv3!$A$4</f>
        <v>Vector de ataque:</v>
      </c>
      <c r="H279" s="27" t="s">
        <v>706</v>
      </c>
      <c r="I279" s="28" t="n">
        <f aca="false">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23" t="n">
        <v>0</v>
      </c>
      <c r="K279" s="23" t="n">
        <v>0</v>
      </c>
      <c r="L279" s="24" t="s">
        <v>17</v>
      </c>
      <c r="M279" s="24" t="s">
        <v>17</v>
      </c>
      <c r="N279" s="24" t="s">
        <v>707</v>
      </c>
      <c r="O279" s="24" t="s">
        <v>708</v>
      </c>
    </row>
    <row r="280" customFormat="false" ht="15.75" hidden="false" customHeight="true" outlineLevel="0" collapsed="false">
      <c r="A280" s="23"/>
      <c r="B280" s="24"/>
      <c r="C280" s="24"/>
      <c r="D280" s="24"/>
      <c r="E280" s="24"/>
      <c r="F280" s="25"/>
      <c r="G280" s="30" t="str">
        <f aca="false">CVSSv3!$A$5</f>
        <v>Complejidad de ataque:</v>
      </c>
      <c r="H280" s="31" t="s">
        <v>709</v>
      </c>
      <c r="I280" s="28"/>
      <c r="J280" s="23"/>
      <c r="K280" s="23"/>
      <c r="L280" s="24"/>
      <c r="M280" s="24"/>
      <c r="N280" s="24"/>
      <c r="O280" s="24"/>
    </row>
    <row r="281" customFormat="false" ht="15.75" hidden="false" customHeight="true" outlineLevel="0" collapsed="false">
      <c r="A281" s="23"/>
      <c r="B281" s="24"/>
      <c r="C281" s="24"/>
      <c r="D281" s="24"/>
      <c r="E281" s="24"/>
      <c r="F281" s="25"/>
      <c r="G281" s="30" t="str">
        <f aca="false">CVSSv3!$A$6</f>
        <v>Privilegios requeridos:</v>
      </c>
      <c r="H281" s="31" t="s">
        <v>710</v>
      </c>
      <c r="I281" s="28"/>
      <c r="J281" s="23"/>
      <c r="K281" s="23"/>
      <c r="L281" s="24"/>
      <c r="M281" s="24"/>
      <c r="N281" s="24"/>
      <c r="O281" s="24"/>
    </row>
    <row r="282" customFormat="false" ht="15.75" hidden="false" customHeight="true" outlineLevel="0" collapsed="false">
      <c r="A282" s="23"/>
      <c r="B282" s="24"/>
      <c r="C282" s="24"/>
      <c r="D282" s="24"/>
      <c r="E282" s="24"/>
      <c r="F282" s="25"/>
      <c r="G282" s="30" t="str">
        <f aca="false">CVSSv3!$A$7</f>
        <v>Interacción del usuario:</v>
      </c>
      <c r="H282" s="31" t="s">
        <v>711</v>
      </c>
      <c r="I282" s="28"/>
      <c r="J282" s="23"/>
      <c r="K282" s="23"/>
      <c r="L282" s="24"/>
      <c r="M282" s="24"/>
      <c r="N282" s="24"/>
      <c r="O282" s="24"/>
    </row>
    <row r="283" customFormat="false" ht="15.75" hidden="false" customHeight="true" outlineLevel="0" collapsed="false">
      <c r="A283" s="23"/>
      <c r="B283" s="24"/>
      <c r="C283" s="24"/>
      <c r="D283" s="24"/>
      <c r="E283" s="24"/>
      <c r="F283" s="25"/>
      <c r="G283" s="30" t="str">
        <f aca="false">CVSSv3!$A$8</f>
        <v>Alcance:</v>
      </c>
      <c r="H283" s="31" t="s">
        <v>712</v>
      </c>
      <c r="I283" s="28"/>
      <c r="J283" s="23"/>
      <c r="K283" s="23"/>
      <c r="L283" s="24"/>
      <c r="M283" s="24"/>
      <c r="N283" s="24"/>
      <c r="O283" s="24"/>
    </row>
    <row r="284" customFormat="false" ht="15.75" hidden="false" customHeight="true" outlineLevel="0" collapsed="false">
      <c r="A284" s="23"/>
      <c r="B284" s="24"/>
      <c r="C284" s="24"/>
      <c r="D284" s="24"/>
      <c r="E284" s="24"/>
      <c r="F284" s="25"/>
      <c r="G284" s="30" t="str">
        <f aca="false">CVSSv3!$A$9</f>
        <v>Impacto a la confidencialidad:</v>
      </c>
      <c r="H284" s="31" t="s">
        <v>713</v>
      </c>
      <c r="I284" s="28"/>
      <c r="J284" s="23"/>
      <c r="K284" s="23"/>
      <c r="L284" s="24"/>
      <c r="M284" s="24"/>
      <c r="N284" s="24"/>
      <c r="O284" s="24"/>
    </row>
    <row r="285" customFormat="false" ht="15.75" hidden="false" customHeight="true" outlineLevel="0" collapsed="false">
      <c r="A285" s="23"/>
      <c r="B285" s="24"/>
      <c r="C285" s="24"/>
      <c r="D285" s="24"/>
      <c r="E285" s="24"/>
      <c r="F285" s="25"/>
      <c r="G285" s="30" t="str">
        <f aca="false">CVSSv3!$A$10</f>
        <v>Impacto a la integridad:</v>
      </c>
      <c r="H285" s="31" t="s">
        <v>713</v>
      </c>
      <c r="I285" s="28"/>
      <c r="J285" s="23"/>
      <c r="K285" s="23"/>
      <c r="L285" s="24"/>
      <c r="M285" s="24"/>
      <c r="N285" s="24"/>
      <c r="O285" s="24"/>
    </row>
    <row r="286" customFormat="false" ht="15.75" hidden="false" customHeight="true" outlineLevel="0" collapsed="false">
      <c r="A286" s="23"/>
      <c r="B286" s="24"/>
      <c r="C286" s="24"/>
      <c r="D286" s="24"/>
      <c r="E286" s="24"/>
      <c r="F286" s="25"/>
      <c r="G286" s="30" t="str">
        <f aca="false">CVSSv3!$A$11</f>
        <v>Impacto a la disponibilidad:</v>
      </c>
      <c r="H286" s="31" t="s">
        <v>713</v>
      </c>
      <c r="I286" s="28"/>
      <c r="J286" s="23"/>
      <c r="K286" s="23"/>
      <c r="L286" s="24"/>
      <c r="M286" s="24"/>
      <c r="N286" s="24"/>
      <c r="O286" s="24"/>
    </row>
    <row r="287" customFormat="false" ht="15.75" hidden="false" customHeight="true" outlineLevel="0" collapsed="false">
      <c r="A287" s="23"/>
      <c r="B287" s="24"/>
      <c r="C287" s="24"/>
      <c r="D287" s="24"/>
      <c r="E287" s="24"/>
      <c r="F287" s="25"/>
      <c r="G287" s="30" t="str">
        <f aca="false">CVSSv3!$A$12</f>
        <v>Explotabilidad:</v>
      </c>
      <c r="H287" s="31" t="s">
        <v>709</v>
      </c>
      <c r="I287" s="28"/>
      <c r="J287" s="23"/>
      <c r="K287" s="23"/>
      <c r="L287" s="24"/>
      <c r="M287" s="24"/>
      <c r="N287" s="24"/>
      <c r="O287" s="24"/>
    </row>
    <row r="288" customFormat="false" ht="15.75" hidden="false" customHeight="true" outlineLevel="0" collapsed="false">
      <c r="A288" s="23"/>
      <c r="B288" s="24"/>
      <c r="C288" s="24"/>
      <c r="D288" s="24"/>
      <c r="E288" s="24"/>
      <c r="F288" s="25"/>
      <c r="G288" s="30" t="str">
        <f aca="false">CVSSv3!$A$13</f>
        <v>Nivel de resolución:</v>
      </c>
      <c r="H288" s="31" t="s">
        <v>714</v>
      </c>
      <c r="I288" s="28"/>
      <c r="J288" s="23"/>
      <c r="K288" s="23"/>
      <c r="L288" s="24"/>
      <c r="M288" s="24"/>
      <c r="N288" s="24"/>
      <c r="O288" s="24"/>
    </row>
    <row r="289" customFormat="false" ht="15.75" hidden="false" customHeight="true" outlineLevel="0" collapsed="false">
      <c r="A289" s="23"/>
      <c r="B289" s="24"/>
      <c r="C289" s="24"/>
      <c r="D289" s="24"/>
      <c r="E289" s="24"/>
      <c r="F289" s="25"/>
      <c r="G289" s="30" t="str">
        <f aca="false">CVSSv3!$A$14</f>
        <v>Nivel de confianza</v>
      </c>
      <c r="H289" s="31" t="s">
        <v>715</v>
      </c>
      <c r="I289" s="28"/>
      <c r="J289" s="23"/>
      <c r="K289" s="23"/>
      <c r="L289" s="24"/>
      <c r="M289" s="24"/>
      <c r="N289" s="24"/>
      <c r="O289" s="24"/>
    </row>
    <row r="290" customFormat="false" ht="15.75" hidden="false" customHeight="true" outlineLevel="0" collapsed="false">
      <c r="A290" s="23"/>
      <c r="B290" s="24"/>
      <c r="C290" s="24"/>
      <c r="D290" s="24"/>
      <c r="E290" s="24"/>
      <c r="F290" s="25"/>
      <c r="G290" s="32" t="str">
        <f aca="false">"("&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32"/>
      <c r="I290" s="28"/>
      <c r="J290" s="23"/>
      <c r="K290" s="23"/>
      <c r="L290" s="24"/>
      <c r="M290" s="24"/>
      <c r="N290" s="24"/>
      <c r="O290" s="24"/>
    </row>
    <row r="291" customFormat="false" ht="15.75" hidden="false" customHeight="true" outlineLevel="0" collapsed="false">
      <c r="A291" s="23" t="n">
        <v>25</v>
      </c>
      <c r="B291" s="24" t="s">
        <v>739</v>
      </c>
      <c r="C291" s="24" t="s">
        <v>17</v>
      </c>
      <c r="D291" s="24" t="s">
        <v>17</v>
      </c>
      <c r="E291" s="24" t="s">
        <v>17</v>
      </c>
      <c r="F29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1" s="26" t="str">
        <f aca="false">CVSSv3!$A$4</f>
        <v>Vector de ataque:</v>
      </c>
      <c r="H291" s="27" t="s">
        <v>706</v>
      </c>
      <c r="I291" s="28" t="n">
        <f aca="false">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23" t="n">
        <v>0</v>
      </c>
      <c r="K291" s="23" t="n">
        <v>0</v>
      </c>
      <c r="L291" s="24" t="s">
        <v>17</v>
      </c>
      <c r="M291" s="24" t="s">
        <v>17</v>
      </c>
      <c r="N291" s="24" t="s">
        <v>707</v>
      </c>
      <c r="O291" s="24" t="s">
        <v>708</v>
      </c>
    </row>
    <row r="292" customFormat="false" ht="15.75" hidden="false" customHeight="true" outlineLevel="0" collapsed="false">
      <c r="A292" s="23"/>
      <c r="B292" s="24"/>
      <c r="C292" s="24"/>
      <c r="D292" s="24"/>
      <c r="E292" s="24"/>
      <c r="F292" s="25"/>
      <c r="G292" s="30" t="str">
        <f aca="false">CVSSv3!$A$5</f>
        <v>Complejidad de ataque:</v>
      </c>
      <c r="H292" s="31" t="s">
        <v>709</v>
      </c>
      <c r="I292" s="28"/>
      <c r="J292" s="23"/>
      <c r="K292" s="23"/>
      <c r="L292" s="24"/>
      <c r="M292" s="24"/>
      <c r="N292" s="24"/>
      <c r="O292" s="24"/>
    </row>
    <row r="293" customFormat="false" ht="15.75" hidden="false" customHeight="true" outlineLevel="0" collapsed="false">
      <c r="A293" s="23"/>
      <c r="B293" s="24"/>
      <c r="C293" s="24"/>
      <c r="D293" s="24"/>
      <c r="E293" s="24"/>
      <c r="F293" s="25"/>
      <c r="G293" s="30" t="str">
        <f aca="false">CVSSv3!$A$6</f>
        <v>Privilegios requeridos:</v>
      </c>
      <c r="H293" s="31" t="s">
        <v>710</v>
      </c>
      <c r="I293" s="28"/>
      <c r="J293" s="23"/>
      <c r="K293" s="23"/>
      <c r="L293" s="24"/>
      <c r="M293" s="24"/>
      <c r="N293" s="24"/>
      <c r="O293" s="24"/>
    </row>
    <row r="294" customFormat="false" ht="15.75" hidden="false" customHeight="true" outlineLevel="0" collapsed="false">
      <c r="A294" s="23"/>
      <c r="B294" s="24"/>
      <c r="C294" s="24"/>
      <c r="D294" s="24"/>
      <c r="E294" s="24"/>
      <c r="F294" s="25"/>
      <c r="G294" s="30" t="str">
        <f aca="false">CVSSv3!$A$7</f>
        <v>Interacción del usuario:</v>
      </c>
      <c r="H294" s="31" t="s">
        <v>711</v>
      </c>
      <c r="I294" s="28"/>
      <c r="J294" s="23"/>
      <c r="K294" s="23"/>
      <c r="L294" s="24"/>
      <c r="M294" s="24"/>
      <c r="N294" s="24"/>
      <c r="O294" s="24"/>
    </row>
    <row r="295" customFormat="false" ht="15.75" hidden="false" customHeight="true" outlineLevel="0" collapsed="false">
      <c r="A295" s="23"/>
      <c r="B295" s="24"/>
      <c r="C295" s="24"/>
      <c r="D295" s="24"/>
      <c r="E295" s="24"/>
      <c r="F295" s="25"/>
      <c r="G295" s="30" t="str">
        <f aca="false">CVSSv3!$A$8</f>
        <v>Alcance:</v>
      </c>
      <c r="H295" s="31" t="s">
        <v>712</v>
      </c>
      <c r="I295" s="28"/>
      <c r="J295" s="23"/>
      <c r="K295" s="23"/>
      <c r="L295" s="24"/>
      <c r="M295" s="24"/>
      <c r="N295" s="24"/>
      <c r="O295" s="24"/>
    </row>
    <row r="296" customFormat="false" ht="15.75" hidden="false" customHeight="true" outlineLevel="0" collapsed="false">
      <c r="A296" s="23"/>
      <c r="B296" s="24"/>
      <c r="C296" s="24"/>
      <c r="D296" s="24"/>
      <c r="E296" s="24"/>
      <c r="F296" s="25"/>
      <c r="G296" s="30" t="str">
        <f aca="false">CVSSv3!$A$9</f>
        <v>Impacto a la confidencialidad:</v>
      </c>
      <c r="H296" s="31" t="s">
        <v>713</v>
      </c>
      <c r="I296" s="28"/>
      <c r="J296" s="23"/>
      <c r="K296" s="23"/>
      <c r="L296" s="24"/>
      <c r="M296" s="24"/>
      <c r="N296" s="24"/>
      <c r="O296" s="24"/>
    </row>
    <row r="297" customFormat="false" ht="15.75" hidden="false" customHeight="true" outlineLevel="0" collapsed="false">
      <c r="A297" s="23"/>
      <c r="B297" s="24"/>
      <c r="C297" s="24"/>
      <c r="D297" s="24"/>
      <c r="E297" s="24"/>
      <c r="F297" s="25"/>
      <c r="G297" s="30" t="str">
        <f aca="false">CVSSv3!$A$10</f>
        <v>Impacto a la integridad:</v>
      </c>
      <c r="H297" s="31" t="s">
        <v>713</v>
      </c>
      <c r="I297" s="28"/>
      <c r="J297" s="23"/>
      <c r="K297" s="23"/>
      <c r="L297" s="24"/>
      <c r="M297" s="24"/>
      <c r="N297" s="24"/>
      <c r="O297" s="24"/>
    </row>
    <row r="298" customFormat="false" ht="15.75" hidden="false" customHeight="true" outlineLevel="0" collapsed="false">
      <c r="A298" s="23"/>
      <c r="B298" s="24"/>
      <c r="C298" s="24"/>
      <c r="D298" s="24"/>
      <c r="E298" s="24"/>
      <c r="F298" s="25"/>
      <c r="G298" s="30" t="str">
        <f aca="false">CVSSv3!$A$11</f>
        <v>Impacto a la disponibilidad:</v>
      </c>
      <c r="H298" s="31" t="s">
        <v>713</v>
      </c>
      <c r="I298" s="28"/>
      <c r="J298" s="23"/>
      <c r="K298" s="23"/>
      <c r="L298" s="24"/>
      <c r="M298" s="24"/>
      <c r="N298" s="24"/>
      <c r="O298" s="24"/>
    </row>
    <row r="299" customFormat="false" ht="15.75" hidden="false" customHeight="true" outlineLevel="0" collapsed="false">
      <c r="A299" s="23"/>
      <c r="B299" s="24"/>
      <c r="C299" s="24"/>
      <c r="D299" s="24"/>
      <c r="E299" s="24"/>
      <c r="F299" s="25"/>
      <c r="G299" s="30" t="str">
        <f aca="false">CVSSv3!$A$12</f>
        <v>Explotabilidad:</v>
      </c>
      <c r="H299" s="31" t="s">
        <v>709</v>
      </c>
      <c r="I299" s="28"/>
      <c r="J299" s="23"/>
      <c r="K299" s="23"/>
      <c r="L299" s="24"/>
      <c r="M299" s="24"/>
      <c r="N299" s="24"/>
      <c r="O299" s="24"/>
    </row>
    <row r="300" customFormat="false" ht="15.75" hidden="false" customHeight="true" outlineLevel="0" collapsed="false">
      <c r="A300" s="23"/>
      <c r="B300" s="24"/>
      <c r="C300" s="24"/>
      <c r="D300" s="24"/>
      <c r="E300" s="24"/>
      <c r="F300" s="25"/>
      <c r="G300" s="30" t="str">
        <f aca="false">CVSSv3!$A$13</f>
        <v>Nivel de resolución:</v>
      </c>
      <c r="H300" s="31" t="s">
        <v>714</v>
      </c>
      <c r="I300" s="28"/>
      <c r="J300" s="23"/>
      <c r="K300" s="23"/>
      <c r="L300" s="24"/>
      <c r="M300" s="24"/>
      <c r="N300" s="24"/>
      <c r="O300" s="24"/>
    </row>
    <row r="301" customFormat="false" ht="15.75" hidden="false" customHeight="true" outlineLevel="0" collapsed="false">
      <c r="A301" s="23"/>
      <c r="B301" s="24"/>
      <c r="C301" s="24"/>
      <c r="D301" s="24"/>
      <c r="E301" s="24"/>
      <c r="F301" s="25"/>
      <c r="G301" s="30" t="str">
        <f aca="false">CVSSv3!$A$14</f>
        <v>Nivel de confianza</v>
      </c>
      <c r="H301" s="31" t="s">
        <v>715</v>
      </c>
      <c r="I301" s="28"/>
      <c r="J301" s="23"/>
      <c r="K301" s="23"/>
      <c r="L301" s="24"/>
      <c r="M301" s="24"/>
      <c r="N301" s="24"/>
      <c r="O301" s="24"/>
    </row>
    <row r="302" customFormat="false" ht="15.75" hidden="false" customHeight="true" outlineLevel="0" collapsed="false">
      <c r="A302" s="23"/>
      <c r="B302" s="24"/>
      <c r="C302" s="24"/>
      <c r="D302" s="24"/>
      <c r="E302" s="24"/>
      <c r="F302" s="25"/>
      <c r="G302" s="32" t="str">
        <f aca="false">"("&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32"/>
      <c r="I302" s="28"/>
      <c r="J302" s="23"/>
      <c r="K302" s="23"/>
      <c r="L302" s="24"/>
      <c r="M302" s="24"/>
      <c r="N302" s="24"/>
      <c r="O302" s="24"/>
    </row>
    <row r="303" customFormat="false" ht="15.75" hidden="false" customHeight="true" outlineLevel="0" collapsed="false">
      <c r="A303" s="23" t="n">
        <v>26</v>
      </c>
      <c r="B303" s="24" t="s">
        <v>740</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6" t="str">
        <f aca="false">CVSSv3!$A$4</f>
        <v>Vector de ataque:</v>
      </c>
      <c r="H303" s="27" t="s">
        <v>706</v>
      </c>
      <c r="I303" s="28" t="n">
        <f aca="false">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23" t="n">
        <v>0</v>
      </c>
      <c r="K303" s="23" t="n">
        <v>0</v>
      </c>
      <c r="L303" s="24" t="s">
        <v>17</v>
      </c>
      <c r="M303" s="24" t="s">
        <v>17</v>
      </c>
      <c r="N303" s="24" t="s">
        <v>707</v>
      </c>
      <c r="O303" s="24" t="s">
        <v>708</v>
      </c>
    </row>
    <row r="304" customFormat="false" ht="15.75" hidden="false" customHeight="true" outlineLevel="0" collapsed="false">
      <c r="A304" s="23"/>
      <c r="B304" s="24"/>
      <c r="C304" s="24"/>
      <c r="D304" s="24"/>
      <c r="E304" s="24"/>
      <c r="F304" s="25"/>
      <c r="G304" s="30" t="str">
        <f aca="false">CVSSv3!$A$5</f>
        <v>Complejidad de ataque:</v>
      </c>
      <c r="H304" s="31" t="s">
        <v>709</v>
      </c>
      <c r="I304" s="28"/>
      <c r="J304" s="23"/>
      <c r="K304" s="23"/>
      <c r="L304" s="24"/>
      <c r="M304" s="24"/>
      <c r="N304" s="24"/>
      <c r="O304" s="24"/>
    </row>
    <row r="305" customFormat="false" ht="15.75" hidden="false" customHeight="true" outlineLevel="0" collapsed="false">
      <c r="A305" s="23"/>
      <c r="B305" s="24"/>
      <c r="C305" s="24"/>
      <c r="D305" s="24"/>
      <c r="E305" s="24"/>
      <c r="F305" s="25"/>
      <c r="G305" s="30" t="str">
        <f aca="false">CVSSv3!$A$6</f>
        <v>Privilegios requeridos:</v>
      </c>
      <c r="H305" s="31" t="s">
        <v>710</v>
      </c>
      <c r="I305" s="28"/>
      <c r="J305" s="23"/>
      <c r="K305" s="23"/>
      <c r="L305" s="24"/>
      <c r="M305" s="24"/>
      <c r="N305" s="24"/>
      <c r="O305" s="24"/>
    </row>
    <row r="306" customFormat="false" ht="15.75" hidden="false" customHeight="true" outlineLevel="0" collapsed="false">
      <c r="A306" s="23"/>
      <c r="B306" s="24"/>
      <c r="C306" s="24"/>
      <c r="D306" s="24"/>
      <c r="E306" s="24"/>
      <c r="F306" s="25"/>
      <c r="G306" s="30" t="str">
        <f aca="false">CVSSv3!$A$7</f>
        <v>Interacción del usuario:</v>
      </c>
      <c r="H306" s="31" t="s">
        <v>711</v>
      </c>
      <c r="I306" s="28"/>
      <c r="J306" s="23"/>
      <c r="K306" s="23"/>
      <c r="L306" s="24"/>
      <c r="M306" s="24"/>
      <c r="N306" s="24"/>
      <c r="O306" s="24"/>
    </row>
    <row r="307" customFormat="false" ht="15.75" hidden="false" customHeight="true" outlineLevel="0" collapsed="false">
      <c r="A307" s="23"/>
      <c r="B307" s="24"/>
      <c r="C307" s="24"/>
      <c r="D307" s="24"/>
      <c r="E307" s="24"/>
      <c r="F307" s="25"/>
      <c r="G307" s="30" t="str">
        <f aca="false">CVSSv3!$A$8</f>
        <v>Alcance:</v>
      </c>
      <c r="H307" s="31" t="s">
        <v>712</v>
      </c>
      <c r="I307" s="28"/>
      <c r="J307" s="23"/>
      <c r="K307" s="23"/>
      <c r="L307" s="24"/>
      <c r="M307" s="24"/>
      <c r="N307" s="24"/>
      <c r="O307" s="24"/>
    </row>
    <row r="308" customFormat="false" ht="15.75" hidden="false" customHeight="true" outlineLevel="0" collapsed="false">
      <c r="A308" s="23"/>
      <c r="B308" s="24"/>
      <c r="C308" s="24"/>
      <c r="D308" s="24"/>
      <c r="E308" s="24"/>
      <c r="F308" s="25"/>
      <c r="G308" s="30" t="str">
        <f aca="false">CVSSv3!$A$9</f>
        <v>Impacto a la confidencialidad:</v>
      </c>
      <c r="H308" s="31" t="s">
        <v>713</v>
      </c>
      <c r="I308" s="28"/>
      <c r="J308" s="23"/>
      <c r="K308" s="23"/>
      <c r="L308" s="24"/>
      <c r="M308" s="24"/>
      <c r="N308" s="24"/>
      <c r="O308" s="24"/>
    </row>
    <row r="309" customFormat="false" ht="15.75" hidden="false" customHeight="true" outlineLevel="0" collapsed="false">
      <c r="A309" s="23"/>
      <c r="B309" s="24"/>
      <c r="C309" s="24"/>
      <c r="D309" s="24"/>
      <c r="E309" s="24"/>
      <c r="F309" s="25"/>
      <c r="G309" s="30" t="str">
        <f aca="false">CVSSv3!$A$10</f>
        <v>Impacto a la integridad:</v>
      </c>
      <c r="H309" s="31" t="s">
        <v>713</v>
      </c>
      <c r="I309" s="28"/>
      <c r="J309" s="23"/>
      <c r="K309" s="23"/>
      <c r="L309" s="24"/>
      <c r="M309" s="24"/>
      <c r="N309" s="24"/>
      <c r="O309" s="24"/>
    </row>
    <row r="310" customFormat="false" ht="15.75" hidden="false" customHeight="true" outlineLevel="0" collapsed="false">
      <c r="A310" s="23"/>
      <c r="B310" s="24"/>
      <c r="C310" s="24"/>
      <c r="D310" s="24"/>
      <c r="E310" s="24"/>
      <c r="F310" s="25"/>
      <c r="G310" s="30" t="str">
        <f aca="false">CVSSv3!$A$11</f>
        <v>Impacto a la disponibilidad:</v>
      </c>
      <c r="H310" s="31" t="s">
        <v>713</v>
      </c>
      <c r="I310" s="28"/>
      <c r="J310" s="23"/>
      <c r="K310" s="23"/>
      <c r="L310" s="24"/>
      <c r="M310" s="24"/>
      <c r="N310" s="24"/>
      <c r="O310" s="24"/>
    </row>
    <row r="311" customFormat="false" ht="15.75" hidden="false" customHeight="true" outlineLevel="0" collapsed="false">
      <c r="A311" s="23"/>
      <c r="B311" s="24"/>
      <c r="C311" s="24"/>
      <c r="D311" s="24"/>
      <c r="E311" s="24"/>
      <c r="F311" s="25"/>
      <c r="G311" s="30" t="str">
        <f aca="false">CVSSv3!$A$12</f>
        <v>Explotabilidad:</v>
      </c>
      <c r="H311" s="31" t="s">
        <v>709</v>
      </c>
      <c r="I311" s="28"/>
      <c r="J311" s="23"/>
      <c r="K311" s="23"/>
      <c r="L311" s="24"/>
      <c r="M311" s="24"/>
      <c r="N311" s="24"/>
      <c r="O311" s="24"/>
    </row>
    <row r="312" customFormat="false" ht="15.75" hidden="false" customHeight="true" outlineLevel="0" collapsed="false">
      <c r="A312" s="23"/>
      <c r="B312" s="24"/>
      <c r="C312" s="24"/>
      <c r="D312" s="24"/>
      <c r="E312" s="24"/>
      <c r="F312" s="25"/>
      <c r="G312" s="30" t="str">
        <f aca="false">CVSSv3!$A$13</f>
        <v>Nivel de resolución:</v>
      </c>
      <c r="H312" s="31" t="s">
        <v>714</v>
      </c>
      <c r="I312" s="28"/>
      <c r="J312" s="23"/>
      <c r="K312" s="23"/>
      <c r="L312" s="24"/>
      <c r="M312" s="24"/>
      <c r="N312" s="24"/>
      <c r="O312" s="24"/>
    </row>
    <row r="313" customFormat="false" ht="15.75" hidden="false" customHeight="true" outlineLevel="0" collapsed="false">
      <c r="A313" s="23"/>
      <c r="B313" s="24"/>
      <c r="C313" s="24"/>
      <c r="D313" s="24"/>
      <c r="E313" s="24"/>
      <c r="F313" s="25"/>
      <c r="G313" s="30" t="str">
        <f aca="false">CVSSv3!$A$14</f>
        <v>Nivel de confianza</v>
      </c>
      <c r="H313" s="31" t="s">
        <v>715</v>
      </c>
      <c r="I313" s="28"/>
      <c r="J313" s="23"/>
      <c r="K313" s="23"/>
      <c r="L313" s="24"/>
      <c r="M313" s="24"/>
      <c r="N313" s="24"/>
      <c r="O313" s="24"/>
    </row>
    <row r="314" customFormat="false" ht="15.75" hidden="false" customHeight="true" outlineLevel="0" collapsed="false">
      <c r="A314" s="23"/>
      <c r="B314" s="24"/>
      <c r="C314" s="24"/>
      <c r="D314" s="24"/>
      <c r="E314" s="24"/>
      <c r="F314" s="25"/>
      <c r="G314" s="32" t="str">
        <f aca="false">"("&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32"/>
      <c r="I314" s="28"/>
      <c r="J314" s="23"/>
      <c r="K314" s="23"/>
      <c r="L314" s="24"/>
      <c r="M314" s="24"/>
      <c r="N314" s="24"/>
      <c r="O314" s="24"/>
    </row>
    <row r="315" customFormat="false" ht="15.75" hidden="false" customHeight="true" outlineLevel="0" collapsed="false">
      <c r="A315" s="23" t="n">
        <v>27</v>
      </c>
      <c r="B315" s="24" t="s">
        <v>741</v>
      </c>
      <c r="C315" s="24" t="s">
        <v>17</v>
      </c>
      <c r="D315" s="24" t="s">
        <v>17</v>
      </c>
      <c r="E315" s="24" t="s">
        <v>17</v>
      </c>
      <c r="F31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5" s="26" t="str">
        <f aca="false">CVSSv3!$A$4</f>
        <v>Vector de ataque:</v>
      </c>
      <c r="H315" s="27" t="s">
        <v>706</v>
      </c>
      <c r="I315" s="28" t="n">
        <f aca="false">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23" t="n">
        <v>0</v>
      </c>
      <c r="K315" s="23" t="n">
        <v>0</v>
      </c>
      <c r="L315" s="24" t="s">
        <v>17</v>
      </c>
      <c r="M315" s="24" t="s">
        <v>17</v>
      </c>
      <c r="N315" s="24" t="s">
        <v>707</v>
      </c>
      <c r="O315" s="24" t="s">
        <v>708</v>
      </c>
    </row>
    <row r="316" customFormat="false" ht="15.75" hidden="false" customHeight="true" outlineLevel="0" collapsed="false">
      <c r="A316" s="23"/>
      <c r="B316" s="24"/>
      <c r="C316" s="24"/>
      <c r="D316" s="24"/>
      <c r="E316" s="24"/>
      <c r="F316" s="25"/>
      <c r="G316" s="30" t="str">
        <f aca="false">CVSSv3!$A$5</f>
        <v>Complejidad de ataque:</v>
      </c>
      <c r="H316" s="31" t="s">
        <v>709</v>
      </c>
      <c r="I316" s="28"/>
      <c r="J316" s="23"/>
      <c r="K316" s="23"/>
      <c r="L316" s="24"/>
      <c r="M316" s="24"/>
      <c r="N316" s="24"/>
      <c r="O316" s="24"/>
    </row>
    <row r="317" customFormat="false" ht="15.75" hidden="false" customHeight="true" outlineLevel="0" collapsed="false">
      <c r="A317" s="23"/>
      <c r="B317" s="24"/>
      <c r="C317" s="24"/>
      <c r="D317" s="24"/>
      <c r="E317" s="24"/>
      <c r="F317" s="25"/>
      <c r="G317" s="30" t="str">
        <f aca="false">CVSSv3!$A$6</f>
        <v>Privilegios requeridos:</v>
      </c>
      <c r="H317" s="31" t="s">
        <v>710</v>
      </c>
      <c r="I317" s="28"/>
      <c r="J317" s="23"/>
      <c r="K317" s="23"/>
      <c r="L317" s="24"/>
      <c r="M317" s="24"/>
      <c r="N317" s="24"/>
      <c r="O317" s="24"/>
    </row>
    <row r="318" customFormat="false" ht="15.75" hidden="false" customHeight="true" outlineLevel="0" collapsed="false">
      <c r="A318" s="23"/>
      <c r="B318" s="24"/>
      <c r="C318" s="24"/>
      <c r="D318" s="24"/>
      <c r="E318" s="24"/>
      <c r="F318" s="25"/>
      <c r="G318" s="30" t="str">
        <f aca="false">CVSSv3!$A$7</f>
        <v>Interacción del usuario:</v>
      </c>
      <c r="H318" s="31" t="s">
        <v>711</v>
      </c>
      <c r="I318" s="28"/>
      <c r="J318" s="23"/>
      <c r="K318" s="23"/>
      <c r="L318" s="24"/>
      <c r="M318" s="24"/>
      <c r="N318" s="24"/>
      <c r="O318" s="24"/>
    </row>
    <row r="319" customFormat="false" ht="15.75" hidden="false" customHeight="true" outlineLevel="0" collapsed="false">
      <c r="A319" s="23"/>
      <c r="B319" s="24"/>
      <c r="C319" s="24"/>
      <c r="D319" s="24"/>
      <c r="E319" s="24"/>
      <c r="F319" s="25"/>
      <c r="G319" s="30" t="str">
        <f aca="false">CVSSv3!$A$8</f>
        <v>Alcance:</v>
      </c>
      <c r="H319" s="31" t="s">
        <v>712</v>
      </c>
      <c r="I319" s="28"/>
      <c r="J319" s="23"/>
      <c r="K319" s="23"/>
      <c r="L319" s="24"/>
      <c r="M319" s="24"/>
      <c r="N319" s="24"/>
      <c r="O319" s="24"/>
    </row>
    <row r="320" customFormat="false" ht="15.75" hidden="false" customHeight="true" outlineLevel="0" collapsed="false">
      <c r="A320" s="23"/>
      <c r="B320" s="24"/>
      <c r="C320" s="24"/>
      <c r="D320" s="24"/>
      <c r="E320" s="24"/>
      <c r="F320" s="25"/>
      <c r="G320" s="30" t="str">
        <f aca="false">CVSSv3!$A$9</f>
        <v>Impacto a la confidencialidad:</v>
      </c>
      <c r="H320" s="31" t="s">
        <v>713</v>
      </c>
      <c r="I320" s="28"/>
      <c r="J320" s="23"/>
      <c r="K320" s="23"/>
      <c r="L320" s="24"/>
      <c r="M320" s="24"/>
      <c r="N320" s="24"/>
      <c r="O320" s="24"/>
    </row>
    <row r="321" customFormat="false" ht="15.75" hidden="false" customHeight="true" outlineLevel="0" collapsed="false">
      <c r="A321" s="23"/>
      <c r="B321" s="24"/>
      <c r="C321" s="24"/>
      <c r="D321" s="24"/>
      <c r="E321" s="24"/>
      <c r="F321" s="25"/>
      <c r="G321" s="30" t="str">
        <f aca="false">CVSSv3!$A$10</f>
        <v>Impacto a la integridad:</v>
      </c>
      <c r="H321" s="31" t="s">
        <v>713</v>
      </c>
      <c r="I321" s="28"/>
      <c r="J321" s="23"/>
      <c r="K321" s="23"/>
      <c r="L321" s="24"/>
      <c r="M321" s="24"/>
      <c r="N321" s="24"/>
      <c r="O321" s="24"/>
    </row>
    <row r="322" customFormat="false" ht="15.75" hidden="false" customHeight="true" outlineLevel="0" collapsed="false">
      <c r="A322" s="23"/>
      <c r="B322" s="24"/>
      <c r="C322" s="24"/>
      <c r="D322" s="24"/>
      <c r="E322" s="24"/>
      <c r="F322" s="25"/>
      <c r="G322" s="30" t="str">
        <f aca="false">CVSSv3!$A$11</f>
        <v>Impacto a la disponibilidad:</v>
      </c>
      <c r="H322" s="31" t="s">
        <v>713</v>
      </c>
      <c r="I322" s="28"/>
      <c r="J322" s="23"/>
      <c r="K322" s="23"/>
      <c r="L322" s="24"/>
      <c r="M322" s="24"/>
      <c r="N322" s="24"/>
      <c r="O322" s="24"/>
    </row>
    <row r="323" customFormat="false" ht="15.75" hidden="false" customHeight="true" outlineLevel="0" collapsed="false">
      <c r="A323" s="23"/>
      <c r="B323" s="24"/>
      <c r="C323" s="24"/>
      <c r="D323" s="24"/>
      <c r="E323" s="24"/>
      <c r="F323" s="25"/>
      <c r="G323" s="30" t="str">
        <f aca="false">CVSSv3!$A$12</f>
        <v>Explotabilidad:</v>
      </c>
      <c r="H323" s="31" t="s">
        <v>709</v>
      </c>
      <c r="I323" s="28"/>
      <c r="J323" s="23"/>
      <c r="K323" s="23"/>
      <c r="L323" s="24"/>
      <c r="M323" s="24"/>
      <c r="N323" s="24"/>
      <c r="O323" s="24"/>
    </row>
    <row r="324" customFormat="false" ht="15.75" hidden="false" customHeight="true" outlineLevel="0" collapsed="false">
      <c r="A324" s="23"/>
      <c r="B324" s="24"/>
      <c r="C324" s="24"/>
      <c r="D324" s="24"/>
      <c r="E324" s="24"/>
      <c r="F324" s="25"/>
      <c r="G324" s="30" t="str">
        <f aca="false">CVSSv3!$A$13</f>
        <v>Nivel de resolución:</v>
      </c>
      <c r="H324" s="31" t="s">
        <v>714</v>
      </c>
      <c r="I324" s="28"/>
      <c r="J324" s="23"/>
      <c r="K324" s="23"/>
      <c r="L324" s="24"/>
      <c r="M324" s="24"/>
      <c r="N324" s="24"/>
      <c r="O324" s="24"/>
    </row>
    <row r="325" customFormat="false" ht="15.75" hidden="false" customHeight="true" outlineLevel="0" collapsed="false">
      <c r="A325" s="23"/>
      <c r="B325" s="24"/>
      <c r="C325" s="24"/>
      <c r="D325" s="24"/>
      <c r="E325" s="24"/>
      <c r="F325" s="25"/>
      <c r="G325" s="30" t="str">
        <f aca="false">CVSSv3!$A$14</f>
        <v>Nivel de confianza</v>
      </c>
      <c r="H325" s="31" t="s">
        <v>715</v>
      </c>
      <c r="I325" s="28"/>
      <c r="J325" s="23"/>
      <c r="K325" s="23"/>
      <c r="L325" s="24"/>
      <c r="M325" s="24"/>
      <c r="N325" s="24"/>
      <c r="O325" s="24"/>
    </row>
    <row r="326" customFormat="false" ht="15.75" hidden="false" customHeight="true" outlineLevel="0" collapsed="false">
      <c r="A326" s="23"/>
      <c r="B326" s="24"/>
      <c r="C326" s="24"/>
      <c r="D326" s="24"/>
      <c r="E326" s="24"/>
      <c r="F326" s="25"/>
      <c r="G326" s="32" t="str">
        <f aca="false">"("&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32"/>
      <c r="I326" s="28"/>
      <c r="J326" s="23"/>
      <c r="K326" s="23"/>
      <c r="L326" s="24"/>
      <c r="M326" s="24"/>
      <c r="N326" s="24"/>
      <c r="O326" s="24"/>
    </row>
    <row r="327" customFormat="false" ht="15.75" hidden="false" customHeight="true" outlineLevel="0" collapsed="false">
      <c r="A327" s="23" t="n">
        <v>28</v>
      </c>
      <c r="B327" s="24" t="s">
        <v>742</v>
      </c>
      <c r="C327" s="24" t="s">
        <v>17</v>
      </c>
      <c r="D327" s="24" t="s">
        <v>17</v>
      </c>
      <c r="E327" s="24" t="s">
        <v>17</v>
      </c>
      <c r="F32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7" s="26" t="str">
        <f aca="false">CVSSv3!$A$4</f>
        <v>Vector de ataque:</v>
      </c>
      <c r="H327" s="27" t="s">
        <v>706</v>
      </c>
      <c r="I327" s="28" t="n">
        <f aca="false">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23" t="n">
        <v>0</v>
      </c>
      <c r="K327" s="23" t="n">
        <v>0</v>
      </c>
      <c r="L327" s="24" t="s">
        <v>17</v>
      </c>
      <c r="M327" s="24" t="s">
        <v>17</v>
      </c>
      <c r="N327" s="24" t="s">
        <v>707</v>
      </c>
      <c r="O327" s="24" t="s">
        <v>708</v>
      </c>
    </row>
    <row r="328" customFormat="false" ht="15.75" hidden="false" customHeight="true" outlineLevel="0" collapsed="false">
      <c r="A328" s="23"/>
      <c r="B328" s="24"/>
      <c r="C328" s="24"/>
      <c r="D328" s="24"/>
      <c r="E328" s="24"/>
      <c r="F328" s="25"/>
      <c r="G328" s="30" t="str">
        <f aca="false">CVSSv3!$A$5</f>
        <v>Complejidad de ataque:</v>
      </c>
      <c r="H328" s="31" t="s">
        <v>709</v>
      </c>
      <c r="I328" s="28"/>
      <c r="J328" s="23"/>
      <c r="K328" s="23"/>
      <c r="L328" s="24"/>
      <c r="M328" s="24"/>
      <c r="N328" s="24"/>
      <c r="O328" s="24"/>
    </row>
    <row r="329" customFormat="false" ht="15.75" hidden="false" customHeight="true" outlineLevel="0" collapsed="false">
      <c r="A329" s="23"/>
      <c r="B329" s="24"/>
      <c r="C329" s="24"/>
      <c r="D329" s="24"/>
      <c r="E329" s="24"/>
      <c r="F329" s="25"/>
      <c r="G329" s="30" t="str">
        <f aca="false">CVSSv3!$A$6</f>
        <v>Privilegios requeridos:</v>
      </c>
      <c r="H329" s="31" t="s">
        <v>710</v>
      </c>
      <c r="I329" s="28"/>
      <c r="J329" s="23"/>
      <c r="K329" s="23"/>
      <c r="L329" s="24"/>
      <c r="M329" s="24"/>
      <c r="N329" s="24"/>
      <c r="O329" s="24"/>
    </row>
    <row r="330" customFormat="false" ht="15.75" hidden="false" customHeight="true" outlineLevel="0" collapsed="false">
      <c r="A330" s="23"/>
      <c r="B330" s="24"/>
      <c r="C330" s="24"/>
      <c r="D330" s="24"/>
      <c r="E330" s="24"/>
      <c r="F330" s="25"/>
      <c r="G330" s="30" t="str">
        <f aca="false">CVSSv3!$A$7</f>
        <v>Interacción del usuario:</v>
      </c>
      <c r="H330" s="31" t="s">
        <v>711</v>
      </c>
      <c r="I330" s="28"/>
      <c r="J330" s="23"/>
      <c r="K330" s="23"/>
      <c r="L330" s="24"/>
      <c r="M330" s="24"/>
      <c r="N330" s="24"/>
      <c r="O330" s="24"/>
    </row>
    <row r="331" customFormat="false" ht="15.75" hidden="false" customHeight="true" outlineLevel="0" collapsed="false">
      <c r="A331" s="23"/>
      <c r="B331" s="24"/>
      <c r="C331" s="24"/>
      <c r="D331" s="24"/>
      <c r="E331" s="24"/>
      <c r="F331" s="25"/>
      <c r="G331" s="30" t="str">
        <f aca="false">CVSSv3!$A$8</f>
        <v>Alcance:</v>
      </c>
      <c r="H331" s="31" t="s">
        <v>712</v>
      </c>
      <c r="I331" s="28"/>
      <c r="J331" s="23"/>
      <c r="K331" s="23"/>
      <c r="L331" s="24"/>
      <c r="M331" s="24"/>
      <c r="N331" s="24"/>
      <c r="O331" s="24"/>
    </row>
    <row r="332" customFormat="false" ht="15.75" hidden="false" customHeight="true" outlineLevel="0" collapsed="false">
      <c r="A332" s="23"/>
      <c r="B332" s="24"/>
      <c r="C332" s="24"/>
      <c r="D332" s="24"/>
      <c r="E332" s="24"/>
      <c r="F332" s="25"/>
      <c r="G332" s="30" t="str">
        <f aca="false">CVSSv3!$A$9</f>
        <v>Impacto a la confidencialidad:</v>
      </c>
      <c r="H332" s="31" t="s">
        <v>713</v>
      </c>
      <c r="I332" s="28"/>
      <c r="J332" s="23"/>
      <c r="K332" s="23"/>
      <c r="L332" s="24"/>
      <c r="M332" s="24"/>
      <c r="N332" s="24"/>
      <c r="O332" s="24"/>
    </row>
    <row r="333" customFormat="false" ht="15.75" hidden="false" customHeight="true" outlineLevel="0" collapsed="false">
      <c r="A333" s="23"/>
      <c r="B333" s="24"/>
      <c r="C333" s="24"/>
      <c r="D333" s="24"/>
      <c r="E333" s="24"/>
      <c r="F333" s="25"/>
      <c r="G333" s="30" t="str">
        <f aca="false">CVSSv3!$A$10</f>
        <v>Impacto a la integridad:</v>
      </c>
      <c r="H333" s="31" t="s">
        <v>713</v>
      </c>
      <c r="I333" s="28"/>
      <c r="J333" s="23"/>
      <c r="K333" s="23"/>
      <c r="L333" s="24"/>
      <c r="M333" s="24"/>
      <c r="N333" s="24"/>
      <c r="O333" s="24"/>
    </row>
    <row r="334" customFormat="false" ht="15.75" hidden="false" customHeight="true" outlineLevel="0" collapsed="false">
      <c r="A334" s="23"/>
      <c r="B334" s="24"/>
      <c r="C334" s="24"/>
      <c r="D334" s="24"/>
      <c r="E334" s="24"/>
      <c r="F334" s="25"/>
      <c r="G334" s="30" t="str">
        <f aca="false">CVSSv3!$A$11</f>
        <v>Impacto a la disponibilidad:</v>
      </c>
      <c r="H334" s="31" t="s">
        <v>713</v>
      </c>
      <c r="I334" s="28"/>
      <c r="J334" s="23"/>
      <c r="K334" s="23"/>
      <c r="L334" s="24"/>
      <c r="M334" s="24"/>
      <c r="N334" s="24"/>
      <c r="O334" s="24"/>
    </row>
    <row r="335" customFormat="false" ht="15.75" hidden="false" customHeight="true" outlineLevel="0" collapsed="false">
      <c r="A335" s="23"/>
      <c r="B335" s="24"/>
      <c r="C335" s="24"/>
      <c r="D335" s="24"/>
      <c r="E335" s="24"/>
      <c r="F335" s="25"/>
      <c r="G335" s="30" t="str">
        <f aca="false">CVSSv3!$A$12</f>
        <v>Explotabilidad:</v>
      </c>
      <c r="H335" s="31" t="s">
        <v>709</v>
      </c>
      <c r="I335" s="28"/>
      <c r="J335" s="23"/>
      <c r="K335" s="23"/>
      <c r="L335" s="24"/>
      <c r="M335" s="24"/>
      <c r="N335" s="24"/>
      <c r="O335" s="24"/>
    </row>
    <row r="336" customFormat="false" ht="15.75" hidden="false" customHeight="true" outlineLevel="0" collapsed="false">
      <c r="A336" s="23"/>
      <c r="B336" s="24"/>
      <c r="C336" s="24"/>
      <c r="D336" s="24"/>
      <c r="E336" s="24"/>
      <c r="F336" s="25"/>
      <c r="G336" s="30" t="str">
        <f aca="false">CVSSv3!$A$13</f>
        <v>Nivel de resolución:</v>
      </c>
      <c r="H336" s="31" t="s">
        <v>714</v>
      </c>
      <c r="I336" s="28"/>
      <c r="J336" s="23"/>
      <c r="K336" s="23"/>
      <c r="L336" s="24"/>
      <c r="M336" s="24"/>
      <c r="N336" s="24"/>
      <c r="O336" s="24"/>
    </row>
    <row r="337" customFormat="false" ht="15.75" hidden="false" customHeight="true" outlineLevel="0" collapsed="false">
      <c r="A337" s="23"/>
      <c r="B337" s="24"/>
      <c r="C337" s="24"/>
      <c r="D337" s="24"/>
      <c r="E337" s="24"/>
      <c r="F337" s="25"/>
      <c r="G337" s="30" t="str">
        <f aca="false">CVSSv3!$A$14</f>
        <v>Nivel de confianza</v>
      </c>
      <c r="H337" s="31" t="s">
        <v>715</v>
      </c>
      <c r="I337" s="28"/>
      <c r="J337" s="23"/>
      <c r="K337" s="23"/>
      <c r="L337" s="24"/>
      <c r="M337" s="24"/>
      <c r="N337" s="24"/>
      <c r="O337" s="24"/>
    </row>
    <row r="338" customFormat="false" ht="15.75" hidden="false" customHeight="true" outlineLevel="0" collapsed="false">
      <c r="A338" s="23"/>
      <c r="B338" s="24"/>
      <c r="C338" s="24"/>
      <c r="D338" s="24"/>
      <c r="E338" s="24"/>
      <c r="F338" s="25"/>
      <c r="G338" s="32" t="str">
        <f aca="false">"("&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32"/>
      <c r="I338" s="28"/>
      <c r="J338" s="23"/>
      <c r="K338" s="23"/>
      <c r="L338" s="24"/>
      <c r="M338" s="24"/>
      <c r="N338" s="24"/>
      <c r="O338" s="24"/>
    </row>
    <row r="339" customFormat="false" ht="15.75" hidden="false" customHeight="true" outlineLevel="0" collapsed="false">
      <c r="A339" s="23" t="n">
        <v>29</v>
      </c>
      <c r="B339" s="24" t="s">
        <v>743</v>
      </c>
      <c r="C339" s="24" t="s">
        <v>17</v>
      </c>
      <c r="D339" s="24" t="s">
        <v>17</v>
      </c>
      <c r="E339" s="24" t="s">
        <v>17</v>
      </c>
      <c r="F33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9" s="26" t="str">
        <f aca="false">CVSSv3!$A$4</f>
        <v>Vector de ataque:</v>
      </c>
      <c r="H339" s="27" t="s">
        <v>706</v>
      </c>
      <c r="I339" s="28" t="n">
        <f aca="false">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23" t="n">
        <v>0</v>
      </c>
      <c r="K339" s="23" t="n">
        <v>0</v>
      </c>
      <c r="L339" s="24" t="s">
        <v>17</v>
      </c>
      <c r="M339" s="24" t="s">
        <v>17</v>
      </c>
      <c r="N339" s="24" t="s">
        <v>707</v>
      </c>
      <c r="O339" s="24" t="s">
        <v>708</v>
      </c>
    </row>
    <row r="340" customFormat="false" ht="15.75" hidden="false" customHeight="true" outlineLevel="0" collapsed="false">
      <c r="A340" s="23"/>
      <c r="B340" s="24"/>
      <c r="C340" s="24"/>
      <c r="D340" s="24"/>
      <c r="E340" s="24"/>
      <c r="F340" s="25"/>
      <c r="G340" s="30" t="str">
        <f aca="false">CVSSv3!$A$5</f>
        <v>Complejidad de ataque:</v>
      </c>
      <c r="H340" s="31" t="s">
        <v>709</v>
      </c>
      <c r="I340" s="28"/>
      <c r="J340" s="23"/>
      <c r="K340" s="23"/>
      <c r="L340" s="24"/>
      <c r="M340" s="24"/>
      <c r="N340" s="24"/>
      <c r="O340" s="24"/>
    </row>
    <row r="341" customFormat="false" ht="15.75" hidden="false" customHeight="true" outlineLevel="0" collapsed="false">
      <c r="A341" s="23"/>
      <c r="B341" s="24"/>
      <c r="C341" s="24"/>
      <c r="D341" s="24"/>
      <c r="E341" s="24"/>
      <c r="F341" s="25"/>
      <c r="G341" s="30" t="str">
        <f aca="false">CVSSv3!$A$6</f>
        <v>Privilegios requeridos:</v>
      </c>
      <c r="H341" s="31" t="s">
        <v>710</v>
      </c>
      <c r="I341" s="28"/>
      <c r="J341" s="23"/>
      <c r="K341" s="23"/>
      <c r="L341" s="24"/>
      <c r="M341" s="24"/>
      <c r="N341" s="24"/>
      <c r="O341" s="24"/>
    </row>
    <row r="342" customFormat="false" ht="15.75" hidden="false" customHeight="true" outlineLevel="0" collapsed="false">
      <c r="A342" s="23"/>
      <c r="B342" s="24"/>
      <c r="C342" s="24"/>
      <c r="D342" s="24"/>
      <c r="E342" s="24"/>
      <c r="F342" s="25"/>
      <c r="G342" s="30" t="str">
        <f aca="false">CVSSv3!$A$7</f>
        <v>Interacción del usuario:</v>
      </c>
      <c r="H342" s="31" t="s">
        <v>711</v>
      </c>
      <c r="I342" s="28"/>
      <c r="J342" s="23"/>
      <c r="K342" s="23"/>
      <c r="L342" s="24"/>
      <c r="M342" s="24"/>
      <c r="N342" s="24"/>
      <c r="O342" s="24"/>
    </row>
    <row r="343" customFormat="false" ht="15.75" hidden="false" customHeight="true" outlineLevel="0" collapsed="false">
      <c r="A343" s="23"/>
      <c r="B343" s="24"/>
      <c r="C343" s="24"/>
      <c r="D343" s="24"/>
      <c r="E343" s="24"/>
      <c r="F343" s="25"/>
      <c r="G343" s="30" t="str">
        <f aca="false">CVSSv3!$A$8</f>
        <v>Alcance:</v>
      </c>
      <c r="H343" s="31" t="s">
        <v>712</v>
      </c>
      <c r="I343" s="28"/>
      <c r="J343" s="23"/>
      <c r="K343" s="23"/>
      <c r="L343" s="24"/>
      <c r="M343" s="24"/>
      <c r="N343" s="24"/>
      <c r="O343" s="24"/>
    </row>
    <row r="344" customFormat="false" ht="15.75" hidden="false" customHeight="true" outlineLevel="0" collapsed="false">
      <c r="A344" s="23"/>
      <c r="B344" s="24"/>
      <c r="C344" s="24"/>
      <c r="D344" s="24"/>
      <c r="E344" s="24"/>
      <c r="F344" s="25"/>
      <c r="G344" s="30" t="str">
        <f aca="false">CVSSv3!$A$9</f>
        <v>Impacto a la confidencialidad:</v>
      </c>
      <c r="H344" s="31" t="s">
        <v>713</v>
      </c>
      <c r="I344" s="28"/>
      <c r="J344" s="23"/>
      <c r="K344" s="23"/>
      <c r="L344" s="24"/>
      <c r="M344" s="24"/>
      <c r="N344" s="24"/>
      <c r="O344" s="24"/>
    </row>
    <row r="345" customFormat="false" ht="15.75" hidden="false" customHeight="true" outlineLevel="0" collapsed="false">
      <c r="A345" s="23"/>
      <c r="B345" s="24"/>
      <c r="C345" s="24"/>
      <c r="D345" s="24"/>
      <c r="E345" s="24"/>
      <c r="F345" s="25"/>
      <c r="G345" s="30" t="str">
        <f aca="false">CVSSv3!$A$10</f>
        <v>Impacto a la integridad:</v>
      </c>
      <c r="H345" s="31" t="s">
        <v>713</v>
      </c>
      <c r="I345" s="28"/>
      <c r="J345" s="23"/>
      <c r="K345" s="23"/>
      <c r="L345" s="24"/>
      <c r="M345" s="24"/>
      <c r="N345" s="24"/>
      <c r="O345" s="24"/>
    </row>
    <row r="346" customFormat="false" ht="15.75" hidden="false" customHeight="true" outlineLevel="0" collapsed="false">
      <c r="A346" s="23"/>
      <c r="B346" s="24"/>
      <c r="C346" s="24"/>
      <c r="D346" s="24"/>
      <c r="E346" s="24"/>
      <c r="F346" s="25"/>
      <c r="G346" s="30" t="str">
        <f aca="false">CVSSv3!$A$11</f>
        <v>Impacto a la disponibilidad:</v>
      </c>
      <c r="H346" s="31" t="s">
        <v>713</v>
      </c>
      <c r="I346" s="28"/>
      <c r="J346" s="23"/>
      <c r="K346" s="23"/>
      <c r="L346" s="24"/>
      <c r="M346" s="24"/>
      <c r="N346" s="24"/>
      <c r="O346" s="24"/>
    </row>
    <row r="347" customFormat="false" ht="15.75" hidden="false" customHeight="true" outlineLevel="0" collapsed="false">
      <c r="A347" s="23"/>
      <c r="B347" s="24"/>
      <c r="C347" s="24"/>
      <c r="D347" s="24"/>
      <c r="E347" s="24"/>
      <c r="F347" s="25"/>
      <c r="G347" s="30" t="str">
        <f aca="false">CVSSv3!$A$12</f>
        <v>Explotabilidad:</v>
      </c>
      <c r="H347" s="31" t="s">
        <v>709</v>
      </c>
      <c r="I347" s="28"/>
      <c r="J347" s="23"/>
      <c r="K347" s="23"/>
      <c r="L347" s="24"/>
      <c r="M347" s="24"/>
      <c r="N347" s="24"/>
      <c r="O347" s="24"/>
    </row>
    <row r="348" customFormat="false" ht="15.75" hidden="false" customHeight="true" outlineLevel="0" collapsed="false">
      <c r="A348" s="23"/>
      <c r="B348" s="24"/>
      <c r="C348" s="24"/>
      <c r="D348" s="24"/>
      <c r="E348" s="24"/>
      <c r="F348" s="25"/>
      <c r="G348" s="30" t="str">
        <f aca="false">CVSSv3!$A$13</f>
        <v>Nivel de resolución:</v>
      </c>
      <c r="H348" s="31" t="s">
        <v>714</v>
      </c>
      <c r="I348" s="28"/>
      <c r="J348" s="23"/>
      <c r="K348" s="23"/>
      <c r="L348" s="24"/>
      <c r="M348" s="24"/>
      <c r="N348" s="24"/>
      <c r="O348" s="24"/>
    </row>
    <row r="349" customFormat="false" ht="15.75" hidden="false" customHeight="true" outlineLevel="0" collapsed="false">
      <c r="A349" s="23"/>
      <c r="B349" s="24"/>
      <c r="C349" s="24"/>
      <c r="D349" s="24"/>
      <c r="E349" s="24"/>
      <c r="F349" s="25"/>
      <c r="G349" s="30" t="str">
        <f aca="false">CVSSv3!$A$14</f>
        <v>Nivel de confianza</v>
      </c>
      <c r="H349" s="31" t="s">
        <v>715</v>
      </c>
      <c r="I349" s="28"/>
      <c r="J349" s="23"/>
      <c r="K349" s="23"/>
      <c r="L349" s="24"/>
      <c r="M349" s="24"/>
      <c r="N349" s="24"/>
      <c r="O349" s="24"/>
    </row>
    <row r="350" customFormat="false" ht="15.75" hidden="false" customHeight="true" outlineLevel="0" collapsed="false">
      <c r="A350" s="23"/>
      <c r="B350" s="24"/>
      <c r="C350" s="24"/>
      <c r="D350" s="24"/>
      <c r="E350" s="24"/>
      <c r="F350" s="25"/>
      <c r="G350" s="32" t="str">
        <f aca="false">"("&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32"/>
      <c r="I350" s="28"/>
      <c r="J350" s="23"/>
      <c r="K350" s="23"/>
      <c r="L350" s="24"/>
      <c r="M350" s="24"/>
      <c r="N350" s="24"/>
      <c r="O350" s="24"/>
    </row>
    <row r="351" customFormat="false" ht="15.75" hidden="false" customHeight="true" outlineLevel="0" collapsed="false">
      <c r="A351" s="23" t="n">
        <v>30</v>
      </c>
      <c r="B351" s="24" t="s">
        <v>744</v>
      </c>
      <c r="C351" s="24" t="s">
        <v>17</v>
      </c>
      <c r="D351" s="24" t="s">
        <v>17</v>
      </c>
      <c r="E351" s="24" t="s">
        <v>17</v>
      </c>
      <c r="F35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1" s="26" t="str">
        <f aca="false">CVSSv3!$A$4</f>
        <v>Vector de ataque:</v>
      </c>
      <c r="H351" s="27" t="s">
        <v>706</v>
      </c>
      <c r="I351" s="28" t="n">
        <f aca="false">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23" t="n">
        <v>0</v>
      </c>
      <c r="K351" s="23" t="n">
        <v>0</v>
      </c>
      <c r="L351" s="24" t="s">
        <v>17</v>
      </c>
      <c r="M351" s="24" t="s">
        <v>17</v>
      </c>
      <c r="N351" s="24" t="s">
        <v>707</v>
      </c>
      <c r="O351" s="24" t="s">
        <v>708</v>
      </c>
    </row>
    <row r="352" customFormat="false" ht="15.75" hidden="false" customHeight="true" outlineLevel="0" collapsed="false">
      <c r="A352" s="23"/>
      <c r="B352" s="24"/>
      <c r="C352" s="24"/>
      <c r="D352" s="24"/>
      <c r="E352" s="24"/>
      <c r="F352" s="25"/>
      <c r="G352" s="30" t="str">
        <f aca="false">CVSSv3!$A$5</f>
        <v>Complejidad de ataque:</v>
      </c>
      <c r="H352" s="31" t="s">
        <v>709</v>
      </c>
      <c r="I352" s="28"/>
      <c r="J352" s="23"/>
      <c r="K352" s="23"/>
      <c r="L352" s="24"/>
      <c r="M352" s="24"/>
      <c r="N352" s="24"/>
      <c r="O352" s="24"/>
    </row>
    <row r="353" customFormat="false" ht="15.75" hidden="false" customHeight="true" outlineLevel="0" collapsed="false">
      <c r="A353" s="23"/>
      <c r="B353" s="24"/>
      <c r="C353" s="24"/>
      <c r="D353" s="24"/>
      <c r="E353" s="24"/>
      <c r="F353" s="25"/>
      <c r="G353" s="30" t="str">
        <f aca="false">CVSSv3!$A$6</f>
        <v>Privilegios requeridos:</v>
      </c>
      <c r="H353" s="31" t="s">
        <v>710</v>
      </c>
      <c r="I353" s="28"/>
      <c r="J353" s="23"/>
      <c r="K353" s="23"/>
      <c r="L353" s="24"/>
      <c r="M353" s="24"/>
      <c r="N353" s="24"/>
      <c r="O353" s="24"/>
    </row>
    <row r="354" customFormat="false" ht="15.75" hidden="false" customHeight="true" outlineLevel="0" collapsed="false">
      <c r="A354" s="23"/>
      <c r="B354" s="24"/>
      <c r="C354" s="24"/>
      <c r="D354" s="24"/>
      <c r="E354" s="24"/>
      <c r="F354" s="25"/>
      <c r="G354" s="30" t="str">
        <f aca="false">CVSSv3!$A$7</f>
        <v>Interacción del usuario:</v>
      </c>
      <c r="H354" s="31" t="s">
        <v>711</v>
      </c>
      <c r="I354" s="28"/>
      <c r="J354" s="23"/>
      <c r="K354" s="23"/>
      <c r="L354" s="24"/>
      <c r="M354" s="24"/>
      <c r="N354" s="24"/>
      <c r="O354" s="24"/>
    </row>
    <row r="355" customFormat="false" ht="15.75" hidden="false" customHeight="true" outlineLevel="0" collapsed="false">
      <c r="A355" s="23"/>
      <c r="B355" s="24"/>
      <c r="C355" s="24"/>
      <c r="D355" s="24"/>
      <c r="E355" s="24"/>
      <c r="F355" s="25"/>
      <c r="G355" s="30" t="str">
        <f aca="false">CVSSv3!$A$8</f>
        <v>Alcance:</v>
      </c>
      <c r="H355" s="31" t="s">
        <v>712</v>
      </c>
      <c r="I355" s="28"/>
      <c r="J355" s="23"/>
      <c r="K355" s="23"/>
      <c r="L355" s="24"/>
      <c r="M355" s="24"/>
      <c r="N355" s="24"/>
      <c r="O355" s="24"/>
    </row>
    <row r="356" customFormat="false" ht="15.75" hidden="false" customHeight="true" outlineLevel="0" collapsed="false">
      <c r="A356" s="23"/>
      <c r="B356" s="24"/>
      <c r="C356" s="24"/>
      <c r="D356" s="24"/>
      <c r="E356" s="24"/>
      <c r="F356" s="25"/>
      <c r="G356" s="30" t="str">
        <f aca="false">CVSSv3!$A$9</f>
        <v>Impacto a la confidencialidad:</v>
      </c>
      <c r="H356" s="31" t="s">
        <v>713</v>
      </c>
      <c r="I356" s="28"/>
      <c r="J356" s="23"/>
      <c r="K356" s="23"/>
      <c r="L356" s="24"/>
      <c r="M356" s="24"/>
      <c r="N356" s="24"/>
      <c r="O356" s="24"/>
    </row>
    <row r="357" customFormat="false" ht="15.75" hidden="false" customHeight="true" outlineLevel="0" collapsed="false">
      <c r="A357" s="23"/>
      <c r="B357" s="24"/>
      <c r="C357" s="24"/>
      <c r="D357" s="24"/>
      <c r="E357" s="24"/>
      <c r="F357" s="25"/>
      <c r="G357" s="30" t="str">
        <f aca="false">CVSSv3!$A$10</f>
        <v>Impacto a la integridad:</v>
      </c>
      <c r="H357" s="31" t="s">
        <v>713</v>
      </c>
      <c r="I357" s="28"/>
      <c r="J357" s="23"/>
      <c r="K357" s="23"/>
      <c r="L357" s="24"/>
      <c r="M357" s="24"/>
      <c r="N357" s="24"/>
      <c r="O357" s="24"/>
    </row>
    <row r="358" customFormat="false" ht="15.75" hidden="false" customHeight="true" outlineLevel="0" collapsed="false">
      <c r="A358" s="23"/>
      <c r="B358" s="24"/>
      <c r="C358" s="24"/>
      <c r="D358" s="24"/>
      <c r="E358" s="24"/>
      <c r="F358" s="25"/>
      <c r="G358" s="30" t="str">
        <f aca="false">CVSSv3!$A$11</f>
        <v>Impacto a la disponibilidad:</v>
      </c>
      <c r="H358" s="31" t="s">
        <v>713</v>
      </c>
      <c r="I358" s="28"/>
      <c r="J358" s="23"/>
      <c r="K358" s="23"/>
      <c r="L358" s="24"/>
      <c r="M358" s="24"/>
      <c r="N358" s="24"/>
      <c r="O358" s="24"/>
    </row>
    <row r="359" customFormat="false" ht="15.75" hidden="false" customHeight="true" outlineLevel="0" collapsed="false">
      <c r="A359" s="23"/>
      <c r="B359" s="24"/>
      <c r="C359" s="24"/>
      <c r="D359" s="24"/>
      <c r="E359" s="24"/>
      <c r="F359" s="25"/>
      <c r="G359" s="30" t="str">
        <f aca="false">CVSSv3!$A$12</f>
        <v>Explotabilidad:</v>
      </c>
      <c r="H359" s="31" t="s">
        <v>709</v>
      </c>
      <c r="I359" s="28"/>
      <c r="J359" s="23"/>
      <c r="K359" s="23"/>
      <c r="L359" s="24"/>
      <c r="M359" s="24"/>
      <c r="N359" s="24"/>
      <c r="O359" s="24"/>
    </row>
    <row r="360" customFormat="false" ht="15.75" hidden="false" customHeight="true" outlineLevel="0" collapsed="false">
      <c r="A360" s="23"/>
      <c r="B360" s="24"/>
      <c r="C360" s="24"/>
      <c r="D360" s="24"/>
      <c r="E360" s="24"/>
      <c r="F360" s="25"/>
      <c r="G360" s="30" t="str">
        <f aca="false">CVSSv3!$A$13</f>
        <v>Nivel de resolución:</v>
      </c>
      <c r="H360" s="31" t="s">
        <v>714</v>
      </c>
      <c r="I360" s="28"/>
      <c r="J360" s="23"/>
      <c r="K360" s="23"/>
      <c r="L360" s="24"/>
      <c r="M360" s="24"/>
      <c r="N360" s="24"/>
      <c r="O360" s="24"/>
    </row>
    <row r="361" customFormat="false" ht="15.75" hidden="false" customHeight="true" outlineLevel="0" collapsed="false">
      <c r="A361" s="23"/>
      <c r="B361" s="24"/>
      <c r="C361" s="24"/>
      <c r="D361" s="24"/>
      <c r="E361" s="24"/>
      <c r="F361" s="25"/>
      <c r="G361" s="30" t="str">
        <f aca="false">CVSSv3!$A$14</f>
        <v>Nivel de confianza</v>
      </c>
      <c r="H361" s="31" t="s">
        <v>715</v>
      </c>
      <c r="I361" s="28"/>
      <c r="J361" s="23"/>
      <c r="K361" s="23"/>
      <c r="L361" s="24"/>
      <c r="M361" s="24"/>
      <c r="N361" s="24"/>
      <c r="O361" s="24"/>
    </row>
    <row r="362" customFormat="false" ht="15.75" hidden="false" customHeight="true" outlineLevel="0" collapsed="false">
      <c r="A362" s="23"/>
      <c r="B362" s="24"/>
      <c r="C362" s="24"/>
      <c r="D362" s="24"/>
      <c r="E362" s="24"/>
      <c r="F362" s="25"/>
      <c r="G362" s="32" t="str">
        <f aca="false">"("&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32"/>
      <c r="I362" s="28"/>
      <c r="J362" s="23"/>
      <c r="K362" s="23"/>
      <c r="L362" s="24"/>
      <c r="M362" s="24"/>
      <c r="N362" s="24"/>
      <c r="O362" s="24"/>
    </row>
    <row r="363" customFormat="false" ht="15.75" hidden="false" customHeight="true" outlineLevel="0" collapsed="false">
      <c r="A363" s="23" t="n">
        <v>31</v>
      </c>
      <c r="B363" s="24" t="s">
        <v>745</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6" t="str">
        <f aca="false">CVSSv3!$A$4</f>
        <v>Vector de ataque:</v>
      </c>
      <c r="H363" s="27" t="s">
        <v>706</v>
      </c>
      <c r="I363" s="28" t="n">
        <f aca="false">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23" t="n">
        <v>0</v>
      </c>
      <c r="K363" s="23" t="n">
        <v>0</v>
      </c>
      <c r="L363" s="24" t="s">
        <v>17</v>
      </c>
      <c r="M363" s="24" t="s">
        <v>17</v>
      </c>
      <c r="N363" s="24" t="s">
        <v>707</v>
      </c>
      <c r="O363" s="24" t="s">
        <v>708</v>
      </c>
    </row>
    <row r="364" customFormat="false" ht="15.75" hidden="false" customHeight="true" outlineLevel="0" collapsed="false">
      <c r="A364" s="23"/>
      <c r="B364" s="24"/>
      <c r="C364" s="24"/>
      <c r="D364" s="24"/>
      <c r="E364" s="24"/>
      <c r="F364" s="25"/>
      <c r="G364" s="30" t="str">
        <f aca="false">CVSSv3!$A$5</f>
        <v>Complejidad de ataque:</v>
      </c>
      <c r="H364" s="31" t="s">
        <v>709</v>
      </c>
      <c r="I364" s="28"/>
      <c r="J364" s="23"/>
      <c r="K364" s="23"/>
      <c r="L364" s="24"/>
      <c r="M364" s="24"/>
      <c r="N364" s="24"/>
      <c r="O364" s="24"/>
    </row>
    <row r="365" customFormat="false" ht="15.75" hidden="false" customHeight="true" outlineLevel="0" collapsed="false">
      <c r="A365" s="23"/>
      <c r="B365" s="24"/>
      <c r="C365" s="24"/>
      <c r="D365" s="24"/>
      <c r="E365" s="24"/>
      <c r="F365" s="25"/>
      <c r="G365" s="30" t="str">
        <f aca="false">CVSSv3!$A$6</f>
        <v>Privilegios requeridos:</v>
      </c>
      <c r="H365" s="31" t="s">
        <v>710</v>
      </c>
      <c r="I365" s="28"/>
      <c r="J365" s="23"/>
      <c r="K365" s="23"/>
      <c r="L365" s="24"/>
      <c r="M365" s="24"/>
      <c r="N365" s="24"/>
      <c r="O365" s="24"/>
    </row>
    <row r="366" customFormat="false" ht="15.75" hidden="false" customHeight="true" outlineLevel="0" collapsed="false">
      <c r="A366" s="23"/>
      <c r="B366" s="24"/>
      <c r="C366" s="24"/>
      <c r="D366" s="24"/>
      <c r="E366" s="24"/>
      <c r="F366" s="25"/>
      <c r="G366" s="30" t="str">
        <f aca="false">CVSSv3!$A$7</f>
        <v>Interacción del usuario:</v>
      </c>
      <c r="H366" s="31" t="s">
        <v>711</v>
      </c>
      <c r="I366" s="28"/>
      <c r="J366" s="23"/>
      <c r="K366" s="23"/>
      <c r="L366" s="24"/>
      <c r="M366" s="24"/>
      <c r="N366" s="24"/>
      <c r="O366" s="24"/>
    </row>
    <row r="367" customFormat="false" ht="15.75" hidden="false" customHeight="true" outlineLevel="0" collapsed="false">
      <c r="A367" s="23"/>
      <c r="B367" s="24"/>
      <c r="C367" s="24"/>
      <c r="D367" s="24"/>
      <c r="E367" s="24"/>
      <c r="F367" s="25"/>
      <c r="G367" s="30" t="str">
        <f aca="false">CVSSv3!$A$8</f>
        <v>Alcance:</v>
      </c>
      <c r="H367" s="31" t="s">
        <v>712</v>
      </c>
      <c r="I367" s="28"/>
      <c r="J367" s="23"/>
      <c r="K367" s="23"/>
      <c r="L367" s="24"/>
      <c r="M367" s="24"/>
      <c r="N367" s="24"/>
      <c r="O367" s="24"/>
    </row>
    <row r="368" customFormat="false" ht="15.75" hidden="false" customHeight="true" outlineLevel="0" collapsed="false">
      <c r="A368" s="23"/>
      <c r="B368" s="24"/>
      <c r="C368" s="24"/>
      <c r="D368" s="24"/>
      <c r="E368" s="24"/>
      <c r="F368" s="25"/>
      <c r="G368" s="30" t="str">
        <f aca="false">CVSSv3!$A$9</f>
        <v>Impacto a la confidencialidad:</v>
      </c>
      <c r="H368" s="31" t="s">
        <v>713</v>
      </c>
      <c r="I368" s="28"/>
      <c r="J368" s="23"/>
      <c r="K368" s="23"/>
      <c r="L368" s="24"/>
      <c r="M368" s="24"/>
      <c r="N368" s="24"/>
      <c r="O368" s="24"/>
    </row>
    <row r="369" customFormat="false" ht="15.75" hidden="false" customHeight="true" outlineLevel="0" collapsed="false">
      <c r="A369" s="23"/>
      <c r="B369" s="24"/>
      <c r="C369" s="24"/>
      <c r="D369" s="24"/>
      <c r="E369" s="24"/>
      <c r="F369" s="25"/>
      <c r="G369" s="30" t="str">
        <f aca="false">CVSSv3!$A$10</f>
        <v>Impacto a la integridad:</v>
      </c>
      <c r="H369" s="31" t="s">
        <v>713</v>
      </c>
      <c r="I369" s="28"/>
      <c r="J369" s="23"/>
      <c r="K369" s="23"/>
      <c r="L369" s="24"/>
      <c r="M369" s="24"/>
      <c r="N369" s="24"/>
      <c r="O369" s="24"/>
    </row>
    <row r="370" customFormat="false" ht="15.75" hidden="false" customHeight="true" outlineLevel="0" collapsed="false">
      <c r="A370" s="23"/>
      <c r="B370" s="24"/>
      <c r="C370" s="24"/>
      <c r="D370" s="24"/>
      <c r="E370" s="24"/>
      <c r="F370" s="25"/>
      <c r="G370" s="30" t="str">
        <f aca="false">CVSSv3!$A$11</f>
        <v>Impacto a la disponibilidad:</v>
      </c>
      <c r="H370" s="31" t="s">
        <v>713</v>
      </c>
      <c r="I370" s="28"/>
      <c r="J370" s="23"/>
      <c r="K370" s="23"/>
      <c r="L370" s="24"/>
      <c r="M370" s="24"/>
      <c r="N370" s="24"/>
      <c r="O370" s="24"/>
    </row>
    <row r="371" customFormat="false" ht="15.75" hidden="false" customHeight="true" outlineLevel="0" collapsed="false">
      <c r="A371" s="23"/>
      <c r="B371" s="24"/>
      <c r="C371" s="24"/>
      <c r="D371" s="24"/>
      <c r="E371" s="24"/>
      <c r="F371" s="25"/>
      <c r="G371" s="30" t="str">
        <f aca="false">CVSSv3!$A$12</f>
        <v>Explotabilidad:</v>
      </c>
      <c r="H371" s="31" t="s">
        <v>709</v>
      </c>
      <c r="I371" s="28"/>
      <c r="J371" s="23"/>
      <c r="K371" s="23"/>
      <c r="L371" s="24"/>
      <c r="M371" s="24"/>
      <c r="N371" s="24"/>
      <c r="O371" s="24"/>
    </row>
    <row r="372" customFormat="false" ht="15.75" hidden="false" customHeight="true" outlineLevel="0" collapsed="false">
      <c r="A372" s="23"/>
      <c r="B372" s="24"/>
      <c r="C372" s="24"/>
      <c r="D372" s="24"/>
      <c r="E372" s="24"/>
      <c r="F372" s="25"/>
      <c r="G372" s="30" t="str">
        <f aca="false">CVSSv3!$A$13</f>
        <v>Nivel de resolución:</v>
      </c>
      <c r="H372" s="31" t="s">
        <v>714</v>
      </c>
      <c r="I372" s="28"/>
      <c r="J372" s="23"/>
      <c r="K372" s="23"/>
      <c r="L372" s="24"/>
      <c r="M372" s="24"/>
      <c r="N372" s="24"/>
      <c r="O372" s="24"/>
    </row>
    <row r="373" customFormat="false" ht="15.75" hidden="false" customHeight="true" outlineLevel="0" collapsed="false">
      <c r="A373" s="23"/>
      <c r="B373" s="24"/>
      <c r="C373" s="24"/>
      <c r="D373" s="24"/>
      <c r="E373" s="24"/>
      <c r="F373" s="25"/>
      <c r="G373" s="30" t="str">
        <f aca="false">CVSSv3!$A$14</f>
        <v>Nivel de confianza</v>
      </c>
      <c r="H373" s="31" t="s">
        <v>715</v>
      </c>
      <c r="I373" s="28"/>
      <c r="J373" s="23"/>
      <c r="K373" s="23"/>
      <c r="L373" s="24"/>
      <c r="M373" s="24"/>
      <c r="N373" s="24"/>
      <c r="O373" s="24"/>
    </row>
    <row r="374" customFormat="false" ht="15.75" hidden="false" customHeight="true" outlineLevel="0" collapsed="false">
      <c r="A374" s="23"/>
      <c r="B374" s="24"/>
      <c r="C374" s="24"/>
      <c r="D374" s="24"/>
      <c r="E374" s="24"/>
      <c r="F374" s="25"/>
      <c r="G374" s="32" t="str">
        <f aca="false">"("&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32"/>
      <c r="I374" s="28"/>
      <c r="J374" s="23"/>
      <c r="K374" s="23"/>
      <c r="L374" s="24"/>
      <c r="M374" s="24"/>
      <c r="N374" s="24"/>
      <c r="O374" s="24"/>
    </row>
    <row r="375" customFormat="false" ht="15.75" hidden="false" customHeight="true" outlineLevel="0" collapsed="false">
      <c r="A375" s="23" t="n">
        <v>32</v>
      </c>
      <c r="B375" s="24" t="s">
        <v>746</v>
      </c>
      <c r="C375" s="24" t="s">
        <v>17</v>
      </c>
      <c r="D375" s="24" t="s">
        <v>17</v>
      </c>
      <c r="E375" s="24" t="s">
        <v>17</v>
      </c>
      <c r="F37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5" s="26" t="str">
        <f aca="false">CVSSv3!$A$4</f>
        <v>Vector de ataque:</v>
      </c>
      <c r="H375" s="27" t="s">
        <v>706</v>
      </c>
      <c r="I375" s="28" t="n">
        <f aca="false">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23" t="n">
        <v>0</v>
      </c>
      <c r="K375" s="23" t="n">
        <v>0</v>
      </c>
      <c r="L375" s="24" t="s">
        <v>17</v>
      </c>
      <c r="M375" s="24" t="s">
        <v>17</v>
      </c>
      <c r="N375" s="24" t="s">
        <v>707</v>
      </c>
      <c r="O375" s="24" t="s">
        <v>708</v>
      </c>
    </row>
    <row r="376" customFormat="false" ht="15.75" hidden="false" customHeight="true" outlineLevel="0" collapsed="false">
      <c r="A376" s="23"/>
      <c r="B376" s="24"/>
      <c r="C376" s="24"/>
      <c r="D376" s="24"/>
      <c r="E376" s="24"/>
      <c r="F376" s="25"/>
      <c r="G376" s="30" t="str">
        <f aca="false">CVSSv3!$A$5</f>
        <v>Complejidad de ataque:</v>
      </c>
      <c r="H376" s="31" t="s">
        <v>709</v>
      </c>
      <c r="I376" s="28"/>
      <c r="J376" s="23"/>
      <c r="K376" s="23"/>
      <c r="L376" s="24"/>
      <c r="M376" s="24"/>
      <c r="N376" s="24"/>
      <c r="O376" s="24"/>
    </row>
    <row r="377" customFormat="false" ht="15.75" hidden="false" customHeight="true" outlineLevel="0" collapsed="false">
      <c r="A377" s="23"/>
      <c r="B377" s="24"/>
      <c r="C377" s="24"/>
      <c r="D377" s="24"/>
      <c r="E377" s="24"/>
      <c r="F377" s="25"/>
      <c r="G377" s="30" t="str">
        <f aca="false">CVSSv3!$A$6</f>
        <v>Privilegios requeridos:</v>
      </c>
      <c r="H377" s="31" t="s">
        <v>710</v>
      </c>
      <c r="I377" s="28"/>
      <c r="J377" s="23"/>
      <c r="K377" s="23"/>
      <c r="L377" s="24"/>
      <c r="M377" s="24"/>
      <c r="N377" s="24"/>
      <c r="O377" s="24"/>
    </row>
    <row r="378" customFormat="false" ht="15.75" hidden="false" customHeight="true" outlineLevel="0" collapsed="false">
      <c r="A378" s="23"/>
      <c r="B378" s="24"/>
      <c r="C378" s="24"/>
      <c r="D378" s="24"/>
      <c r="E378" s="24"/>
      <c r="F378" s="25"/>
      <c r="G378" s="30" t="str">
        <f aca="false">CVSSv3!$A$7</f>
        <v>Interacción del usuario:</v>
      </c>
      <c r="H378" s="31" t="s">
        <v>711</v>
      </c>
      <c r="I378" s="28"/>
      <c r="J378" s="23"/>
      <c r="K378" s="23"/>
      <c r="L378" s="24"/>
      <c r="M378" s="24"/>
      <c r="N378" s="24"/>
      <c r="O378" s="24"/>
    </row>
    <row r="379" customFormat="false" ht="15.75" hidden="false" customHeight="true" outlineLevel="0" collapsed="false">
      <c r="A379" s="23"/>
      <c r="B379" s="24"/>
      <c r="C379" s="24"/>
      <c r="D379" s="24"/>
      <c r="E379" s="24"/>
      <c r="F379" s="25"/>
      <c r="G379" s="30" t="str">
        <f aca="false">CVSSv3!$A$8</f>
        <v>Alcance:</v>
      </c>
      <c r="H379" s="31" t="s">
        <v>712</v>
      </c>
      <c r="I379" s="28"/>
      <c r="J379" s="23"/>
      <c r="K379" s="23"/>
      <c r="L379" s="24"/>
      <c r="M379" s="24"/>
      <c r="N379" s="24"/>
      <c r="O379" s="24"/>
    </row>
    <row r="380" customFormat="false" ht="15.75" hidden="false" customHeight="true" outlineLevel="0" collapsed="false">
      <c r="A380" s="23"/>
      <c r="B380" s="24"/>
      <c r="C380" s="24"/>
      <c r="D380" s="24"/>
      <c r="E380" s="24"/>
      <c r="F380" s="25"/>
      <c r="G380" s="30" t="str">
        <f aca="false">CVSSv3!$A$9</f>
        <v>Impacto a la confidencialidad:</v>
      </c>
      <c r="H380" s="31" t="s">
        <v>713</v>
      </c>
      <c r="I380" s="28"/>
      <c r="J380" s="23"/>
      <c r="K380" s="23"/>
      <c r="L380" s="24"/>
      <c r="M380" s="24"/>
      <c r="N380" s="24"/>
      <c r="O380" s="24"/>
    </row>
    <row r="381" customFormat="false" ht="15.75" hidden="false" customHeight="true" outlineLevel="0" collapsed="false">
      <c r="A381" s="23"/>
      <c r="B381" s="24"/>
      <c r="C381" s="24"/>
      <c r="D381" s="24"/>
      <c r="E381" s="24"/>
      <c r="F381" s="25"/>
      <c r="G381" s="30" t="str">
        <f aca="false">CVSSv3!$A$10</f>
        <v>Impacto a la integridad:</v>
      </c>
      <c r="H381" s="31" t="s">
        <v>713</v>
      </c>
      <c r="I381" s="28"/>
      <c r="J381" s="23"/>
      <c r="K381" s="23"/>
      <c r="L381" s="24"/>
      <c r="M381" s="24"/>
      <c r="N381" s="24"/>
      <c r="O381" s="24"/>
    </row>
    <row r="382" customFormat="false" ht="15.75" hidden="false" customHeight="true" outlineLevel="0" collapsed="false">
      <c r="A382" s="23"/>
      <c r="B382" s="24"/>
      <c r="C382" s="24"/>
      <c r="D382" s="24"/>
      <c r="E382" s="24"/>
      <c r="F382" s="25"/>
      <c r="G382" s="30" t="str">
        <f aca="false">CVSSv3!$A$11</f>
        <v>Impacto a la disponibilidad:</v>
      </c>
      <c r="H382" s="31" t="s">
        <v>713</v>
      </c>
      <c r="I382" s="28"/>
      <c r="J382" s="23"/>
      <c r="K382" s="23"/>
      <c r="L382" s="24"/>
      <c r="M382" s="24"/>
      <c r="N382" s="24"/>
      <c r="O382" s="24"/>
    </row>
    <row r="383" customFormat="false" ht="15.75" hidden="false" customHeight="true" outlineLevel="0" collapsed="false">
      <c r="A383" s="23"/>
      <c r="B383" s="24"/>
      <c r="C383" s="24"/>
      <c r="D383" s="24"/>
      <c r="E383" s="24"/>
      <c r="F383" s="25"/>
      <c r="G383" s="30" t="str">
        <f aca="false">CVSSv3!$A$12</f>
        <v>Explotabilidad:</v>
      </c>
      <c r="H383" s="31" t="s">
        <v>709</v>
      </c>
      <c r="I383" s="28"/>
      <c r="J383" s="23"/>
      <c r="K383" s="23"/>
      <c r="L383" s="24"/>
      <c r="M383" s="24"/>
      <c r="N383" s="24"/>
      <c r="O383" s="24"/>
    </row>
    <row r="384" customFormat="false" ht="15.75" hidden="false" customHeight="true" outlineLevel="0" collapsed="false">
      <c r="A384" s="23"/>
      <c r="B384" s="24"/>
      <c r="C384" s="24"/>
      <c r="D384" s="24"/>
      <c r="E384" s="24"/>
      <c r="F384" s="25"/>
      <c r="G384" s="30" t="str">
        <f aca="false">CVSSv3!$A$13</f>
        <v>Nivel de resolución:</v>
      </c>
      <c r="H384" s="31" t="s">
        <v>714</v>
      </c>
      <c r="I384" s="28"/>
      <c r="J384" s="23"/>
      <c r="K384" s="23"/>
      <c r="L384" s="24"/>
      <c r="M384" s="24"/>
      <c r="N384" s="24"/>
      <c r="O384" s="24"/>
    </row>
    <row r="385" customFormat="false" ht="15.75" hidden="false" customHeight="true" outlineLevel="0" collapsed="false">
      <c r="A385" s="23"/>
      <c r="B385" s="24"/>
      <c r="C385" s="24"/>
      <c r="D385" s="24"/>
      <c r="E385" s="24"/>
      <c r="F385" s="25"/>
      <c r="G385" s="30" t="str">
        <f aca="false">CVSSv3!$A$14</f>
        <v>Nivel de confianza</v>
      </c>
      <c r="H385" s="31" t="s">
        <v>715</v>
      </c>
      <c r="I385" s="28"/>
      <c r="J385" s="23"/>
      <c r="K385" s="23"/>
      <c r="L385" s="24"/>
      <c r="M385" s="24"/>
      <c r="N385" s="24"/>
      <c r="O385" s="24"/>
    </row>
    <row r="386" customFormat="false" ht="15.75" hidden="false" customHeight="true" outlineLevel="0" collapsed="false">
      <c r="A386" s="23"/>
      <c r="B386" s="24"/>
      <c r="C386" s="24"/>
      <c r="D386" s="24"/>
      <c r="E386" s="24"/>
      <c r="F386" s="25"/>
      <c r="G386" s="32" t="str">
        <f aca="false">"("&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32"/>
      <c r="I386" s="28"/>
      <c r="J386" s="23"/>
      <c r="K386" s="23"/>
      <c r="L386" s="24"/>
      <c r="M386" s="24"/>
      <c r="N386" s="24"/>
      <c r="O386" s="24"/>
    </row>
    <row r="387" customFormat="false" ht="15.75" hidden="false" customHeight="true" outlineLevel="0" collapsed="false">
      <c r="A387" s="23" t="n">
        <v>33</v>
      </c>
      <c r="B387" s="24" t="s">
        <v>747</v>
      </c>
      <c r="C387" s="24" t="s">
        <v>17</v>
      </c>
      <c r="D387" s="24" t="s">
        <v>17</v>
      </c>
      <c r="E387" s="24" t="s">
        <v>17</v>
      </c>
      <c r="F38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7" s="26" t="str">
        <f aca="false">CVSSv3!$A$4</f>
        <v>Vector de ataque:</v>
      </c>
      <c r="H387" s="27" t="s">
        <v>706</v>
      </c>
      <c r="I387" s="28" t="n">
        <f aca="false">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23" t="n">
        <v>0</v>
      </c>
      <c r="K387" s="23" t="n">
        <v>0</v>
      </c>
      <c r="L387" s="24" t="s">
        <v>17</v>
      </c>
      <c r="M387" s="24" t="s">
        <v>17</v>
      </c>
      <c r="N387" s="24" t="s">
        <v>707</v>
      </c>
      <c r="O387" s="24" t="s">
        <v>708</v>
      </c>
    </row>
    <row r="388" customFormat="false" ht="15.75" hidden="false" customHeight="true" outlineLevel="0" collapsed="false">
      <c r="A388" s="23"/>
      <c r="B388" s="24"/>
      <c r="C388" s="24"/>
      <c r="D388" s="24"/>
      <c r="E388" s="24"/>
      <c r="F388" s="25"/>
      <c r="G388" s="30" t="str">
        <f aca="false">CVSSv3!$A$5</f>
        <v>Complejidad de ataque:</v>
      </c>
      <c r="H388" s="31" t="s">
        <v>709</v>
      </c>
      <c r="I388" s="28"/>
      <c r="J388" s="23"/>
      <c r="K388" s="23"/>
      <c r="L388" s="24"/>
      <c r="M388" s="24"/>
      <c r="N388" s="24"/>
      <c r="O388" s="24"/>
    </row>
    <row r="389" customFormat="false" ht="15.75" hidden="false" customHeight="true" outlineLevel="0" collapsed="false">
      <c r="A389" s="23"/>
      <c r="B389" s="24"/>
      <c r="C389" s="24"/>
      <c r="D389" s="24"/>
      <c r="E389" s="24"/>
      <c r="F389" s="25"/>
      <c r="G389" s="30" t="str">
        <f aca="false">CVSSv3!$A$6</f>
        <v>Privilegios requeridos:</v>
      </c>
      <c r="H389" s="31" t="s">
        <v>710</v>
      </c>
      <c r="I389" s="28"/>
      <c r="J389" s="23"/>
      <c r="K389" s="23"/>
      <c r="L389" s="24"/>
      <c r="M389" s="24"/>
      <c r="N389" s="24"/>
      <c r="O389" s="24"/>
    </row>
    <row r="390" customFormat="false" ht="15.75" hidden="false" customHeight="true" outlineLevel="0" collapsed="false">
      <c r="A390" s="23"/>
      <c r="B390" s="24"/>
      <c r="C390" s="24"/>
      <c r="D390" s="24"/>
      <c r="E390" s="24"/>
      <c r="F390" s="25"/>
      <c r="G390" s="30" t="str">
        <f aca="false">CVSSv3!$A$7</f>
        <v>Interacción del usuario:</v>
      </c>
      <c r="H390" s="31" t="s">
        <v>711</v>
      </c>
      <c r="I390" s="28"/>
      <c r="J390" s="23"/>
      <c r="K390" s="23"/>
      <c r="L390" s="24"/>
      <c r="M390" s="24"/>
      <c r="N390" s="24"/>
      <c r="O390" s="24"/>
    </row>
    <row r="391" customFormat="false" ht="15.75" hidden="false" customHeight="true" outlineLevel="0" collapsed="false">
      <c r="A391" s="23"/>
      <c r="B391" s="24"/>
      <c r="C391" s="24"/>
      <c r="D391" s="24"/>
      <c r="E391" s="24"/>
      <c r="F391" s="25"/>
      <c r="G391" s="30" t="str">
        <f aca="false">CVSSv3!$A$8</f>
        <v>Alcance:</v>
      </c>
      <c r="H391" s="31" t="s">
        <v>712</v>
      </c>
      <c r="I391" s="28"/>
      <c r="J391" s="23"/>
      <c r="K391" s="23"/>
      <c r="L391" s="24"/>
      <c r="M391" s="24"/>
      <c r="N391" s="24"/>
      <c r="O391" s="24"/>
    </row>
    <row r="392" customFormat="false" ht="15.75" hidden="false" customHeight="true" outlineLevel="0" collapsed="false">
      <c r="A392" s="23"/>
      <c r="B392" s="24"/>
      <c r="C392" s="24"/>
      <c r="D392" s="24"/>
      <c r="E392" s="24"/>
      <c r="F392" s="25"/>
      <c r="G392" s="30" t="str">
        <f aca="false">CVSSv3!$A$9</f>
        <v>Impacto a la confidencialidad:</v>
      </c>
      <c r="H392" s="31" t="s">
        <v>713</v>
      </c>
      <c r="I392" s="28"/>
      <c r="J392" s="23"/>
      <c r="K392" s="23"/>
      <c r="L392" s="24"/>
      <c r="M392" s="24"/>
      <c r="N392" s="24"/>
      <c r="O392" s="24"/>
    </row>
    <row r="393" customFormat="false" ht="15.75" hidden="false" customHeight="true" outlineLevel="0" collapsed="false">
      <c r="A393" s="23"/>
      <c r="B393" s="24"/>
      <c r="C393" s="24"/>
      <c r="D393" s="24"/>
      <c r="E393" s="24"/>
      <c r="F393" s="25"/>
      <c r="G393" s="30" t="str">
        <f aca="false">CVSSv3!$A$10</f>
        <v>Impacto a la integridad:</v>
      </c>
      <c r="H393" s="31" t="s">
        <v>713</v>
      </c>
      <c r="I393" s="28"/>
      <c r="J393" s="23"/>
      <c r="K393" s="23"/>
      <c r="L393" s="24"/>
      <c r="M393" s="24"/>
      <c r="N393" s="24"/>
      <c r="O393" s="24"/>
    </row>
    <row r="394" customFormat="false" ht="15.75" hidden="false" customHeight="true" outlineLevel="0" collapsed="false">
      <c r="A394" s="23"/>
      <c r="B394" s="24"/>
      <c r="C394" s="24"/>
      <c r="D394" s="24"/>
      <c r="E394" s="24"/>
      <c r="F394" s="25"/>
      <c r="G394" s="30" t="str">
        <f aca="false">CVSSv3!$A$11</f>
        <v>Impacto a la disponibilidad:</v>
      </c>
      <c r="H394" s="31" t="s">
        <v>713</v>
      </c>
      <c r="I394" s="28"/>
      <c r="J394" s="23"/>
      <c r="K394" s="23"/>
      <c r="L394" s="24"/>
      <c r="M394" s="24"/>
      <c r="N394" s="24"/>
      <c r="O394" s="24"/>
    </row>
    <row r="395" customFormat="false" ht="15.75" hidden="false" customHeight="true" outlineLevel="0" collapsed="false">
      <c r="A395" s="23"/>
      <c r="B395" s="24"/>
      <c r="C395" s="24"/>
      <c r="D395" s="24"/>
      <c r="E395" s="24"/>
      <c r="F395" s="25"/>
      <c r="G395" s="30" t="str">
        <f aca="false">CVSSv3!$A$12</f>
        <v>Explotabilidad:</v>
      </c>
      <c r="H395" s="31" t="s">
        <v>709</v>
      </c>
      <c r="I395" s="28"/>
      <c r="J395" s="23"/>
      <c r="K395" s="23"/>
      <c r="L395" s="24"/>
      <c r="M395" s="24"/>
      <c r="N395" s="24"/>
      <c r="O395" s="24"/>
    </row>
    <row r="396" customFormat="false" ht="15.75" hidden="false" customHeight="true" outlineLevel="0" collapsed="false">
      <c r="A396" s="23"/>
      <c r="B396" s="24"/>
      <c r="C396" s="24"/>
      <c r="D396" s="24"/>
      <c r="E396" s="24"/>
      <c r="F396" s="25"/>
      <c r="G396" s="30" t="str">
        <f aca="false">CVSSv3!$A$13</f>
        <v>Nivel de resolución:</v>
      </c>
      <c r="H396" s="31" t="s">
        <v>714</v>
      </c>
      <c r="I396" s="28"/>
      <c r="J396" s="23"/>
      <c r="K396" s="23"/>
      <c r="L396" s="24"/>
      <c r="M396" s="24"/>
      <c r="N396" s="24"/>
      <c r="O396" s="24"/>
    </row>
    <row r="397" customFormat="false" ht="15.75" hidden="false" customHeight="true" outlineLevel="0" collapsed="false">
      <c r="A397" s="23"/>
      <c r="B397" s="24"/>
      <c r="C397" s="24"/>
      <c r="D397" s="24"/>
      <c r="E397" s="24"/>
      <c r="F397" s="25"/>
      <c r="G397" s="30" t="str">
        <f aca="false">CVSSv3!$A$14</f>
        <v>Nivel de confianza</v>
      </c>
      <c r="H397" s="31" t="s">
        <v>715</v>
      </c>
      <c r="I397" s="28"/>
      <c r="J397" s="23"/>
      <c r="K397" s="23"/>
      <c r="L397" s="24"/>
      <c r="M397" s="24"/>
      <c r="N397" s="24"/>
      <c r="O397" s="24"/>
    </row>
    <row r="398" customFormat="false" ht="15.75" hidden="false" customHeight="true" outlineLevel="0" collapsed="false">
      <c r="A398" s="23"/>
      <c r="B398" s="24"/>
      <c r="C398" s="24"/>
      <c r="D398" s="24"/>
      <c r="E398" s="24"/>
      <c r="F398" s="25"/>
      <c r="G398" s="32" t="str">
        <f aca="false">"("&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32"/>
      <c r="I398" s="28"/>
      <c r="J398" s="23"/>
      <c r="K398" s="23"/>
      <c r="L398" s="24"/>
      <c r="M398" s="24"/>
      <c r="N398" s="24"/>
      <c r="O398" s="24"/>
    </row>
    <row r="399" customFormat="false" ht="15.75" hidden="false" customHeight="true" outlineLevel="0" collapsed="false">
      <c r="A399" s="23" t="n">
        <v>34</v>
      </c>
      <c r="B399" s="24" t="s">
        <v>748</v>
      </c>
      <c r="C399" s="24" t="s">
        <v>17</v>
      </c>
      <c r="D399" s="24" t="s">
        <v>17</v>
      </c>
      <c r="E399" s="24" t="s">
        <v>17</v>
      </c>
      <c r="F39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9" s="26" t="str">
        <f aca="false">CVSSv3!$A$4</f>
        <v>Vector de ataque:</v>
      </c>
      <c r="H399" s="27" t="s">
        <v>706</v>
      </c>
      <c r="I399" s="28" t="n">
        <f aca="false">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23" t="n">
        <v>0</v>
      </c>
      <c r="K399" s="23" t="n">
        <v>0</v>
      </c>
      <c r="L399" s="24" t="s">
        <v>17</v>
      </c>
      <c r="M399" s="24" t="s">
        <v>17</v>
      </c>
      <c r="N399" s="24" t="s">
        <v>707</v>
      </c>
      <c r="O399" s="24" t="s">
        <v>708</v>
      </c>
    </row>
    <row r="400" customFormat="false" ht="15.75" hidden="false" customHeight="true" outlineLevel="0" collapsed="false">
      <c r="A400" s="23"/>
      <c r="B400" s="24"/>
      <c r="C400" s="24"/>
      <c r="D400" s="24"/>
      <c r="E400" s="24"/>
      <c r="F400" s="25"/>
      <c r="G400" s="30" t="str">
        <f aca="false">CVSSv3!$A$5</f>
        <v>Complejidad de ataque:</v>
      </c>
      <c r="H400" s="31" t="s">
        <v>709</v>
      </c>
      <c r="I400" s="28"/>
      <c r="J400" s="23"/>
      <c r="K400" s="23"/>
      <c r="L400" s="24"/>
      <c r="M400" s="24"/>
      <c r="N400" s="24"/>
      <c r="O400" s="24"/>
    </row>
    <row r="401" customFormat="false" ht="15.75" hidden="false" customHeight="true" outlineLevel="0" collapsed="false">
      <c r="A401" s="23"/>
      <c r="B401" s="24"/>
      <c r="C401" s="24"/>
      <c r="D401" s="24"/>
      <c r="E401" s="24"/>
      <c r="F401" s="25"/>
      <c r="G401" s="30" t="str">
        <f aca="false">CVSSv3!$A$6</f>
        <v>Privilegios requeridos:</v>
      </c>
      <c r="H401" s="31" t="s">
        <v>710</v>
      </c>
      <c r="I401" s="28"/>
      <c r="J401" s="23"/>
      <c r="K401" s="23"/>
      <c r="L401" s="24"/>
      <c r="M401" s="24"/>
      <c r="N401" s="24"/>
      <c r="O401" s="24"/>
    </row>
    <row r="402" customFormat="false" ht="15.75" hidden="false" customHeight="true" outlineLevel="0" collapsed="false">
      <c r="A402" s="23"/>
      <c r="B402" s="24"/>
      <c r="C402" s="24"/>
      <c r="D402" s="24"/>
      <c r="E402" s="24"/>
      <c r="F402" s="25"/>
      <c r="G402" s="30" t="str">
        <f aca="false">CVSSv3!$A$7</f>
        <v>Interacción del usuario:</v>
      </c>
      <c r="H402" s="31" t="s">
        <v>711</v>
      </c>
      <c r="I402" s="28"/>
      <c r="J402" s="23"/>
      <c r="K402" s="23"/>
      <c r="L402" s="24"/>
      <c r="M402" s="24"/>
      <c r="N402" s="24"/>
      <c r="O402" s="24"/>
    </row>
    <row r="403" customFormat="false" ht="15.75" hidden="false" customHeight="true" outlineLevel="0" collapsed="false">
      <c r="A403" s="23"/>
      <c r="B403" s="24"/>
      <c r="C403" s="24"/>
      <c r="D403" s="24"/>
      <c r="E403" s="24"/>
      <c r="F403" s="25"/>
      <c r="G403" s="30" t="str">
        <f aca="false">CVSSv3!$A$8</f>
        <v>Alcance:</v>
      </c>
      <c r="H403" s="31" t="s">
        <v>712</v>
      </c>
      <c r="I403" s="28"/>
      <c r="J403" s="23"/>
      <c r="K403" s="23"/>
      <c r="L403" s="24"/>
      <c r="M403" s="24"/>
      <c r="N403" s="24"/>
      <c r="O403" s="24"/>
    </row>
    <row r="404" customFormat="false" ht="15.75" hidden="false" customHeight="true" outlineLevel="0" collapsed="false">
      <c r="A404" s="23"/>
      <c r="B404" s="24"/>
      <c r="C404" s="24"/>
      <c r="D404" s="24"/>
      <c r="E404" s="24"/>
      <c r="F404" s="25"/>
      <c r="G404" s="30" t="str">
        <f aca="false">CVSSv3!$A$9</f>
        <v>Impacto a la confidencialidad:</v>
      </c>
      <c r="H404" s="31" t="s">
        <v>713</v>
      </c>
      <c r="I404" s="28"/>
      <c r="J404" s="23"/>
      <c r="K404" s="23"/>
      <c r="L404" s="24"/>
      <c r="M404" s="24"/>
      <c r="N404" s="24"/>
      <c r="O404" s="24"/>
    </row>
    <row r="405" customFormat="false" ht="15.75" hidden="false" customHeight="true" outlineLevel="0" collapsed="false">
      <c r="A405" s="23"/>
      <c r="B405" s="24"/>
      <c r="C405" s="24"/>
      <c r="D405" s="24"/>
      <c r="E405" s="24"/>
      <c r="F405" s="25"/>
      <c r="G405" s="30" t="str">
        <f aca="false">CVSSv3!$A$10</f>
        <v>Impacto a la integridad:</v>
      </c>
      <c r="H405" s="31" t="s">
        <v>713</v>
      </c>
      <c r="I405" s="28"/>
      <c r="J405" s="23"/>
      <c r="K405" s="23"/>
      <c r="L405" s="24"/>
      <c r="M405" s="24"/>
      <c r="N405" s="24"/>
      <c r="O405" s="24"/>
    </row>
    <row r="406" customFormat="false" ht="15.75" hidden="false" customHeight="true" outlineLevel="0" collapsed="false">
      <c r="A406" s="23"/>
      <c r="B406" s="24"/>
      <c r="C406" s="24"/>
      <c r="D406" s="24"/>
      <c r="E406" s="24"/>
      <c r="F406" s="25"/>
      <c r="G406" s="30" t="str">
        <f aca="false">CVSSv3!$A$11</f>
        <v>Impacto a la disponibilidad:</v>
      </c>
      <c r="H406" s="31" t="s">
        <v>713</v>
      </c>
      <c r="I406" s="28"/>
      <c r="J406" s="23"/>
      <c r="K406" s="23"/>
      <c r="L406" s="24"/>
      <c r="M406" s="24"/>
      <c r="N406" s="24"/>
      <c r="O406" s="24"/>
    </row>
    <row r="407" customFormat="false" ht="15.75" hidden="false" customHeight="true" outlineLevel="0" collapsed="false">
      <c r="A407" s="23"/>
      <c r="B407" s="24"/>
      <c r="C407" s="24"/>
      <c r="D407" s="24"/>
      <c r="E407" s="24"/>
      <c r="F407" s="25"/>
      <c r="G407" s="30" t="str">
        <f aca="false">CVSSv3!$A$12</f>
        <v>Explotabilidad:</v>
      </c>
      <c r="H407" s="31" t="s">
        <v>709</v>
      </c>
      <c r="I407" s="28"/>
      <c r="J407" s="23"/>
      <c r="K407" s="23"/>
      <c r="L407" s="24"/>
      <c r="M407" s="24"/>
      <c r="N407" s="24"/>
      <c r="O407" s="24"/>
    </row>
    <row r="408" customFormat="false" ht="15.75" hidden="false" customHeight="true" outlineLevel="0" collapsed="false">
      <c r="A408" s="23"/>
      <c r="B408" s="24"/>
      <c r="C408" s="24"/>
      <c r="D408" s="24"/>
      <c r="E408" s="24"/>
      <c r="F408" s="25"/>
      <c r="G408" s="30" t="str">
        <f aca="false">CVSSv3!$A$13</f>
        <v>Nivel de resolución:</v>
      </c>
      <c r="H408" s="31" t="s">
        <v>714</v>
      </c>
      <c r="I408" s="28"/>
      <c r="J408" s="23"/>
      <c r="K408" s="23"/>
      <c r="L408" s="24"/>
      <c r="M408" s="24"/>
      <c r="N408" s="24"/>
      <c r="O408" s="24"/>
    </row>
    <row r="409" customFormat="false" ht="15.75" hidden="false" customHeight="true" outlineLevel="0" collapsed="false">
      <c r="A409" s="23"/>
      <c r="B409" s="24"/>
      <c r="C409" s="24"/>
      <c r="D409" s="24"/>
      <c r="E409" s="24"/>
      <c r="F409" s="25"/>
      <c r="G409" s="30" t="str">
        <f aca="false">CVSSv3!$A$14</f>
        <v>Nivel de confianza</v>
      </c>
      <c r="H409" s="31" t="s">
        <v>715</v>
      </c>
      <c r="I409" s="28"/>
      <c r="J409" s="23"/>
      <c r="K409" s="23"/>
      <c r="L409" s="24"/>
      <c r="M409" s="24"/>
      <c r="N409" s="24"/>
      <c r="O409" s="24"/>
    </row>
    <row r="410" customFormat="false" ht="15.75" hidden="false" customHeight="true" outlineLevel="0" collapsed="false">
      <c r="A410" s="23"/>
      <c r="B410" s="24"/>
      <c r="C410" s="24"/>
      <c r="D410" s="24"/>
      <c r="E410" s="24"/>
      <c r="F410" s="25"/>
      <c r="G410" s="32" t="str">
        <f aca="false">"("&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32"/>
      <c r="I410" s="28"/>
      <c r="J410" s="23"/>
      <c r="K410" s="23"/>
      <c r="L410" s="24"/>
      <c r="M410" s="24"/>
      <c r="N410" s="24"/>
      <c r="O410" s="24"/>
    </row>
    <row r="411" customFormat="false" ht="15.75" hidden="false" customHeight="true" outlineLevel="0" collapsed="false">
      <c r="A411" s="23" t="n">
        <v>35</v>
      </c>
      <c r="B411" s="24" t="s">
        <v>749</v>
      </c>
      <c r="C411" s="24" t="s">
        <v>17</v>
      </c>
      <c r="D411" s="24" t="s">
        <v>17</v>
      </c>
      <c r="E411" s="24" t="s">
        <v>17</v>
      </c>
      <c r="F41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1" s="26" t="str">
        <f aca="false">CVSSv3!$A$4</f>
        <v>Vector de ataque:</v>
      </c>
      <c r="H411" s="27" t="s">
        <v>706</v>
      </c>
      <c r="I411" s="28" t="n">
        <f aca="false">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23" t="n">
        <v>0</v>
      </c>
      <c r="K411" s="23" t="n">
        <v>0</v>
      </c>
      <c r="L411" s="24" t="s">
        <v>17</v>
      </c>
      <c r="M411" s="24" t="s">
        <v>17</v>
      </c>
      <c r="N411" s="24" t="s">
        <v>707</v>
      </c>
      <c r="O411" s="24" t="s">
        <v>708</v>
      </c>
    </row>
    <row r="412" customFormat="false" ht="15.75" hidden="false" customHeight="true" outlineLevel="0" collapsed="false">
      <c r="A412" s="23"/>
      <c r="B412" s="24"/>
      <c r="C412" s="24"/>
      <c r="D412" s="24"/>
      <c r="E412" s="24"/>
      <c r="F412" s="25"/>
      <c r="G412" s="30" t="str">
        <f aca="false">CVSSv3!$A$5</f>
        <v>Complejidad de ataque:</v>
      </c>
      <c r="H412" s="31" t="s">
        <v>709</v>
      </c>
      <c r="I412" s="28"/>
      <c r="J412" s="23"/>
      <c r="K412" s="23"/>
      <c r="L412" s="24"/>
      <c r="M412" s="24"/>
      <c r="N412" s="24"/>
      <c r="O412" s="24"/>
    </row>
    <row r="413" customFormat="false" ht="15.75" hidden="false" customHeight="true" outlineLevel="0" collapsed="false">
      <c r="A413" s="23"/>
      <c r="B413" s="24"/>
      <c r="C413" s="24"/>
      <c r="D413" s="24"/>
      <c r="E413" s="24"/>
      <c r="F413" s="25"/>
      <c r="G413" s="30" t="str">
        <f aca="false">CVSSv3!$A$6</f>
        <v>Privilegios requeridos:</v>
      </c>
      <c r="H413" s="31" t="s">
        <v>710</v>
      </c>
      <c r="I413" s="28"/>
      <c r="J413" s="23"/>
      <c r="K413" s="23"/>
      <c r="L413" s="24"/>
      <c r="M413" s="24"/>
      <c r="N413" s="24"/>
      <c r="O413" s="24"/>
    </row>
    <row r="414" customFormat="false" ht="15.75" hidden="false" customHeight="true" outlineLevel="0" collapsed="false">
      <c r="A414" s="23"/>
      <c r="B414" s="24"/>
      <c r="C414" s="24"/>
      <c r="D414" s="24"/>
      <c r="E414" s="24"/>
      <c r="F414" s="25"/>
      <c r="G414" s="30" t="str">
        <f aca="false">CVSSv3!$A$7</f>
        <v>Interacción del usuario:</v>
      </c>
      <c r="H414" s="31" t="s">
        <v>711</v>
      </c>
      <c r="I414" s="28"/>
      <c r="J414" s="23"/>
      <c r="K414" s="23"/>
      <c r="L414" s="24"/>
      <c r="M414" s="24"/>
      <c r="N414" s="24"/>
      <c r="O414" s="24"/>
    </row>
    <row r="415" customFormat="false" ht="15.75" hidden="false" customHeight="true" outlineLevel="0" collapsed="false">
      <c r="A415" s="23"/>
      <c r="B415" s="24"/>
      <c r="C415" s="24"/>
      <c r="D415" s="24"/>
      <c r="E415" s="24"/>
      <c r="F415" s="25"/>
      <c r="G415" s="30" t="str">
        <f aca="false">CVSSv3!$A$8</f>
        <v>Alcance:</v>
      </c>
      <c r="H415" s="31" t="s">
        <v>712</v>
      </c>
      <c r="I415" s="28"/>
      <c r="J415" s="23"/>
      <c r="K415" s="23"/>
      <c r="L415" s="24"/>
      <c r="M415" s="24"/>
      <c r="N415" s="24"/>
      <c r="O415" s="24"/>
    </row>
    <row r="416" customFormat="false" ht="15.75" hidden="false" customHeight="true" outlineLevel="0" collapsed="false">
      <c r="A416" s="23"/>
      <c r="B416" s="24"/>
      <c r="C416" s="24"/>
      <c r="D416" s="24"/>
      <c r="E416" s="24"/>
      <c r="F416" s="25"/>
      <c r="G416" s="30" t="str">
        <f aca="false">CVSSv3!$A$9</f>
        <v>Impacto a la confidencialidad:</v>
      </c>
      <c r="H416" s="31" t="s">
        <v>713</v>
      </c>
      <c r="I416" s="28"/>
      <c r="J416" s="23"/>
      <c r="K416" s="23"/>
      <c r="L416" s="24"/>
      <c r="M416" s="24"/>
      <c r="N416" s="24"/>
      <c r="O416" s="24"/>
    </row>
    <row r="417" customFormat="false" ht="15.75" hidden="false" customHeight="true" outlineLevel="0" collapsed="false">
      <c r="A417" s="23"/>
      <c r="B417" s="24"/>
      <c r="C417" s="24"/>
      <c r="D417" s="24"/>
      <c r="E417" s="24"/>
      <c r="F417" s="25"/>
      <c r="G417" s="30" t="str">
        <f aca="false">CVSSv3!$A$10</f>
        <v>Impacto a la integridad:</v>
      </c>
      <c r="H417" s="31" t="s">
        <v>713</v>
      </c>
      <c r="I417" s="28"/>
      <c r="J417" s="23"/>
      <c r="K417" s="23"/>
      <c r="L417" s="24"/>
      <c r="M417" s="24"/>
      <c r="N417" s="24"/>
      <c r="O417" s="24"/>
    </row>
    <row r="418" customFormat="false" ht="15.75" hidden="false" customHeight="true" outlineLevel="0" collapsed="false">
      <c r="A418" s="23"/>
      <c r="B418" s="24"/>
      <c r="C418" s="24"/>
      <c r="D418" s="24"/>
      <c r="E418" s="24"/>
      <c r="F418" s="25"/>
      <c r="G418" s="30" t="str">
        <f aca="false">CVSSv3!$A$11</f>
        <v>Impacto a la disponibilidad:</v>
      </c>
      <c r="H418" s="31" t="s">
        <v>713</v>
      </c>
      <c r="I418" s="28"/>
      <c r="J418" s="23"/>
      <c r="K418" s="23"/>
      <c r="L418" s="24"/>
      <c r="M418" s="24"/>
      <c r="N418" s="24"/>
      <c r="O418" s="24"/>
    </row>
    <row r="419" customFormat="false" ht="15.75" hidden="false" customHeight="true" outlineLevel="0" collapsed="false">
      <c r="A419" s="23"/>
      <c r="B419" s="24"/>
      <c r="C419" s="24"/>
      <c r="D419" s="24"/>
      <c r="E419" s="24"/>
      <c r="F419" s="25"/>
      <c r="G419" s="30" t="str">
        <f aca="false">CVSSv3!$A$12</f>
        <v>Explotabilidad:</v>
      </c>
      <c r="H419" s="31" t="s">
        <v>709</v>
      </c>
      <c r="I419" s="28"/>
      <c r="J419" s="23"/>
      <c r="K419" s="23"/>
      <c r="L419" s="24"/>
      <c r="M419" s="24"/>
      <c r="N419" s="24"/>
      <c r="O419" s="24"/>
    </row>
    <row r="420" customFormat="false" ht="15.75" hidden="false" customHeight="true" outlineLevel="0" collapsed="false">
      <c r="A420" s="23"/>
      <c r="B420" s="24"/>
      <c r="C420" s="24"/>
      <c r="D420" s="24"/>
      <c r="E420" s="24"/>
      <c r="F420" s="25"/>
      <c r="G420" s="30" t="str">
        <f aca="false">CVSSv3!$A$13</f>
        <v>Nivel de resolución:</v>
      </c>
      <c r="H420" s="31" t="s">
        <v>714</v>
      </c>
      <c r="I420" s="28"/>
      <c r="J420" s="23"/>
      <c r="K420" s="23"/>
      <c r="L420" s="24"/>
      <c r="M420" s="24"/>
      <c r="N420" s="24"/>
      <c r="O420" s="24"/>
    </row>
    <row r="421" customFormat="false" ht="15.75" hidden="false" customHeight="true" outlineLevel="0" collapsed="false">
      <c r="A421" s="23"/>
      <c r="B421" s="24"/>
      <c r="C421" s="24"/>
      <c r="D421" s="24"/>
      <c r="E421" s="24"/>
      <c r="F421" s="25"/>
      <c r="G421" s="30" t="str">
        <f aca="false">CVSSv3!$A$14</f>
        <v>Nivel de confianza</v>
      </c>
      <c r="H421" s="31" t="s">
        <v>715</v>
      </c>
      <c r="I421" s="28"/>
      <c r="J421" s="23"/>
      <c r="K421" s="23"/>
      <c r="L421" s="24"/>
      <c r="M421" s="24"/>
      <c r="N421" s="24"/>
      <c r="O421" s="24"/>
    </row>
    <row r="422" customFormat="false" ht="15.75" hidden="false" customHeight="true" outlineLevel="0" collapsed="false">
      <c r="A422" s="23"/>
      <c r="B422" s="24"/>
      <c r="C422" s="24"/>
      <c r="D422" s="24"/>
      <c r="E422" s="24"/>
      <c r="F422" s="25"/>
      <c r="G422" s="32" t="str">
        <f aca="false">"("&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32"/>
      <c r="I422" s="28"/>
      <c r="J422" s="23"/>
      <c r="K422" s="23"/>
      <c r="L422" s="24"/>
      <c r="M422" s="24"/>
      <c r="N422" s="24"/>
      <c r="O422" s="24"/>
    </row>
    <row r="423" customFormat="false" ht="15.75" hidden="false" customHeight="true" outlineLevel="0" collapsed="false">
      <c r="A423" s="23" t="n">
        <v>36</v>
      </c>
      <c r="B423" s="24" t="s">
        <v>750</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6" t="str">
        <f aca="false">CVSSv3!$A$4</f>
        <v>Vector de ataque:</v>
      </c>
      <c r="H423" s="27" t="s">
        <v>706</v>
      </c>
      <c r="I423" s="28" t="n">
        <f aca="false">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23" t="n">
        <v>0</v>
      </c>
      <c r="K423" s="23" t="n">
        <v>0</v>
      </c>
      <c r="L423" s="24" t="s">
        <v>17</v>
      </c>
      <c r="M423" s="24" t="s">
        <v>17</v>
      </c>
      <c r="N423" s="24" t="s">
        <v>707</v>
      </c>
      <c r="O423" s="24" t="s">
        <v>708</v>
      </c>
    </row>
    <row r="424" customFormat="false" ht="15.75" hidden="false" customHeight="true" outlineLevel="0" collapsed="false">
      <c r="A424" s="23"/>
      <c r="B424" s="24"/>
      <c r="C424" s="24"/>
      <c r="D424" s="24"/>
      <c r="E424" s="24"/>
      <c r="F424" s="25"/>
      <c r="G424" s="30" t="str">
        <f aca="false">CVSSv3!$A$5</f>
        <v>Complejidad de ataque:</v>
      </c>
      <c r="H424" s="31" t="s">
        <v>709</v>
      </c>
      <c r="I424" s="28"/>
      <c r="J424" s="23"/>
      <c r="K424" s="23"/>
      <c r="L424" s="24"/>
      <c r="M424" s="24"/>
      <c r="N424" s="24"/>
      <c r="O424" s="24"/>
    </row>
    <row r="425" customFormat="false" ht="15.75" hidden="false" customHeight="true" outlineLevel="0" collapsed="false">
      <c r="A425" s="23"/>
      <c r="B425" s="24"/>
      <c r="C425" s="24"/>
      <c r="D425" s="24"/>
      <c r="E425" s="24"/>
      <c r="F425" s="25"/>
      <c r="G425" s="30" t="str">
        <f aca="false">CVSSv3!$A$6</f>
        <v>Privilegios requeridos:</v>
      </c>
      <c r="H425" s="31" t="s">
        <v>710</v>
      </c>
      <c r="I425" s="28"/>
      <c r="J425" s="23"/>
      <c r="K425" s="23"/>
      <c r="L425" s="24"/>
      <c r="M425" s="24"/>
      <c r="N425" s="24"/>
      <c r="O425" s="24"/>
    </row>
    <row r="426" customFormat="false" ht="15.75" hidden="false" customHeight="true" outlineLevel="0" collapsed="false">
      <c r="A426" s="23"/>
      <c r="B426" s="24"/>
      <c r="C426" s="24"/>
      <c r="D426" s="24"/>
      <c r="E426" s="24"/>
      <c r="F426" s="25"/>
      <c r="G426" s="30" t="str">
        <f aca="false">CVSSv3!$A$7</f>
        <v>Interacción del usuario:</v>
      </c>
      <c r="H426" s="31" t="s">
        <v>711</v>
      </c>
      <c r="I426" s="28"/>
      <c r="J426" s="23"/>
      <c r="K426" s="23"/>
      <c r="L426" s="24"/>
      <c r="M426" s="24"/>
      <c r="N426" s="24"/>
      <c r="O426" s="24"/>
    </row>
    <row r="427" customFormat="false" ht="15.75" hidden="false" customHeight="true" outlineLevel="0" collapsed="false">
      <c r="A427" s="23"/>
      <c r="B427" s="24"/>
      <c r="C427" s="24"/>
      <c r="D427" s="24"/>
      <c r="E427" s="24"/>
      <c r="F427" s="25"/>
      <c r="G427" s="30" t="str">
        <f aca="false">CVSSv3!$A$8</f>
        <v>Alcance:</v>
      </c>
      <c r="H427" s="31" t="s">
        <v>712</v>
      </c>
      <c r="I427" s="28"/>
      <c r="J427" s="23"/>
      <c r="K427" s="23"/>
      <c r="L427" s="24"/>
      <c r="M427" s="24"/>
      <c r="N427" s="24"/>
      <c r="O427" s="24"/>
    </row>
    <row r="428" customFormat="false" ht="15.75" hidden="false" customHeight="true" outlineLevel="0" collapsed="false">
      <c r="A428" s="23"/>
      <c r="B428" s="24"/>
      <c r="C428" s="24"/>
      <c r="D428" s="24"/>
      <c r="E428" s="24"/>
      <c r="F428" s="25"/>
      <c r="G428" s="30" t="str">
        <f aca="false">CVSSv3!$A$9</f>
        <v>Impacto a la confidencialidad:</v>
      </c>
      <c r="H428" s="31" t="s">
        <v>713</v>
      </c>
      <c r="I428" s="28"/>
      <c r="J428" s="23"/>
      <c r="K428" s="23"/>
      <c r="L428" s="24"/>
      <c r="M428" s="24"/>
      <c r="N428" s="24"/>
      <c r="O428" s="24"/>
    </row>
    <row r="429" customFormat="false" ht="15.75" hidden="false" customHeight="true" outlineLevel="0" collapsed="false">
      <c r="A429" s="23"/>
      <c r="B429" s="24"/>
      <c r="C429" s="24"/>
      <c r="D429" s="24"/>
      <c r="E429" s="24"/>
      <c r="F429" s="25"/>
      <c r="G429" s="30" t="str">
        <f aca="false">CVSSv3!$A$10</f>
        <v>Impacto a la integridad:</v>
      </c>
      <c r="H429" s="31" t="s">
        <v>713</v>
      </c>
      <c r="I429" s="28"/>
      <c r="J429" s="23"/>
      <c r="K429" s="23"/>
      <c r="L429" s="24"/>
      <c r="M429" s="24"/>
      <c r="N429" s="24"/>
      <c r="O429" s="24"/>
    </row>
    <row r="430" customFormat="false" ht="15.75" hidden="false" customHeight="true" outlineLevel="0" collapsed="false">
      <c r="A430" s="23"/>
      <c r="B430" s="24"/>
      <c r="C430" s="24"/>
      <c r="D430" s="24"/>
      <c r="E430" s="24"/>
      <c r="F430" s="25"/>
      <c r="G430" s="30" t="str">
        <f aca="false">CVSSv3!$A$11</f>
        <v>Impacto a la disponibilidad:</v>
      </c>
      <c r="H430" s="31" t="s">
        <v>713</v>
      </c>
      <c r="I430" s="28"/>
      <c r="J430" s="23"/>
      <c r="K430" s="23"/>
      <c r="L430" s="24"/>
      <c r="M430" s="24"/>
      <c r="N430" s="24"/>
      <c r="O430" s="24"/>
    </row>
    <row r="431" customFormat="false" ht="15.75" hidden="false" customHeight="true" outlineLevel="0" collapsed="false">
      <c r="A431" s="23"/>
      <c r="B431" s="24"/>
      <c r="C431" s="24"/>
      <c r="D431" s="24"/>
      <c r="E431" s="24"/>
      <c r="F431" s="25"/>
      <c r="G431" s="30" t="str">
        <f aca="false">CVSSv3!$A$12</f>
        <v>Explotabilidad:</v>
      </c>
      <c r="H431" s="31" t="s">
        <v>709</v>
      </c>
      <c r="I431" s="28"/>
      <c r="J431" s="23"/>
      <c r="K431" s="23"/>
      <c r="L431" s="24"/>
      <c r="M431" s="24"/>
      <c r="N431" s="24"/>
      <c r="O431" s="24"/>
    </row>
    <row r="432" customFormat="false" ht="15.75" hidden="false" customHeight="true" outlineLevel="0" collapsed="false">
      <c r="A432" s="23"/>
      <c r="B432" s="24"/>
      <c r="C432" s="24"/>
      <c r="D432" s="24"/>
      <c r="E432" s="24"/>
      <c r="F432" s="25"/>
      <c r="G432" s="30" t="str">
        <f aca="false">CVSSv3!$A$13</f>
        <v>Nivel de resolución:</v>
      </c>
      <c r="H432" s="31" t="s">
        <v>714</v>
      </c>
      <c r="I432" s="28"/>
      <c r="J432" s="23"/>
      <c r="K432" s="23"/>
      <c r="L432" s="24"/>
      <c r="M432" s="24"/>
      <c r="N432" s="24"/>
      <c r="O432" s="24"/>
    </row>
    <row r="433" customFormat="false" ht="15.75" hidden="false" customHeight="true" outlineLevel="0" collapsed="false">
      <c r="A433" s="23"/>
      <c r="B433" s="24"/>
      <c r="C433" s="24"/>
      <c r="D433" s="24"/>
      <c r="E433" s="24"/>
      <c r="F433" s="25"/>
      <c r="G433" s="30" t="str">
        <f aca="false">CVSSv3!$A$14</f>
        <v>Nivel de confianza</v>
      </c>
      <c r="H433" s="31" t="s">
        <v>715</v>
      </c>
      <c r="I433" s="28"/>
      <c r="J433" s="23"/>
      <c r="K433" s="23"/>
      <c r="L433" s="24"/>
      <c r="M433" s="24"/>
      <c r="N433" s="24"/>
      <c r="O433" s="24"/>
    </row>
    <row r="434" customFormat="false" ht="15.75" hidden="false" customHeight="true" outlineLevel="0" collapsed="false">
      <c r="A434" s="23"/>
      <c r="B434" s="24"/>
      <c r="C434" s="24"/>
      <c r="D434" s="24"/>
      <c r="E434" s="24"/>
      <c r="F434" s="25"/>
      <c r="G434" s="32" t="str">
        <f aca="false">"("&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32"/>
      <c r="I434" s="28"/>
      <c r="J434" s="23"/>
      <c r="K434" s="23"/>
      <c r="L434" s="24"/>
      <c r="M434" s="24"/>
      <c r="N434" s="24"/>
      <c r="O434" s="24"/>
    </row>
    <row r="435" customFormat="false" ht="15.75" hidden="false" customHeight="true" outlineLevel="0" collapsed="false">
      <c r="A435" s="23" t="n">
        <v>37</v>
      </c>
      <c r="B435" s="24" t="s">
        <v>751</v>
      </c>
      <c r="C435" s="24" t="s">
        <v>17</v>
      </c>
      <c r="D435" s="24" t="s">
        <v>17</v>
      </c>
      <c r="E435" s="24" t="s">
        <v>17</v>
      </c>
      <c r="F43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5" s="26" t="str">
        <f aca="false">CVSSv3!$A$4</f>
        <v>Vector de ataque:</v>
      </c>
      <c r="H435" s="27" t="s">
        <v>706</v>
      </c>
      <c r="I435" s="28" t="n">
        <f aca="false">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23" t="n">
        <v>0</v>
      </c>
      <c r="K435" s="23" t="n">
        <v>0</v>
      </c>
      <c r="L435" s="24" t="s">
        <v>17</v>
      </c>
      <c r="M435" s="24" t="s">
        <v>17</v>
      </c>
      <c r="N435" s="24" t="s">
        <v>707</v>
      </c>
      <c r="O435" s="24" t="s">
        <v>708</v>
      </c>
    </row>
    <row r="436" customFormat="false" ht="15.75" hidden="false" customHeight="true" outlineLevel="0" collapsed="false">
      <c r="A436" s="23"/>
      <c r="B436" s="24"/>
      <c r="C436" s="24"/>
      <c r="D436" s="24"/>
      <c r="E436" s="24"/>
      <c r="F436" s="25"/>
      <c r="G436" s="30" t="str">
        <f aca="false">CVSSv3!$A$5</f>
        <v>Complejidad de ataque:</v>
      </c>
      <c r="H436" s="31" t="s">
        <v>709</v>
      </c>
      <c r="I436" s="28"/>
      <c r="J436" s="23"/>
      <c r="K436" s="23"/>
      <c r="L436" s="24"/>
      <c r="M436" s="24"/>
      <c r="N436" s="24"/>
      <c r="O436" s="24"/>
    </row>
    <row r="437" customFormat="false" ht="15.75" hidden="false" customHeight="true" outlineLevel="0" collapsed="false">
      <c r="A437" s="23"/>
      <c r="B437" s="24"/>
      <c r="C437" s="24"/>
      <c r="D437" s="24"/>
      <c r="E437" s="24"/>
      <c r="F437" s="25"/>
      <c r="G437" s="30" t="str">
        <f aca="false">CVSSv3!$A$6</f>
        <v>Privilegios requeridos:</v>
      </c>
      <c r="H437" s="31" t="s">
        <v>710</v>
      </c>
      <c r="I437" s="28"/>
      <c r="J437" s="23"/>
      <c r="K437" s="23"/>
      <c r="L437" s="24"/>
      <c r="M437" s="24"/>
      <c r="N437" s="24"/>
      <c r="O437" s="24"/>
    </row>
    <row r="438" customFormat="false" ht="15.75" hidden="false" customHeight="true" outlineLevel="0" collapsed="false">
      <c r="A438" s="23"/>
      <c r="B438" s="24"/>
      <c r="C438" s="24"/>
      <c r="D438" s="24"/>
      <c r="E438" s="24"/>
      <c r="F438" s="25"/>
      <c r="G438" s="30" t="str">
        <f aca="false">CVSSv3!$A$7</f>
        <v>Interacción del usuario:</v>
      </c>
      <c r="H438" s="31" t="s">
        <v>711</v>
      </c>
      <c r="I438" s="28"/>
      <c r="J438" s="23"/>
      <c r="K438" s="23"/>
      <c r="L438" s="24"/>
      <c r="M438" s="24"/>
      <c r="N438" s="24"/>
      <c r="O438" s="24"/>
    </row>
    <row r="439" customFormat="false" ht="15.75" hidden="false" customHeight="true" outlineLevel="0" collapsed="false">
      <c r="A439" s="23"/>
      <c r="B439" s="24"/>
      <c r="C439" s="24"/>
      <c r="D439" s="24"/>
      <c r="E439" s="24"/>
      <c r="F439" s="25"/>
      <c r="G439" s="30" t="str">
        <f aca="false">CVSSv3!$A$8</f>
        <v>Alcance:</v>
      </c>
      <c r="H439" s="31" t="s">
        <v>712</v>
      </c>
      <c r="I439" s="28"/>
      <c r="J439" s="23"/>
      <c r="K439" s="23"/>
      <c r="L439" s="24"/>
      <c r="M439" s="24"/>
      <c r="N439" s="24"/>
      <c r="O439" s="24"/>
    </row>
    <row r="440" customFormat="false" ht="15.75" hidden="false" customHeight="true" outlineLevel="0" collapsed="false">
      <c r="A440" s="23"/>
      <c r="B440" s="24"/>
      <c r="C440" s="24"/>
      <c r="D440" s="24"/>
      <c r="E440" s="24"/>
      <c r="F440" s="25"/>
      <c r="G440" s="30" t="str">
        <f aca="false">CVSSv3!$A$9</f>
        <v>Impacto a la confidencialidad:</v>
      </c>
      <c r="H440" s="31" t="s">
        <v>713</v>
      </c>
      <c r="I440" s="28"/>
      <c r="J440" s="23"/>
      <c r="K440" s="23"/>
      <c r="L440" s="24"/>
      <c r="M440" s="24"/>
      <c r="N440" s="24"/>
      <c r="O440" s="24"/>
    </row>
    <row r="441" customFormat="false" ht="15.75" hidden="false" customHeight="true" outlineLevel="0" collapsed="false">
      <c r="A441" s="23"/>
      <c r="B441" s="24"/>
      <c r="C441" s="24"/>
      <c r="D441" s="24"/>
      <c r="E441" s="24"/>
      <c r="F441" s="25"/>
      <c r="G441" s="30" t="str">
        <f aca="false">CVSSv3!$A$10</f>
        <v>Impacto a la integridad:</v>
      </c>
      <c r="H441" s="31" t="s">
        <v>713</v>
      </c>
      <c r="I441" s="28"/>
      <c r="J441" s="23"/>
      <c r="K441" s="23"/>
      <c r="L441" s="24"/>
      <c r="M441" s="24"/>
      <c r="N441" s="24"/>
      <c r="O441" s="24"/>
    </row>
    <row r="442" customFormat="false" ht="15.75" hidden="false" customHeight="true" outlineLevel="0" collapsed="false">
      <c r="A442" s="23"/>
      <c r="B442" s="24"/>
      <c r="C442" s="24"/>
      <c r="D442" s="24"/>
      <c r="E442" s="24"/>
      <c r="F442" s="25"/>
      <c r="G442" s="30" t="str">
        <f aca="false">CVSSv3!$A$11</f>
        <v>Impacto a la disponibilidad:</v>
      </c>
      <c r="H442" s="31" t="s">
        <v>713</v>
      </c>
      <c r="I442" s="28"/>
      <c r="J442" s="23"/>
      <c r="K442" s="23"/>
      <c r="L442" s="24"/>
      <c r="M442" s="24"/>
      <c r="N442" s="24"/>
      <c r="O442" s="24"/>
    </row>
    <row r="443" customFormat="false" ht="15.75" hidden="false" customHeight="true" outlineLevel="0" collapsed="false">
      <c r="A443" s="23"/>
      <c r="B443" s="24"/>
      <c r="C443" s="24"/>
      <c r="D443" s="24"/>
      <c r="E443" s="24"/>
      <c r="F443" s="25"/>
      <c r="G443" s="30" t="str">
        <f aca="false">CVSSv3!$A$12</f>
        <v>Explotabilidad:</v>
      </c>
      <c r="H443" s="31" t="s">
        <v>709</v>
      </c>
      <c r="I443" s="28"/>
      <c r="J443" s="23"/>
      <c r="K443" s="23"/>
      <c r="L443" s="24"/>
      <c r="M443" s="24"/>
      <c r="N443" s="24"/>
      <c r="O443" s="24"/>
    </row>
    <row r="444" customFormat="false" ht="15.75" hidden="false" customHeight="true" outlineLevel="0" collapsed="false">
      <c r="A444" s="23"/>
      <c r="B444" s="24"/>
      <c r="C444" s="24"/>
      <c r="D444" s="24"/>
      <c r="E444" s="24"/>
      <c r="F444" s="25"/>
      <c r="G444" s="30" t="str">
        <f aca="false">CVSSv3!$A$13</f>
        <v>Nivel de resolución:</v>
      </c>
      <c r="H444" s="31" t="s">
        <v>714</v>
      </c>
      <c r="I444" s="28"/>
      <c r="J444" s="23"/>
      <c r="K444" s="23"/>
      <c r="L444" s="24"/>
      <c r="M444" s="24"/>
      <c r="N444" s="24"/>
      <c r="O444" s="24"/>
    </row>
    <row r="445" customFormat="false" ht="15.75" hidden="false" customHeight="true" outlineLevel="0" collapsed="false">
      <c r="A445" s="23"/>
      <c r="B445" s="24"/>
      <c r="C445" s="24"/>
      <c r="D445" s="24"/>
      <c r="E445" s="24"/>
      <c r="F445" s="25"/>
      <c r="G445" s="30" t="str">
        <f aca="false">CVSSv3!$A$14</f>
        <v>Nivel de confianza</v>
      </c>
      <c r="H445" s="31" t="s">
        <v>715</v>
      </c>
      <c r="I445" s="28"/>
      <c r="J445" s="23"/>
      <c r="K445" s="23"/>
      <c r="L445" s="24"/>
      <c r="M445" s="24"/>
      <c r="N445" s="24"/>
      <c r="O445" s="24"/>
    </row>
    <row r="446" customFormat="false" ht="15.75" hidden="false" customHeight="true" outlineLevel="0" collapsed="false">
      <c r="A446" s="23"/>
      <c r="B446" s="24"/>
      <c r="C446" s="24"/>
      <c r="D446" s="24"/>
      <c r="E446" s="24"/>
      <c r="F446" s="25"/>
      <c r="G446" s="32" t="str">
        <f aca="false">"("&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32"/>
      <c r="I446" s="28"/>
      <c r="J446" s="23"/>
      <c r="K446" s="23"/>
      <c r="L446" s="24"/>
      <c r="M446" s="24"/>
      <c r="N446" s="24"/>
      <c r="O446" s="24"/>
    </row>
    <row r="447" customFormat="false" ht="15.75" hidden="false" customHeight="true" outlineLevel="0" collapsed="false">
      <c r="A447" s="23" t="n">
        <v>38</v>
      </c>
      <c r="B447" s="24" t="s">
        <v>752</v>
      </c>
      <c r="C447" s="24" t="s">
        <v>17</v>
      </c>
      <c r="D447" s="24" t="s">
        <v>17</v>
      </c>
      <c r="E447" s="24" t="s">
        <v>17</v>
      </c>
      <c r="F44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7" s="26" t="str">
        <f aca="false">CVSSv3!$A$4</f>
        <v>Vector de ataque:</v>
      </c>
      <c r="H447" s="27" t="s">
        <v>706</v>
      </c>
      <c r="I447" s="28" t="n">
        <f aca="false">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23" t="n">
        <v>0</v>
      </c>
      <c r="K447" s="23" t="n">
        <v>0</v>
      </c>
      <c r="L447" s="24" t="s">
        <v>17</v>
      </c>
      <c r="M447" s="24" t="s">
        <v>17</v>
      </c>
      <c r="N447" s="24" t="s">
        <v>707</v>
      </c>
      <c r="O447" s="24" t="s">
        <v>708</v>
      </c>
    </row>
    <row r="448" customFormat="false" ht="15.75" hidden="false" customHeight="true" outlineLevel="0" collapsed="false">
      <c r="A448" s="23"/>
      <c r="B448" s="24"/>
      <c r="C448" s="24"/>
      <c r="D448" s="24"/>
      <c r="E448" s="24"/>
      <c r="F448" s="25"/>
      <c r="G448" s="30" t="str">
        <f aca="false">CVSSv3!$A$5</f>
        <v>Complejidad de ataque:</v>
      </c>
      <c r="H448" s="31" t="s">
        <v>709</v>
      </c>
      <c r="I448" s="28"/>
      <c r="J448" s="23"/>
      <c r="K448" s="23"/>
      <c r="L448" s="24"/>
      <c r="M448" s="24"/>
      <c r="N448" s="24"/>
      <c r="O448" s="24"/>
    </row>
    <row r="449" customFormat="false" ht="15.75" hidden="false" customHeight="true" outlineLevel="0" collapsed="false">
      <c r="A449" s="23"/>
      <c r="B449" s="24"/>
      <c r="C449" s="24"/>
      <c r="D449" s="24"/>
      <c r="E449" s="24"/>
      <c r="F449" s="25"/>
      <c r="G449" s="30" t="str">
        <f aca="false">CVSSv3!$A$6</f>
        <v>Privilegios requeridos:</v>
      </c>
      <c r="H449" s="31" t="s">
        <v>710</v>
      </c>
      <c r="I449" s="28"/>
      <c r="J449" s="23"/>
      <c r="K449" s="23"/>
      <c r="L449" s="24"/>
      <c r="M449" s="24"/>
      <c r="N449" s="24"/>
      <c r="O449" s="24"/>
    </row>
    <row r="450" customFormat="false" ht="15.75" hidden="false" customHeight="true" outlineLevel="0" collapsed="false">
      <c r="A450" s="23"/>
      <c r="B450" s="24"/>
      <c r="C450" s="24"/>
      <c r="D450" s="24"/>
      <c r="E450" s="24"/>
      <c r="F450" s="25"/>
      <c r="G450" s="30" t="str">
        <f aca="false">CVSSv3!$A$7</f>
        <v>Interacción del usuario:</v>
      </c>
      <c r="H450" s="31" t="s">
        <v>711</v>
      </c>
      <c r="I450" s="28"/>
      <c r="J450" s="23"/>
      <c r="K450" s="23"/>
      <c r="L450" s="24"/>
      <c r="M450" s="24"/>
      <c r="N450" s="24"/>
      <c r="O450" s="24"/>
    </row>
    <row r="451" customFormat="false" ht="15.75" hidden="false" customHeight="true" outlineLevel="0" collapsed="false">
      <c r="A451" s="23"/>
      <c r="B451" s="24"/>
      <c r="C451" s="24"/>
      <c r="D451" s="24"/>
      <c r="E451" s="24"/>
      <c r="F451" s="25"/>
      <c r="G451" s="30" t="str">
        <f aca="false">CVSSv3!$A$8</f>
        <v>Alcance:</v>
      </c>
      <c r="H451" s="31" t="s">
        <v>712</v>
      </c>
      <c r="I451" s="28"/>
      <c r="J451" s="23"/>
      <c r="K451" s="23"/>
      <c r="L451" s="24"/>
      <c r="M451" s="24"/>
      <c r="N451" s="24"/>
      <c r="O451" s="24"/>
    </row>
    <row r="452" customFormat="false" ht="15.75" hidden="false" customHeight="true" outlineLevel="0" collapsed="false">
      <c r="A452" s="23"/>
      <c r="B452" s="24"/>
      <c r="C452" s="24"/>
      <c r="D452" s="24"/>
      <c r="E452" s="24"/>
      <c r="F452" s="25"/>
      <c r="G452" s="30" t="str">
        <f aca="false">CVSSv3!$A$9</f>
        <v>Impacto a la confidencialidad:</v>
      </c>
      <c r="H452" s="31" t="s">
        <v>713</v>
      </c>
      <c r="I452" s="28"/>
      <c r="J452" s="23"/>
      <c r="K452" s="23"/>
      <c r="L452" s="24"/>
      <c r="M452" s="24"/>
      <c r="N452" s="24"/>
      <c r="O452" s="24"/>
    </row>
    <row r="453" customFormat="false" ht="15.75" hidden="false" customHeight="true" outlineLevel="0" collapsed="false">
      <c r="A453" s="23"/>
      <c r="B453" s="24"/>
      <c r="C453" s="24"/>
      <c r="D453" s="24"/>
      <c r="E453" s="24"/>
      <c r="F453" s="25"/>
      <c r="G453" s="30" t="str">
        <f aca="false">CVSSv3!$A$10</f>
        <v>Impacto a la integridad:</v>
      </c>
      <c r="H453" s="31" t="s">
        <v>713</v>
      </c>
      <c r="I453" s="28"/>
      <c r="J453" s="23"/>
      <c r="K453" s="23"/>
      <c r="L453" s="24"/>
      <c r="M453" s="24"/>
      <c r="N453" s="24"/>
      <c r="O453" s="24"/>
    </row>
    <row r="454" customFormat="false" ht="15.75" hidden="false" customHeight="true" outlineLevel="0" collapsed="false">
      <c r="A454" s="23"/>
      <c r="B454" s="24"/>
      <c r="C454" s="24"/>
      <c r="D454" s="24"/>
      <c r="E454" s="24"/>
      <c r="F454" s="25"/>
      <c r="G454" s="30" t="str">
        <f aca="false">CVSSv3!$A$11</f>
        <v>Impacto a la disponibilidad:</v>
      </c>
      <c r="H454" s="31" t="s">
        <v>713</v>
      </c>
      <c r="I454" s="28"/>
      <c r="J454" s="23"/>
      <c r="K454" s="23"/>
      <c r="L454" s="24"/>
      <c r="M454" s="24"/>
      <c r="N454" s="24"/>
      <c r="O454" s="24"/>
    </row>
    <row r="455" customFormat="false" ht="15.75" hidden="false" customHeight="true" outlineLevel="0" collapsed="false">
      <c r="A455" s="23"/>
      <c r="B455" s="24"/>
      <c r="C455" s="24"/>
      <c r="D455" s="24"/>
      <c r="E455" s="24"/>
      <c r="F455" s="25"/>
      <c r="G455" s="30" t="str">
        <f aca="false">CVSSv3!$A$12</f>
        <v>Explotabilidad:</v>
      </c>
      <c r="H455" s="31" t="s">
        <v>709</v>
      </c>
      <c r="I455" s="28"/>
      <c r="J455" s="23"/>
      <c r="K455" s="23"/>
      <c r="L455" s="24"/>
      <c r="M455" s="24"/>
      <c r="N455" s="24"/>
      <c r="O455" s="24"/>
    </row>
    <row r="456" customFormat="false" ht="15.75" hidden="false" customHeight="true" outlineLevel="0" collapsed="false">
      <c r="A456" s="23"/>
      <c r="B456" s="24"/>
      <c r="C456" s="24"/>
      <c r="D456" s="24"/>
      <c r="E456" s="24"/>
      <c r="F456" s="25"/>
      <c r="G456" s="30" t="str">
        <f aca="false">CVSSv3!$A$13</f>
        <v>Nivel de resolución:</v>
      </c>
      <c r="H456" s="31" t="s">
        <v>714</v>
      </c>
      <c r="I456" s="28"/>
      <c r="J456" s="23"/>
      <c r="K456" s="23"/>
      <c r="L456" s="24"/>
      <c r="M456" s="24"/>
      <c r="N456" s="24"/>
      <c r="O456" s="24"/>
    </row>
    <row r="457" customFormat="false" ht="15.75" hidden="false" customHeight="true" outlineLevel="0" collapsed="false">
      <c r="A457" s="23"/>
      <c r="B457" s="24"/>
      <c r="C457" s="24"/>
      <c r="D457" s="24"/>
      <c r="E457" s="24"/>
      <c r="F457" s="25"/>
      <c r="G457" s="30" t="str">
        <f aca="false">CVSSv3!$A$14</f>
        <v>Nivel de confianza</v>
      </c>
      <c r="H457" s="31" t="s">
        <v>715</v>
      </c>
      <c r="I457" s="28"/>
      <c r="J457" s="23"/>
      <c r="K457" s="23"/>
      <c r="L457" s="24"/>
      <c r="M457" s="24"/>
      <c r="N457" s="24"/>
      <c r="O457" s="24"/>
    </row>
    <row r="458" customFormat="false" ht="15.75" hidden="false" customHeight="true" outlineLevel="0" collapsed="false">
      <c r="A458" s="23"/>
      <c r="B458" s="24"/>
      <c r="C458" s="24"/>
      <c r="D458" s="24"/>
      <c r="E458" s="24"/>
      <c r="F458" s="25"/>
      <c r="G458" s="32" t="str">
        <f aca="false">"("&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32"/>
      <c r="I458" s="28"/>
      <c r="J458" s="23"/>
      <c r="K458" s="23"/>
      <c r="L458" s="24"/>
      <c r="M458" s="24"/>
      <c r="N458" s="24"/>
      <c r="O458" s="24"/>
    </row>
    <row r="459" customFormat="false" ht="15.75" hidden="false" customHeight="true" outlineLevel="0" collapsed="false">
      <c r="A459" s="23" t="n">
        <v>39</v>
      </c>
      <c r="B459" s="24" t="s">
        <v>753</v>
      </c>
      <c r="C459" s="24" t="s">
        <v>17</v>
      </c>
      <c r="D459" s="24" t="s">
        <v>17</v>
      </c>
      <c r="E459" s="24" t="s">
        <v>17</v>
      </c>
      <c r="F45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9" s="26" t="str">
        <f aca="false">CVSSv3!$A$4</f>
        <v>Vector de ataque:</v>
      </c>
      <c r="H459" s="27" t="s">
        <v>706</v>
      </c>
      <c r="I459" s="28" t="n">
        <f aca="false">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23" t="n">
        <v>0</v>
      </c>
      <c r="K459" s="23" t="n">
        <v>0</v>
      </c>
      <c r="L459" s="24" t="s">
        <v>17</v>
      </c>
      <c r="M459" s="24" t="s">
        <v>17</v>
      </c>
      <c r="N459" s="24" t="s">
        <v>707</v>
      </c>
      <c r="O459" s="24" t="s">
        <v>708</v>
      </c>
    </row>
    <row r="460" customFormat="false" ht="15.75" hidden="false" customHeight="true" outlineLevel="0" collapsed="false">
      <c r="A460" s="23"/>
      <c r="B460" s="24"/>
      <c r="C460" s="24"/>
      <c r="D460" s="24"/>
      <c r="E460" s="24"/>
      <c r="F460" s="25"/>
      <c r="G460" s="30" t="str">
        <f aca="false">CVSSv3!$A$5</f>
        <v>Complejidad de ataque:</v>
      </c>
      <c r="H460" s="31" t="s">
        <v>709</v>
      </c>
      <c r="I460" s="28"/>
      <c r="J460" s="23"/>
      <c r="K460" s="23"/>
      <c r="L460" s="24"/>
      <c r="M460" s="24"/>
      <c r="N460" s="24"/>
      <c r="O460" s="24"/>
    </row>
    <row r="461" customFormat="false" ht="15.75" hidden="false" customHeight="true" outlineLevel="0" collapsed="false">
      <c r="A461" s="23"/>
      <c r="B461" s="24"/>
      <c r="C461" s="24"/>
      <c r="D461" s="24"/>
      <c r="E461" s="24"/>
      <c r="F461" s="25"/>
      <c r="G461" s="30" t="str">
        <f aca="false">CVSSv3!$A$6</f>
        <v>Privilegios requeridos:</v>
      </c>
      <c r="H461" s="31" t="s">
        <v>710</v>
      </c>
      <c r="I461" s="28"/>
      <c r="J461" s="23"/>
      <c r="K461" s="23"/>
      <c r="L461" s="24"/>
      <c r="M461" s="24"/>
      <c r="N461" s="24"/>
      <c r="O461" s="24"/>
    </row>
    <row r="462" customFormat="false" ht="15.75" hidden="false" customHeight="true" outlineLevel="0" collapsed="false">
      <c r="A462" s="23"/>
      <c r="B462" s="24"/>
      <c r="C462" s="24"/>
      <c r="D462" s="24"/>
      <c r="E462" s="24"/>
      <c r="F462" s="25"/>
      <c r="G462" s="30" t="str">
        <f aca="false">CVSSv3!$A$7</f>
        <v>Interacción del usuario:</v>
      </c>
      <c r="H462" s="31" t="s">
        <v>711</v>
      </c>
      <c r="I462" s="28"/>
      <c r="J462" s="23"/>
      <c r="K462" s="23"/>
      <c r="L462" s="24"/>
      <c r="M462" s="24"/>
      <c r="N462" s="24"/>
      <c r="O462" s="24"/>
    </row>
    <row r="463" customFormat="false" ht="15.75" hidden="false" customHeight="true" outlineLevel="0" collapsed="false">
      <c r="A463" s="23"/>
      <c r="B463" s="24"/>
      <c r="C463" s="24"/>
      <c r="D463" s="24"/>
      <c r="E463" s="24"/>
      <c r="F463" s="25"/>
      <c r="G463" s="30" t="str">
        <f aca="false">CVSSv3!$A$8</f>
        <v>Alcance:</v>
      </c>
      <c r="H463" s="31" t="s">
        <v>712</v>
      </c>
      <c r="I463" s="28"/>
      <c r="J463" s="23"/>
      <c r="K463" s="23"/>
      <c r="L463" s="24"/>
      <c r="M463" s="24"/>
      <c r="N463" s="24"/>
      <c r="O463" s="24"/>
    </row>
    <row r="464" customFormat="false" ht="15.75" hidden="false" customHeight="true" outlineLevel="0" collapsed="false">
      <c r="A464" s="23"/>
      <c r="B464" s="24"/>
      <c r="C464" s="24"/>
      <c r="D464" s="24"/>
      <c r="E464" s="24"/>
      <c r="F464" s="25"/>
      <c r="G464" s="30" t="str">
        <f aca="false">CVSSv3!$A$9</f>
        <v>Impacto a la confidencialidad:</v>
      </c>
      <c r="H464" s="31" t="s">
        <v>713</v>
      </c>
      <c r="I464" s="28"/>
      <c r="J464" s="23"/>
      <c r="K464" s="23"/>
      <c r="L464" s="24"/>
      <c r="M464" s="24"/>
      <c r="N464" s="24"/>
      <c r="O464" s="24"/>
    </row>
    <row r="465" customFormat="false" ht="15.75" hidden="false" customHeight="true" outlineLevel="0" collapsed="false">
      <c r="A465" s="23"/>
      <c r="B465" s="24"/>
      <c r="C465" s="24"/>
      <c r="D465" s="24"/>
      <c r="E465" s="24"/>
      <c r="F465" s="25"/>
      <c r="G465" s="30" t="str">
        <f aca="false">CVSSv3!$A$10</f>
        <v>Impacto a la integridad:</v>
      </c>
      <c r="H465" s="31" t="s">
        <v>713</v>
      </c>
      <c r="I465" s="28"/>
      <c r="J465" s="23"/>
      <c r="K465" s="23"/>
      <c r="L465" s="24"/>
      <c r="M465" s="24"/>
      <c r="N465" s="24"/>
      <c r="O465" s="24"/>
    </row>
    <row r="466" customFormat="false" ht="15.75" hidden="false" customHeight="true" outlineLevel="0" collapsed="false">
      <c r="A466" s="23"/>
      <c r="B466" s="24"/>
      <c r="C466" s="24"/>
      <c r="D466" s="24"/>
      <c r="E466" s="24"/>
      <c r="F466" s="25"/>
      <c r="G466" s="30" t="str">
        <f aca="false">CVSSv3!$A$11</f>
        <v>Impacto a la disponibilidad:</v>
      </c>
      <c r="H466" s="31" t="s">
        <v>713</v>
      </c>
      <c r="I466" s="28"/>
      <c r="J466" s="23"/>
      <c r="K466" s="23"/>
      <c r="L466" s="24"/>
      <c r="M466" s="24"/>
      <c r="N466" s="24"/>
      <c r="O466" s="24"/>
    </row>
    <row r="467" customFormat="false" ht="15.75" hidden="false" customHeight="true" outlineLevel="0" collapsed="false">
      <c r="A467" s="23"/>
      <c r="B467" s="24"/>
      <c r="C467" s="24"/>
      <c r="D467" s="24"/>
      <c r="E467" s="24"/>
      <c r="F467" s="25"/>
      <c r="G467" s="30" t="str">
        <f aca="false">CVSSv3!$A$12</f>
        <v>Explotabilidad:</v>
      </c>
      <c r="H467" s="31" t="s">
        <v>709</v>
      </c>
      <c r="I467" s="28"/>
      <c r="J467" s="23"/>
      <c r="K467" s="23"/>
      <c r="L467" s="24"/>
      <c r="M467" s="24"/>
      <c r="N467" s="24"/>
      <c r="O467" s="24"/>
    </row>
    <row r="468" customFormat="false" ht="15.75" hidden="false" customHeight="true" outlineLevel="0" collapsed="false">
      <c r="A468" s="23"/>
      <c r="B468" s="24"/>
      <c r="C468" s="24"/>
      <c r="D468" s="24"/>
      <c r="E468" s="24"/>
      <c r="F468" s="25"/>
      <c r="G468" s="30" t="str">
        <f aca="false">CVSSv3!$A$13</f>
        <v>Nivel de resolución:</v>
      </c>
      <c r="H468" s="31" t="s">
        <v>714</v>
      </c>
      <c r="I468" s="28"/>
      <c r="J468" s="23"/>
      <c r="K468" s="23"/>
      <c r="L468" s="24"/>
      <c r="M468" s="24"/>
      <c r="N468" s="24"/>
      <c r="O468" s="24"/>
    </row>
    <row r="469" customFormat="false" ht="15.75" hidden="false" customHeight="true" outlineLevel="0" collapsed="false">
      <c r="A469" s="23"/>
      <c r="B469" s="24"/>
      <c r="C469" s="24"/>
      <c r="D469" s="24"/>
      <c r="E469" s="24"/>
      <c r="F469" s="25"/>
      <c r="G469" s="30" t="str">
        <f aca="false">CVSSv3!$A$14</f>
        <v>Nivel de confianza</v>
      </c>
      <c r="H469" s="31" t="s">
        <v>715</v>
      </c>
      <c r="I469" s="28"/>
      <c r="J469" s="23"/>
      <c r="K469" s="23"/>
      <c r="L469" s="24"/>
      <c r="M469" s="24"/>
      <c r="N469" s="24"/>
      <c r="O469" s="24"/>
    </row>
    <row r="470" customFormat="false" ht="15.75" hidden="false" customHeight="true" outlineLevel="0" collapsed="false">
      <c r="A470" s="23"/>
      <c r="B470" s="24"/>
      <c r="C470" s="24"/>
      <c r="D470" s="24"/>
      <c r="E470" s="24"/>
      <c r="F470" s="25"/>
      <c r="G470" s="32" t="str">
        <f aca="false">"("&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32"/>
      <c r="I470" s="28"/>
      <c r="J470" s="23"/>
      <c r="K470" s="23"/>
      <c r="L470" s="24"/>
      <c r="M470" s="24"/>
      <c r="N470" s="24"/>
      <c r="O470" s="24"/>
    </row>
    <row r="471" customFormat="false" ht="15.75" hidden="false" customHeight="true" outlineLevel="0" collapsed="false">
      <c r="A471" s="23" t="n">
        <v>40</v>
      </c>
      <c r="B471" s="24" t="s">
        <v>754</v>
      </c>
      <c r="C471" s="24" t="s">
        <v>17</v>
      </c>
      <c r="D471" s="24" t="s">
        <v>17</v>
      </c>
      <c r="E471" s="24" t="s">
        <v>17</v>
      </c>
      <c r="F47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1" s="26" t="str">
        <f aca="false">CVSSv3!$A$4</f>
        <v>Vector de ataque:</v>
      </c>
      <c r="H471" s="27" t="s">
        <v>706</v>
      </c>
      <c r="I471" s="28" t="n">
        <f aca="false">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23" t="n">
        <v>0</v>
      </c>
      <c r="K471" s="23" t="n">
        <v>0</v>
      </c>
      <c r="L471" s="24" t="s">
        <v>17</v>
      </c>
      <c r="M471" s="24" t="s">
        <v>17</v>
      </c>
      <c r="N471" s="24" t="s">
        <v>707</v>
      </c>
      <c r="O471" s="24" t="s">
        <v>708</v>
      </c>
    </row>
    <row r="472" customFormat="false" ht="15.75" hidden="false" customHeight="true" outlineLevel="0" collapsed="false">
      <c r="A472" s="23"/>
      <c r="B472" s="24"/>
      <c r="C472" s="24"/>
      <c r="D472" s="24"/>
      <c r="E472" s="24"/>
      <c r="F472" s="25"/>
      <c r="G472" s="30" t="str">
        <f aca="false">CVSSv3!$A$5</f>
        <v>Complejidad de ataque:</v>
      </c>
      <c r="H472" s="31" t="s">
        <v>709</v>
      </c>
      <c r="I472" s="28"/>
      <c r="J472" s="23"/>
      <c r="K472" s="23"/>
      <c r="L472" s="24"/>
      <c r="M472" s="24"/>
      <c r="N472" s="24"/>
      <c r="O472" s="24"/>
    </row>
    <row r="473" customFormat="false" ht="15.75" hidden="false" customHeight="true" outlineLevel="0" collapsed="false">
      <c r="A473" s="23"/>
      <c r="B473" s="24"/>
      <c r="C473" s="24"/>
      <c r="D473" s="24"/>
      <c r="E473" s="24"/>
      <c r="F473" s="25"/>
      <c r="G473" s="30" t="str">
        <f aca="false">CVSSv3!$A$6</f>
        <v>Privilegios requeridos:</v>
      </c>
      <c r="H473" s="31" t="s">
        <v>710</v>
      </c>
      <c r="I473" s="28"/>
      <c r="J473" s="23"/>
      <c r="K473" s="23"/>
      <c r="L473" s="24"/>
      <c r="M473" s="24"/>
      <c r="N473" s="24"/>
      <c r="O473" s="24"/>
    </row>
    <row r="474" customFormat="false" ht="15.75" hidden="false" customHeight="true" outlineLevel="0" collapsed="false">
      <c r="A474" s="23"/>
      <c r="B474" s="24"/>
      <c r="C474" s="24"/>
      <c r="D474" s="24"/>
      <c r="E474" s="24"/>
      <c r="F474" s="25"/>
      <c r="G474" s="30" t="str">
        <f aca="false">CVSSv3!$A$7</f>
        <v>Interacción del usuario:</v>
      </c>
      <c r="H474" s="31" t="s">
        <v>711</v>
      </c>
      <c r="I474" s="28"/>
      <c r="J474" s="23"/>
      <c r="K474" s="23"/>
      <c r="L474" s="24"/>
      <c r="M474" s="24"/>
      <c r="N474" s="24"/>
      <c r="O474" s="24"/>
    </row>
    <row r="475" customFormat="false" ht="15.75" hidden="false" customHeight="true" outlineLevel="0" collapsed="false">
      <c r="A475" s="23"/>
      <c r="B475" s="24"/>
      <c r="C475" s="24"/>
      <c r="D475" s="24"/>
      <c r="E475" s="24"/>
      <c r="F475" s="25"/>
      <c r="G475" s="30" t="str">
        <f aca="false">CVSSv3!$A$8</f>
        <v>Alcance:</v>
      </c>
      <c r="H475" s="31" t="s">
        <v>712</v>
      </c>
      <c r="I475" s="28"/>
      <c r="J475" s="23"/>
      <c r="K475" s="23"/>
      <c r="L475" s="24"/>
      <c r="M475" s="24"/>
      <c r="N475" s="24"/>
      <c r="O475" s="24"/>
    </row>
    <row r="476" customFormat="false" ht="15.75" hidden="false" customHeight="true" outlineLevel="0" collapsed="false">
      <c r="A476" s="23"/>
      <c r="B476" s="24"/>
      <c r="C476" s="24"/>
      <c r="D476" s="24"/>
      <c r="E476" s="24"/>
      <c r="F476" s="25"/>
      <c r="G476" s="30" t="str">
        <f aca="false">CVSSv3!$A$9</f>
        <v>Impacto a la confidencialidad:</v>
      </c>
      <c r="H476" s="31" t="s">
        <v>713</v>
      </c>
      <c r="I476" s="28"/>
      <c r="J476" s="23"/>
      <c r="K476" s="23"/>
      <c r="L476" s="24"/>
      <c r="M476" s="24"/>
      <c r="N476" s="24"/>
      <c r="O476" s="24"/>
    </row>
    <row r="477" customFormat="false" ht="15.75" hidden="false" customHeight="true" outlineLevel="0" collapsed="false">
      <c r="A477" s="23"/>
      <c r="B477" s="24"/>
      <c r="C477" s="24"/>
      <c r="D477" s="24"/>
      <c r="E477" s="24"/>
      <c r="F477" s="25"/>
      <c r="G477" s="30" t="str">
        <f aca="false">CVSSv3!$A$10</f>
        <v>Impacto a la integridad:</v>
      </c>
      <c r="H477" s="31" t="s">
        <v>713</v>
      </c>
      <c r="I477" s="28"/>
      <c r="J477" s="23"/>
      <c r="K477" s="23"/>
      <c r="L477" s="24"/>
      <c r="M477" s="24"/>
      <c r="N477" s="24"/>
      <c r="O477" s="24"/>
    </row>
    <row r="478" customFormat="false" ht="15.75" hidden="false" customHeight="true" outlineLevel="0" collapsed="false">
      <c r="A478" s="23"/>
      <c r="B478" s="24"/>
      <c r="C478" s="24"/>
      <c r="D478" s="24"/>
      <c r="E478" s="24"/>
      <c r="F478" s="25"/>
      <c r="G478" s="30" t="str">
        <f aca="false">CVSSv3!$A$11</f>
        <v>Impacto a la disponibilidad:</v>
      </c>
      <c r="H478" s="31" t="s">
        <v>713</v>
      </c>
      <c r="I478" s="28"/>
      <c r="J478" s="23"/>
      <c r="K478" s="23"/>
      <c r="L478" s="24"/>
      <c r="M478" s="24"/>
      <c r="N478" s="24"/>
      <c r="O478" s="24"/>
    </row>
    <row r="479" customFormat="false" ht="15.75" hidden="false" customHeight="true" outlineLevel="0" collapsed="false">
      <c r="A479" s="23"/>
      <c r="B479" s="24"/>
      <c r="C479" s="24"/>
      <c r="D479" s="24"/>
      <c r="E479" s="24"/>
      <c r="F479" s="25"/>
      <c r="G479" s="30" t="str">
        <f aca="false">CVSSv3!$A$12</f>
        <v>Explotabilidad:</v>
      </c>
      <c r="H479" s="31" t="s">
        <v>709</v>
      </c>
      <c r="I479" s="28"/>
      <c r="J479" s="23"/>
      <c r="K479" s="23"/>
      <c r="L479" s="24"/>
      <c r="M479" s="24"/>
      <c r="N479" s="24"/>
      <c r="O479" s="24"/>
    </row>
    <row r="480" customFormat="false" ht="15.75" hidden="false" customHeight="true" outlineLevel="0" collapsed="false">
      <c r="A480" s="23"/>
      <c r="B480" s="24"/>
      <c r="C480" s="24"/>
      <c r="D480" s="24"/>
      <c r="E480" s="24"/>
      <c r="F480" s="25"/>
      <c r="G480" s="30" t="str">
        <f aca="false">CVSSv3!$A$13</f>
        <v>Nivel de resolución:</v>
      </c>
      <c r="H480" s="31" t="s">
        <v>714</v>
      </c>
      <c r="I480" s="28"/>
      <c r="J480" s="23"/>
      <c r="K480" s="23"/>
      <c r="L480" s="24"/>
      <c r="M480" s="24"/>
      <c r="N480" s="24"/>
      <c r="O480" s="24"/>
    </row>
    <row r="481" customFormat="false" ht="15.75" hidden="false" customHeight="true" outlineLevel="0" collapsed="false">
      <c r="A481" s="23"/>
      <c r="B481" s="24"/>
      <c r="C481" s="24"/>
      <c r="D481" s="24"/>
      <c r="E481" s="24"/>
      <c r="F481" s="25"/>
      <c r="G481" s="30" t="str">
        <f aca="false">CVSSv3!$A$14</f>
        <v>Nivel de confianza</v>
      </c>
      <c r="H481" s="31" t="s">
        <v>715</v>
      </c>
      <c r="I481" s="28"/>
      <c r="J481" s="23"/>
      <c r="K481" s="23"/>
      <c r="L481" s="24"/>
      <c r="M481" s="24"/>
      <c r="N481" s="24"/>
      <c r="O481" s="24"/>
    </row>
    <row r="482" customFormat="false" ht="15.75" hidden="false" customHeight="true" outlineLevel="0" collapsed="false">
      <c r="A482" s="23"/>
      <c r="B482" s="24"/>
      <c r="C482" s="24"/>
      <c r="D482" s="24"/>
      <c r="E482" s="24"/>
      <c r="F482" s="25"/>
      <c r="G482" s="32" t="str">
        <f aca="false">"("&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32"/>
      <c r="I482" s="28"/>
      <c r="J482" s="23"/>
      <c r="K482" s="23"/>
      <c r="L482" s="24"/>
      <c r="M482" s="24"/>
      <c r="N482" s="24"/>
      <c r="O482" s="24"/>
    </row>
    <row r="483" customFormat="false" ht="15.75" hidden="false" customHeight="true" outlineLevel="0" collapsed="false">
      <c r="A483" s="23" t="n">
        <v>41</v>
      </c>
      <c r="B483" s="24" t="s">
        <v>755</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6" t="str">
        <f aca="false">CVSSv3!$A$4</f>
        <v>Vector de ataque:</v>
      </c>
      <c r="H483" s="27" t="s">
        <v>706</v>
      </c>
      <c r="I483" s="28" t="n">
        <f aca="false">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23" t="n">
        <v>0</v>
      </c>
      <c r="K483" s="23" t="n">
        <v>0</v>
      </c>
      <c r="L483" s="24" t="s">
        <v>17</v>
      </c>
      <c r="M483" s="24" t="s">
        <v>17</v>
      </c>
      <c r="N483" s="24" t="s">
        <v>707</v>
      </c>
      <c r="O483" s="24" t="s">
        <v>708</v>
      </c>
    </row>
    <row r="484" customFormat="false" ht="15.75" hidden="false" customHeight="true" outlineLevel="0" collapsed="false">
      <c r="A484" s="23"/>
      <c r="B484" s="24"/>
      <c r="C484" s="24"/>
      <c r="D484" s="24"/>
      <c r="E484" s="24"/>
      <c r="F484" s="25"/>
      <c r="G484" s="30" t="str">
        <f aca="false">CVSSv3!$A$5</f>
        <v>Complejidad de ataque:</v>
      </c>
      <c r="H484" s="31" t="s">
        <v>709</v>
      </c>
      <c r="I484" s="28"/>
      <c r="J484" s="23"/>
      <c r="K484" s="23"/>
      <c r="L484" s="24"/>
      <c r="M484" s="24"/>
      <c r="N484" s="24"/>
      <c r="O484" s="24"/>
    </row>
    <row r="485" customFormat="false" ht="15.75" hidden="false" customHeight="true" outlineLevel="0" collapsed="false">
      <c r="A485" s="23"/>
      <c r="B485" s="24"/>
      <c r="C485" s="24"/>
      <c r="D485" s="24"/>
      <c r="E485" s="24"/>
      <c r="F485" s="25"/>
      <c r="G485" s="30" t="str">
        <f aca="false">CVSSv3!$A$6</f>
        <v>Privilegios requeridos:</v>
      </c>
      <c r="H485" s="31" t="s">
        <v>710</v>
      </c>
      <c r="I485" s="28"/>
      <c r="J485" s="23"/>
      <c r="K485" s="23"/>
      <c r="L485" s="24"/>
      <c r="M485" s="24"/>
      <c r="N485" s="24"/>
      <c r="O485" s="24"/>
    </row>
    <row r="486" customFormat="false" ht="15.75" hidden="false" customHeight="true" outlineLevel="0" collapsed="false">
      <c r="A486" s="23"/>
      <c r="B486" s="24"/>
      <c r="C486" s="24"/>
      <c r="D486" s="24"/>
      <c r="E486" s="24"/>
      <c r="F486" s="25"/>
      <c r="G486" s="30" t="str">
        <f aca="false">CVSSv3!$A$7</f>
        <v>Interacción del usuario:</v>
      </c>
      <c r="H486" s="31" t="s">
        <v>711</v>
      </c>
      <c r="I486" s="28"/>
      <c r="J486" s="23"/>
      <c r="K486" s="23"/>
      <c r="L486" s="24"/>
      <c r="M486" s="24"/>
      <c r="N486" s="24"/>
      <c r="O486" s="24"/>
    </row>
    <row r="487" customFormat="false" ht="15.75" hidden="false" customHeight="true" outlineLevel="0" collapsed="false">
      <c r="A487" s="23"/>
      <c r="B487" s="24"/>
      <c r="C487" s="24"/>
      <c r="D487" s="24"/>
      <c r="E487" s="24"/>
      <c r="F487" s="25"/>
      <c r="G487" s="30" t="str">
        <f aca="false">CVSSv3!$A$8</f>
        <v>Alcance:</v>
      </c>
      <c r="H487" s="31" t="s">
        <v>712</v>
      </c>
      <c r="I487" s="28"/>
      <c r="J487" s="23"/>
      <c r="K487" s="23"/>
      <c r="L487" s="24"/>
      <c r="M487" s="24"/>
      <c r="N487" s="24"/>
      <c r="O487" s="24"/>
    </row>
    <row r="488" customFormat="false" ht="15.75" hidden="false" customHeight="true" outlineLevel="0" collapsed="false">
      <c r="A488" s="23"/>
      <c r="B488" s="24"/>
      <c r="C488" s="24"/>
      <c r="D488" s="24"/>
      <c r="E488" s="24"/>
      <c r="F488" s="25"/>
      <c r="G488" s="30" t="str">
        <f aca="false">CVSSv3!$A$9</f>
        <v>Impacto a la confidencialidad:</v>
      </c>
      <c r="H488" s="31" t="s">
        <v>713</v>
      </c>
      <c r="I488" s="28"/>
      <c r="J488" s="23"/>
      <c r="K488" s="23"/>
      <c r="L488" s="24"/>
      <c r="M488" s="24"/>
      <c r="N488" s="24"/>
      <c r="O488" s="24"/>
    </row>
    <row r="489" customFormat="false" ht="15.75" hidden="false" customHeight="true" outlineLevel="0" collapsed="false">
      <c r="A489" s="23"/>
      <c r="B489" s="24"/>
      <c r="C489" s="24"/>
      <c r="D489" s="24"/>
      <c r="E489" s="24"/>
      <c r="F489" s="25"/>
      <c r="G489" s="30" t="str">
        <f aca="false">CVSSv3!$A$10</f>
        <v>Impacto a la integridad:</v>
      </c>
      <c r="H489" s="31" t="s">
        <v>713</v>
      </c>
      <c r="I489" s="28"/>
      <c r="J489" s="23"/>
      <c r="K489" s="23"/>
      <c r="L489" s="24"/>
      <c r="M489" s="24"/>
      <c r="N489" s="24"/>
      <c r="O489" s="24"/>
    </row>
    <row r="490" customFormat="false" ht="15.75" hidden="false" customHeight="true" outlineLevel="0" collapsed="false">
      <c r="A490" s="23"/>
      <c r="B490" s="24"/>
      <c r="C490" s="24"/>
      <c r="D490" s="24"/>
      <c r="E490" s="24"/>
      <c r="F490" s="25"/>
      <c r="G490" s="30" t="str">
        <f aca="false">CVSSv3!$A$11</f>
        <v>Impacto a la disponibilidad:</v>
      </c>
      <c r="H490" s="31" t="s">
        <v>713</v>
      </c>
      <c r="I490" s="28"/>
      <c r="J490" s="23"/>
      <c r="K490" s="23"/>
      <c r="L490" s="24"/>
      <c r="M490" s="24"/>
      <c r="N490" s="24"/>
      <c r="O490" s="24"/>
    </row>
    <row r="491" customFormat="false" ht="15.75" hidden="false" customHeight="true" outlineLevel="0" collapsed="false">
      <c r="A491" s="23"/>
      <c r="B491" s="24"/>
      <c r="C491" s="24"/>
      <c r="D491" s="24"/>
      <c r="E491" s="24"/>
      <c r="F491" s="25"/>
      <c r="G491" s="30" t="str">
        <f aca="false">CVSSv3!$A$12</f>
        <v>Explotabilidad:</v>
      </c>
      <c r="H491" s="31" t="s">
        <v>709</v>
      </c>
      <c r="I491" s="28"/>
      <c r="J491" s="23"/>
      <c r="K491" s="23"/>
      <c r="L491" s="24"/>
      <c r="M491" s="24"/>
      <c r="N491" s="24"/>
      <c r="O491" s="24"/>
    </row>
    <row r="492" customFormat="false" ht="15.75" hidden="false" customHeight="true" outlineLevel="0" collapsed="false">
      <c r="A492" s="23"/>
      <c r="B492" s="24"/>
      <c r="C492" s="24"/>
      <c r="D492" s="24"/>
      <c r="E492" s="24"/>
      <c r="F492" s="25"/>
      <c r="G492" s="30" t="str">
        <f aca="false">CVSSv3!$A$13</f>
        <v>Nivel de resolución:</v>
      </c>
      <c r="H492" s="31" t="s">
        <v>714</v>
      </c>
      <c r="I492" s="28"/>
      <c r="J492" s="23"/>
      <c r="K492" s="23"/>
      <c r="L492" s="24"/>
      <c r="M492" s="24"/>
      <c r="N492" s="24"/>
      <c r="O492" s="24"/>
    </row>
    <row r="493" customFormat="false" ht="15.75" hidden="false" customHeight="true" outlineLevel="0" collapsed="false">
      <c r="A493" s="23"/>
      <c r="B493" s="24"/>
      <c r="C493" s="24"/>
      <c r="D493" s="24"/>
      <c r="E493" s="24"/>
      <c r="F493" s="25"/>
      <c r="G493" s="30" t="str">
        <f aca="false">CVSSv3!$A$14</f>
        <v>Nivel de confianza</v>
      </c>
      <c r="H493" s="31" t="s">
        <v>715</v>
      </c>
      <c r="I493" s="28"/>
      <c r="J493" s="23"/>
      <c r="K493" s="23"/>
      <c r="L493" s="24"/>
      <c r="M493" s="24"/>
      <c r="N493" s="24"/>
      <c r="O493" s="24"/>
    </row>
    <row r="494" customFormat="false" ht="15.75" hidden="false" customHeight="true" outlineLevel="0" collapsed="false">
      <c r="A494" s="23"/>
      <c r="B494" s="24"/>
      <c r="C494" s="24"/>
      <c r="D494" s="24"/>
      <c r="E494" s="24"/>
      <c r="F494" s="25"/>
      <c r="G494" s="32" t="str">
        <f aca="false">"("&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32"/>
      <c r="I494" s="28"/>
      <c r="J494" s="23"/>
      <c r="K494" s="23"/>
      <c r="L494" s="24"/>
      <c r="M494" s="24"/>
      <c r="N494" s="24"/>
      <c r="O494" s="24"/>
    </row>
    <row r="495" customFormat="false" ht="15.75" hidden="false" customHeight="true" outlineLevel="0" collapsed="false">
      <c r="A495" s="23" t="n">
        <v>42</v>
      </c>
      <c r="B495" s="24" t="s">
        <v>756</v>
      </c>
      <c r="C495" s="24" t="s">
        <v>17</v>
      </c>
      <c r="D495" s="24" t="s">
        <v>17</v>
      </c>
      <c r="E495" s="24" t="s">
        <v>17</v>
      </c>
      <c r="F49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5" s="26" t="str">
        <f aca="false">CVSSv3!$A$4</f>
        <v>Vector de ataque:</v>
      </c>
      <c r="H495" s="27" t="s">
        <v>706</v>
      </c>
      <c r="I495" s="28" t="n">
        <f aca="false">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23" t="n">
        <v>0</v>
      </c>
      <c r="K495" s="23" t="n">
        <v>0</v>
      </c>
      <c r="L495" s="24" t="s">
        <v>17</v>
      </c>
      <c r="M495" s="24" t="s">
        <v>17</v>
      </c>
      <c r="N495" s="24" t="s">
        <v>707</v>
      </c>
      <c r="O495" s="24" t="s">
        <v>708</v>
      </c>
    </row>
    <row r="496" customFormat="false" ht="15.75" hidden="false" customHeight="true" outlineLevel="0" collapsed="false">
      <c r="A496" s="23"/>
      <c r="B496" s="24"/>
      <c r="C496" s="24"/>
      <c r="D496" s="24"/>
      <c r="E496" s="24"/>
      <c r="F496" s="25"/>
      <c r="G496" s="30" t="str">
        <f aca="false">CVSSv3!$A$5</f>
        <v>Complejidad de ataque:</v>
      </c>
      <c r="H496" s="31" t="s">
        <v>709</v>
      </c>
      <c r="I496" s="28"/>
      <c r="J496" s="23"/>
      <c r="K496" s="23"/>
      <c r="L496" s="24"/>
      <c r="M496" s="24"/>
      <c r="N496" s="24"/>
      <c r="O496" s="24"/>
    </row>
    <row r="497" customFormat="false" ht="15.75" hidden="false" customHeight="true" outlineLevel="0" collapsed="false">
      <c r="A497" s="23"/>
      <c r="B497" s="24"/>
      <c r="C497" s="24"/>
      <c r="D497" s="24"/>
      <c r="E497" s="24"/>
      <c r="F497" s="25"/>
      <c r="G497" s="30" t="str">
        <f aca="false">CVSSv3!$A$6</f>
        <v>Privilegios requeridos:</v>
      </c>
      <c r="H497" s="31" t="s">
        <v>710</v>
      </c>
      <c r="I497" s="28"/>
      <c r="J497" s="23"/>
      <c r="K497" s="23"/>
      <c r="L497" s="24"/>
      <c r="M497" s="24"/>
      <c r="N497" s="24"/>
      <c r="O497" s="24"/>
    </row>
    <row r="498" customFormat="false" ht="15.75" hidden="false" customHeight="true" outlineLevel="0" collapsed="false">
      <c r="A498" s="23"/>
      <c r="B498" s="24"/>
      <c r="C498" s="24"/>
      <c r="D498" s="24"/>
      <c r="E498" s="24"/>
      <c r="F498" s="25"/>
      <c r="G498" s="30" t="str">
        <f aca="false">CVSSv3!$A$7</f>
        <v>Interacción del usuario:</v>
      </c>
      <c r="H498" s="31" t="s">
        <v>711</v>
      </c>
      <c r="I498" s="28"/>
      <c r="J498" s="23"/>
      <c r="K498" s="23"/>
      <c r="L498" s="24"/>
      <c r="M498" s="24"/>
      <c r="N498" s="24"/>
      <c r="O498" s="24"/>
    </row>
    <row r="499" customFormat="false" ht="15.75" hidden="false" customHeight="true" outlineLevel="0" collapsed="false">
      <c r="A499" s="23"/>
      <c r="B499" s="24"/>
      <c r="C499" s="24"/>
      <c r="D499" s="24"/>
      <c r="E499" s="24"/>
      <c r="F499" s="25"/>
      <c r="G499" s="30" t="str">
        <f aca="false">CVSSv3!$A$8</f>
        <v>Alcance:</v>
      </c>
      <c r="H499" s="31" t="s">
        <v>712</v>
      </c>
      <c r="I499" s="28"/>
      <c r="J499" s="23"/>
      <c r="K499" s="23"/>
      <c r="L499" s="24"/>
      <c r="M499" s="24"/>
      <c r="N499" s="24"/>
      <c r="O499" s="24"/>
    </row>
    <row r="500" customFormat="false" ht="15.75" hidden="false" customHeight="true" outlineLevel="0" collapsed="false">
      <c r="A500" s="23"/>
      <c r="B500" s="24"/>
      <c r="C500" s="24"/>
      <c r="D500" s="24"/>
      <c r="E500" s="24"/>
      <c r="F500" s="25"/>
      <c r="G500" s="30" t="str">
        <f aca="false">CVSSv3!$A$9</f>
        <v>Impacto a la confidencialidad:</v>
      </c>
      <c r="H500" s="31" t="s">
        <v>713</v>
      </c>
      <c r="I500" s="28"/>
      <c r="J500" s="23"/>
      <c r="K500" s="23"/>
      <c r="L500" s="24"/>
      <c r="M500" s="24"/>
      <c r="N500" s="24"/>
      <c r="O500" s="24"/>
    </row>
    <row r="501" customFormat="false" ht="15.75" hidden="false" customHeight="true" outlineLevel="0" collapsed="false">
      <c r="A501" s="23"/>
      <c r="B501" s="24"/>
      <c r="C501" s="24"/>
      <c r="D501" s="24"/>
      <c r="E501" s="24"/>
      <c r="F501" s="25"/>
      <c r="G501" s="30" t="str">
        <f aca="false">CVSSv3!$A$10</f>
        <v>Impacto a la integridad:</v>
      </c>
      <c r="H501" s="31" t="s">
        <v>713</v>
      </c>
      <c r="I501" s="28"/>
      <c r="J501" s="23"/>
      <c r="K501" s="23"/>
      <c r="L501" s="24"/>
      <c r="M501" s="24"/>
      <c r="N501" s="24"/>
      <c r="O501" s="24"/>
    </row>
    <row r="502" customFormat="false" ht="15.75" hidden="false" customHeight="true" outlineLevel="0" collapsed="false">
      <c r="A502" s="23"/>
      <c r="B502" s="24"/>
      <c r="C502" s="24"/>
      <c r="D502" s="24"/>
      <c r="E502" s="24"/>
      <c r="F502" s="25"/>
      <c r="G502" s="30" t="str">
        <f aca="false">CVSSv3!$A$11</f>
        <v>Impacto a la disponibilidad:</v>
      </c>
      <c r="H502" s="31" t="s">
        <v>713</v>
      </c>
      <c r="I502" s="28"/>
      <c r="J502" s="23"/>
      <c r="K502" s="23"/>
      <c r="L502" s="24"/>
      <c r="M502" s="24"/>
      <c r="N502" s="24"/>
      <c r="O502" s="24"/>
    </row>
    <row r="503" customFormat="false" ht="15.75" hidden="false" customHeight="true" outlineLevel="0" collapsed="false">
      <c r="A503" s="23"/>
      <c r="B503" s="24"/>
      <c r="C503" s="24"/>
      <c r="D503" s="24"/>
      <c r="E503" s="24"/>
      <c r="F503" s="25"/>
      <c r="G503" s="30" t="str">
        <f aca="false">CVSSv3!$A$12</f>
        <v>Explotabilidad:</v>
      </c>
      <c r="H503" s="31" t="s">
        <v>709</v>
      </c>
      <c r="I503" s="28"/>
      <c r="J503" s="23"/>
      <c r="K503" s="23"/>
      <c r="L503" s="24"/>
      <c r="M503" s="24"/>
      <c r="N503" s="24"/>
      <c r="O503" s="24"/>
    </row>
    <row r="504" customFormat="false" ht="15.75" hidden="false" customHeight="true" outlineLevel="0" collapsed="false">
      <c r="A504" s="23"/>
      <c r="B504" s="24"/>
      <c r="C504" s="24"/>
      <c r="D504" s="24"/>
      <c r="E504" s="24"/>
      <c r="F504" s="25"/>
      <c r="G504" s="30" t="str">
        <f aca="false">CVSSv3!$A$13</f>
        <v>Nivel de resolución:</v>
      </c>
      <c r="H504" s="31" t="s">
        <v>714</v>
      </c>
      <c r="I504" s="28"/>
      <c r="J504" s="23"/>
      <c r="K504" s="23"/>
      <c r="L504" s="24"/>
      <c r="M504" s="24"/>
      <c r="N504" s="24"/>
      <c r="O504" s="24"/>
    </row>
    <row r="505" customFormat="false" ht="15.75" hidden="false" customHeight="true" outlineLevel="0" collapsed="false">
      <c r="A505" s="23"/>
      <c r="B505" s="24"/>
      <c r="C505" s="24"/>
      <c r="D505" s="24"/>
      <c r="E505" s="24"/>
      <c r="F505" s="25"/>
      <c r="G505" s="30" t="str">
        <f aca="false">CVSSv3!$A$14</f>
        <v>Nivel de confianza</v>
      </c>
      <c r="H505" s="31" t="s">
        <v>715</v>
      </c>
      <c r="I505" s="28"/>
      <c r="J505" s="23"/>
      <c r="K505" s="23"/>
      <c r="L505" s="24"/>
      <c r="M505" s="24"/>
      <c r="N505" s="24"/>
      <c r="O505" s="24"/>
    </row>
    <row r="506" customFormat="false" ht="15.75" hidden="false" customHeight="true" outlineLevel="0" collapsed="false">
      <c r="A506" s="23"/>
      <c r="B506" s="24"/>
      <c r="C506" s="24"/>
      <c r="D506" s="24"/>
      <c r="E506" s="24"/>
      <c r="F506" s="25"/>
      <c r="G506" s="32" t="str">
        <f aca="false">"("&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32"/>
      <c r="I506" s="28"/>
      <c r="J506" s="23"/>
      <c r="K506" s="23"/>
      <c r="L506" s="24"/>
      <c r="M506" s="24"/>
      <c r="N506" s="24"/>
      <c r="O506" s="24"/>
    </row>
    <row r="507" customFormat="false" ht="15.75" hidden="false" customHeight="true" outlineLevel="0" collapsed="false">
      <c r="A507" s="23" t="n">
        <v>43</v>
      </c>
      <c r="B507" s="24" t="s">
        <v>757</v>
      </c>
      <c r="C507" s="24" t="s">
        <v>17</v>
      </c>
      <c r="D507" s="24" t="s">
        <v>17</v>
      </c>
      <c r="E507" s="24" t="s">
        <v>17</v>
      </c>
      <c r="F50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07" s="26" t="str">
        <f aca="false">CVSSv3!$A$4</f>
        <v>Vector de ataque:</v>
      </c>
      <c r="H507" s="27" t="s">
        <v>706</v>
      </c>
      <c r="I507" s="28" t="n">
        <f aca="false">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23" t="n">
        <v>0</v>
      </c>
      <c r="K507" s="23" t="n">
        <v>0</v>
      </c>
      <c r="L507" s="24" t="s">
        <v>17</v>
      </c>
      <c r="M507" s="24" t="s">
        <v>17</v>
      </c>
      <c r="N507" s="24" t="s">
        <v>707</v>
      </c>
      <c r="O507" s="24" t="s">
        <v>708</v>
      </c>
    </row>
    <row r="508" customFormat="false" ht="15.75" hidden="false" customHeight="true" outlineLevel="0" collapsed="false">
      <c r="A508" s="23"/>
      <c r="B508" s="24"/>
      <c r="C508" s="24"/>
      <c r="D508" s="24"/>
      <c r="E508" s="24"/>
      <c r="F508" s="25"/>
      <c r="G508" s="30" t="str">
        <f aca="false">CVSSv3!$A$5</f>
        <v>Complejidad de ataque:</v>
      </c>
      <c r="H508" s="31" t="s">
        <v>709</v>
      </c>
      <c r="I508" s="28"/>
      <c r="J508" s="23"/>
      <c r="K508" s="23"/>
      <c r="L508" s="24"/>
      <c r="M508" s="24"/>
      <c r="N508" s="24"/>
      <c r="O508" s="24"/>
    </row>
    <row r="509" customFormat="false" ht="15.75" hidden="false" customHeight="true" outlineLevel="0" collapsed="false">
      <c r="A509" s="23"/>
      <c r="B509" s="24"/>
      <c r="C509" s="24"/>
      <c r="D509" s="24"/>
      <c r="E509" s="24"/>
      <c r="F509" s="25"/>
      <c r="G509" s="30" t="str">
        <f aca="false">CVSSv3!$A$6</f>
        <v>Privilegios requeridos:</v>
      </c>
      <c r="H509" s="31" t="s">
        <v>710</v>
      </c>
      <c r="I509" s="28"/>
      <c r="J509" s="23"/>
      <c r="K509" s="23"/>
      <c r="L509" s="24"/>
      <c r="M509" s="24"/>
      <c r="N509" s="24"/>
      <c r="O509" s="24"/>
    </row>
    <row r="510" customFormat="false" ht="15.75" hidden="false" customHeight="true" outlineLevel="0" collapsed="false">
      <c r="A510" s="23"/>
      <c r="B510" s="24"/>
      <c r="C510" s="24"/>
      <c r="D510" s="24"/>
      <c r="E510" s="24"/>
      <c r="F510" s="25"/>
      <c r="G510" s="30" t="str">
        <f aca="false">CVSSv3!$A$7</f>
        <v>Interacción del usuario:</v>
      </c>
      <c r="H510" s="31" t="s">
        <v>711</v>
      </c>
      <c r="I510" s="28"/>
      <c r="J510" s="23"/>
      <c r="K510" s="23"/>
      <c r="L510" s="24"/>
      <c r="M510" s="24"/>
      <c r="N510" s="24"/>
      <c r="O510" s="24"/>
    </row>
    <row r="511" customFormat="false" ht="15.75" hidden="false" customHeight="true" outlineLevel="0" collapsed="false">
      <c r="A511" s="23"/>
      <c r="B511" s="24"/>
      <c r="C511" s="24"/>
      <c r="D511" s="24"/>
      <c r="E511" s="24"/>
      <c r="F511" s="25"/>
      <c r="G511" s="30" t="str">
        <f aca="false">CVSSv3!$A$8</f>
        <v>Alcance:</v>
      </c>
      <c r="H511" s="31" t="s">
        <v>712</v>
      </c>
      <c r="I511" s="28"/>
      <c r="J511" s="23"/>
      <c r="K511" s="23"/>
      <c r="L511" s="24"/>
      <c r="M511" s="24"/>
      <c r="N511" s="24"/>
      <c r="O511" s="24"/>
    </row>
    <row r="512" customFormat="false" ht="15.75" hidden="false" customHeight="true" outlineLevel="0" collapsed="false">
      <c r="A512" s="23"/>
      <c r="B512" s="24"/>
      <c r="C512" s="24"/>
      <c r="D512" s="24"/>
      <c r="E512" s="24"/>
      <c r="F512" s="25"/>
      <c r="G512" s="30" t="str">
        <f aca="false">CVSSv3!$A$9</f>
        <v>Impacto a la confidencialidad:</v>
      </c>
      <c r="H512" s="31" t="s">
        <v>713</v>
      </c>
      <c r="I512" s="28"/>
      <c r="J512" s="23"/>
      <c r="K512" s="23"/>
      <c r="L512" s="24"/>
      <c r="M512" s="24"/>
      <c r="N512" s="24"/>
      <c r="O512" s="24"/>
    </row>
    <row r="513" customFormat="false" ht="15.75" hidden="false" customHeight="true" outlineLevel="0" collapsed="false">
      <c r="A513" s="23"/>
      <c r="B513" s="24"/>
      <c r="C513" s="24"/>
      <c r="D513" s="24"/>
      <c r="E513" s="24"/>
      <c r="F513" s="25"/>
      <c r="G513" s="30" t="str">
        <f aca="false">CVSSv3!$A$10</f>
        <v>Impacto a la integridad:</v>
      </c>
      <c r="H513" s="31" t="s">
        <v>713</v>
      </c>
      <c r="I513" s="28"/>
      <c r="J513" s="23"/>
      <c r="K513" s="23"/>
      <c r="L513" s="24"/>
      <c r="M513" s="24"/>
      <c r="N513" s="24"/>
      <c r="O513" s="24"/>
    </row>
    <row r="514" customFormat="false" ht="15.75" hidden="false" customHeight="true" outlineLevel="0" collapsed="false">
      <c r="A514" s="23"/>
      <c r="B514" s="24"/>
      <c r="C514" s="24"/>
      <c r="D514" s="24"/>
      <c r="E514" s="24"/>
      <c r="F514" s="25"/>
      <c r="G514" s="30" t="str">
        <f aca="false">CVSSv3!$A$11</f>
        <v>Impacto a la disponibilidad:</v>
      </c>
      <c r="H514" s="31" t="s">
        <v>713</v>
      </c>
      <c r="I514" s="28"/>
      <c r="J514" s="23"/>
      <c r="K514" s="23"/>
      <c r="L514" s="24"/>
      <c r="M514" s="24"/>
      <c r="N514" s="24"/>
      <c r="O514" s="24"/>
    </row>
    <row r="515" customFormat="false" ht="15.75" hidden="false" customHeight="true" outlineLevel="0" collapsed="false">
      <c r="A515" s="23"/>
      <c r="B515" s="24"/>
      <c r="C515" s="24"/>
      <c r="D515" s="24"/>
      <c r="E515" s="24"/>
      <c r="F515" s="25"/>
      <c r="G515" s="30" t="str">
        <f aca="false">CVSSv3!$A$12</f>
        <v>Explotabilidad:</v>
      </c>
      <c r="H515" s="31" t="s">
        <v>709</v>
      </c>
      <c r="I515" s="28"/>
      <c r="J515" s="23"/>
      <c r="K515" s="23"/>
      <c r="L515" s="24"/>
      <c r="M515" s="24"/>
      <c r="N515" s="24"/>
      <c r="O515" s="24"/>
    </row>
    <row r="516" customFormat="false" ht="15.75" hidden="false" customHeight="true" outlineLevel="0" collapsed="false">
      <c r="A516" s="23"/>
      <c r="B516" s="24"/>
      <c r="C516" s="24"/>
      <c r="D516" s="24"/>
      <c r="E516" s="24"/>
      <c r="F516" s="25"/>
      <c r="G516" s="30" t="str">
        <f aca="false">CVSSv3!$A$13</f>
        <v>Nivel de resolución:</v>
      </c>
      <c r="H516" s="31" t="s">
        <v>714</v>
      </c>
      <c r="I516" s="28"/>
      <c r="J516" s="23"/>
      <c r="K516" s="23"/>
      <c r="L516" s="24"/>
      <c r="M516" s="24"/>
      <c r="N516" s="24"/>
      <c r="O516" s="24"/>
    </row>
    <row r="517" customFormat="false" ht="15.75" hidden="false" customHeight="true" outlineLevel="0" collapsed="false">
      <c r="A517" s="23"/>
      <c r="B517" s="24"/>
      <c r="C517" s="24"/>
      <c r="D517" s="24"/>
      <c r="E517" s="24"/>
      <c r="F517" s="25"/>
      <c r="G517" s="30" t="str">
        <f aca="false">CVSSv3!$A$14</f>
        <v>Nivel de confianza</v>
      </c>
      <c r="H517" s="31" t="s">
        <v>715</v>
      </c>
      <c r="I517" s="28"/>
      <c r="J517" s="23"/>
      <c r="K517" s="23"/>
      <c r="L517" s="24"/>
      <c r="M517" s="24"/>
      <c r="N517" s="24"/>
      <c r="O517" s="24"/>
    </row>
    <row r="518" customFormat="false" ht="15.75" hidden="false" customHeight="true" outlineLevel="0" collapsed="false">
      <c r="A518" s="23"/>
      <c r="B518" s="24"/>
      <c r="C518" s="24"/>
      <c r="D518" s="24"/>
      <c r="E518" s="24"/>
      <c r="F518" s="25"/>
      <c r="G518" s="32" t="str">
        <f aca="false">"("&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32"/>
      <c r="I518" s="28"/>
      <c r="J518" s="23"/>
      <c r="K518" s="23"/>
      <c r="L518" s="24"/>
      <c r="M518" s="24"/>
      <c r="N518" s="24"/>
      <c r="O518" s="24"/>
    </row>
    <row r="519" customFormat="false" ht="15.75" hidden="false" customHeight="true" outlineLevel="0" collapsed="false">
      <c r="A519" s="23" t="n">
        <v>44</v>
      </c>
      <c r="B519" s="24" t="s">
        <v>758</v>
      </c>
      <c r="C519" s="24" t="s">
        <v>17</v>
      </c>
      <c r="D519" s="24" t="s">
        <v>17</v>
      </c>
      <c r="E519" s="24" t="s">
        <v>17</v>
      </c>
      <c r="F51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19" s="26" t="str">
        <f aca="false">CVSSv3!$A$4</f>
        <v>Vector de ataque:</v>
      </c>
      <c r="H519" s="27" t="s">
        <v>706</v>
      </c>
      <c r="I519" s="28" t="n">
        <f aca="false">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23" t="n">
        <v>0</v>
      </c>
      <c r="K519" s="23" t="n">
        <v>0</v>
      </c>
      <c r="L519" s="24" t="s">
        <v>17</v>
      </c>
      <c r="M519" s="24" t="s">
        <v>17</v>
      </c>
      <c r="N519" s="24" t="s">
        <v>707</v>
      </c>
      <c r="O519" s="24" t="s">
        <v>708</v>
      </c>
    </row>
    <row r="520" customFormat="false" ht="15.75" hidden="false" customHeight="true" outlineLevel="0" collapsed="false">
      <c r="A520" s="23"/>
      <c r="B520" s="24"/>
      <c r="C520" s="24"/>
      <c r="D520" s="24"/>
      <c r="E520" s="24"/>
      <c r="F520" s="25"/>
      <c r="G520" s="30" t="str">
        <f aca="false">CVSSv3!$A$5</f>
        <v>Complejidad de ataque:</v>
      </c>
      <c r="H520" s="31" t="s">
        <v>709</v>
      </c>
      <c r="I520" s="28"/>
      <c r="J520" s="23"/>
      <c r="K520" s="23"/>
      <c r="L520" s="24"/>
      <c r="M520" s="24"/>
      <c r="N520" s="24"/>
      <c r="O520" s="24"/>
    </row>
    <row r="521" customFormat="false" ht="15.75" hidden="false" customHeight="true" outlineLevel="0" collapsed="false">
      <c r="A521" s="23"/>
      <c r="B521" s="24"/>
      <c r="C521" s="24"/>
      <c r="D521" s="24"/>
      <c r="E521" s="24"/>
      <c r="F521" s="25"/>
      <c r="G521" s="30" t="str">
        <f aca="false">CVSSv3!$A$6</f>
        <v>Privilegios requeridos:</v>
      </c>
      <c r="H521" s="31" t="s">
        <v>710</v>
      </c>
      <c r="I521" s="28"/>
      <c r="J521" s="23"/>
      <c r="K521" s="23"/>
      <c r="L521" s="24"/>
      <c r="M521" s="24"/>
      <c r="N521" s="24"/>
      <c r="O521" s="24"/>
    </row>
    <row r="522" customFormat="false" ht="15.75" hidden="false" customHeight="true" outlineLevel="0" collapsed="false">
      <c r="A522" s="23"/>
      <c r="B522" s="24"/>
      <c r="C522" s="24"/>
      <c r="D522" s="24"/>
      <c r="E522" s="24"/>
      <c r="F522" s="25"/>
      <c r="G522" s="30" t="str">
        <f aca="false">CVSSv3!$A$7</f>
        <v>Interacción del usuario:</v>
      </c>
      <c r="H522" s="31" t="s">
        <v>711</v>
      </c>
      <c r="I522" s="28"/>
      <c r="J522" s="23"/>
      <c r="K522" s="23"/>
      <c r="L522" s="24"/>
      <c r="M522" s="24"/>
      <c r="N522" s="24"/>
      <c r="O522" s="24"/>
    </row>
    <row r="523" customFormat="false" ht="15.75" hidden="false" customHeight="true" outlineLevel="0" collapsed="false">
      <c r="A523" s="23"/>
      <c r="B523" s="24"/>
      <c r="C523" s="24"/>
      <c r="D523" s="24"/>
      <c r="E523" s="24"/>
      <c r="F523" s="25"/>
      <c r="G523" s="30" t="str">
        <f aca="false">CVSSv3!$A$8</f>
        <v>Alcance:</v>
      </c>
      <c r="H523" s="31" t="s">
        <v>712</v>
      </c>
      <c r="I523" s="28"/>
      <c r="J523" s="23"/>
      <c r="K523" s="23"/>
      <c r="L523" s="24"/>
      <c r="M523" s="24"/>
      <c r="N523" s="24"/>
      <c r="O523" s="24"/>
    </row>
    <row r="524" customFormat="false" ht="15.75" hidden="false" customHeight="true" outlineLevel="0" collapsed="false">
      <c r="A524" s="23"/>
      <c r="B524" s="24"/>
      <c r="C524" s="24"/>
      <c r="D524" s="24"/>
      <c r="E524" s="24"/>
      <c r="F524" s="25"/>
      <c r="G524" s="30" t="str">
        <f aca="false">CVSSv3!$A$9</f>
        <v>Impacto a la confidencialidad:</v>
      </c>
      <c r="H524" s="31" t="s">
        <v>713</v>
      </c>
      <c r="I524" s="28"/>
      <c r="J524" s="23"/>
      <c r="K524" s="23"/>
      <c r="L524" s="24"/>
      <c r="M524" s="24"/>
      <c r="N524" s="24"/>
      <c r="O524" s="24"/>
    </row>
    <row r="525" customFormat="false" ht="15.75" hidden="false" customHeight="true" outlineLevel="0" collapsed="false">
      <c r="A525" s="23"/>
      <c r="B525" s="24"/>
      <c r="C525" s="24"/>
      <c r="D525" s="24"/>
      <c r="E525" s="24"/>
      <c r="F525" s="25"/>
      <c r="G525" s="30" t="str">
        <f aca="false">CVSSv3!$A$10</f>
        <v>Impacto a la integridad:</v>
      </c>
      <c r="H525" s="31" t="s">
        <v>713</v>
      </c>
      <c r="I525" s="28"/>
      <c r="J525" s="23"/>
      <c r="K525" s="23"/>
      <c r="L525" s="24"/>
      <c r="M525" s="24"/>
      <c r="N525" s="24"/>
      <c r="O525" s="24"/>
    </row>
    <row r="526" customFormat="false" ht="15.75" hidden="false" customHeight="true" outlineLevel="0" collapsed="false">
      <c r="A526" s="23"/>
      <c r="B526" s="24"/>
      <c r="C526" s="24"/>
      <c r="D526" s="24"/>
      <c r="E526" s="24"/>
      <c r="F526" s="25"/>
      <c r="G526" s="30" t="str">
        <f aca="false">CVSSv3!$A$11</f>
        <v>Impacto a la disponibilidad:</v>
      </c>
      <c r="H526" s="31" t="s">
        <v>713</v>
      </c>
      <c r="I526" s="28"/>
      <c r="J526" s="23"/>
      <c r="K526" s="23"/>
      <c r="L526" s="24"/>
      <c r="M526" s="24"/>
      <c r="N526" s="24"/>
      <c r="O526" s="24"/>
    </row>
    <row r="527" customFormat="false" ht="15.75" hidden="false" customHeight="true" outlineLevel="0" collapsed="false">
      <c r="A527" s="23"/>
      <c r="B527" s="24"/>
      <c r="C527" s="24"/>
      <c r="D527" s="24"/>
      <c r="E527" s="24"/>
      <c r="F527" s="25"/>
      <c r="G527" s="30" t="str">
        <f aca="false">CVSSv3!$A$12</f>
        <v>Explotabilidad:</v>
      </c>
      <c r="H527" s="31" t="s">
        <v>709</v>
      </c>
      <c r="I527" s="28"/>
      <c r="J527" s="23"/>
      <c r="K527" s="23"/>
      <c r="L527" s="24"/>
      <c r="M527" s="24"/>
      <c r="N527" s="24"/>
      <c r="O527" s="24"/>
    </row>
    <row r="528" customFormat="false" ht="15.75" hidden="false" customHeight="true" outlineLevel="0" collapsed="false">
      <c r="A528" s="23"/>
      <c r="B528" s="24"/>
      <c r="C528" s="24"/>
      <c r="D528" s="24"/>
      <c r="E528" s="24"/>
      <c r="F528" s="25"/>
      <c r="G528" s="30" t="str">
        <f aca="false">CVSSv3!$A$13</f>
        <v>Nivel de resolución:</v>
      </c>
      <c r="H528" s="31" t="s">
        <v>714</v>
      </c>
      <c r="I528" s="28"/>
      <c r="J528" s="23"/>
      <c r="K528" s="23"/>
      <c r="L528" s="24"/>
      <c r="M528" s="24"/>
      <c r="N528" s="24"/>
      <c r="O528" s="24"/>
    </row>
    <row r="529" customFormat="false" ht="15.75" hidden="false" customHeight="true" outlineLevel="0" collapsed="false">
      <c r="A529" s="23"/>
      <c r="B529" s="24"/>
      <c r="C529" s="24"/>
      <c r="D529" s="24"/>
      <c r="E529" s="24"/>
      <c r="F529" s="25"/>
      <c r="G529" s="30" t="str">
        <f aca="false">CVSSv3!$A$14</f>
        <v>Nivel de confianza</v>
      </c>
      <c r="H529" s="31" t="s">
        <v>715</v>
      </c>
      <c r="I529" s="28"/>
      <c r="J529" s="23"/>
      <c r="K529" s="23"/>
      <c r="L529" s="24"/>
      <c r="M529" s="24"/>
      <c r="N529" s="24"/>
      <c r="O529" s="24"/>
    </row>
    <row r="530" customFormat="false" ht="15.75" hidden="false" customHeight="true" outlineLevel="0" collapsed="false">
      <c r="A530" s="23"/>
      <c r="B530" s="24"/>
      <c r="C530" s="24"/>
      <c r="D530" s="24"/>
      <c r="E530" s="24"/>
      <c r="F530" s="25"/>
      <c r="G530" s="32" t="str">
        <f aca="false">"("&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32"/>
      <c r="I530" s="28"/>
      <c r="J530" s="23"/>
      <c r="K530" s="23"/>
      <c r="L530" s="24"/>
      <c r="M530" s="24"/>
      <c r="N530" s="24"/>
      <c r="O530" s="24"/>
    </row>
    <row r="531" customFormat="false" ht="15.75" hidden="false" customHeight="true" outlineLevel="0" collapsed="false">
      <c r="A531" s="23" t="n">
        <v>45</v>
      </c>
      <c r="B531" s="24" t="s">
        <v>759</v>
      </c>
      <c r="C531" s="24" t="s">
        <v>17</v>
      </c>
      <c r="D531" s="24" t="s">
        <v>17</v>
      </c>
      <c r="E531" s="24" t="s">
        <v>17</v>
      </c>
      <c r="F53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1" s="26" t="str">
        <f aca="false">CVSSv3!$A$4</f>
        <v>Vector de ataque:</v>
      </c>
      <c r="H531" s="27" t="s">
        <v>706</v>
      </c>
      <c r="I531" s="28" t="n">
        <f aca="false">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23" t="n">
        <v>0</v>
      </c>
      <c r="K531" s="23" t="n">
        <v>0</v>
      </c>
      <c r="L531" s="24" t="s">
        <v>17</v>
      </c>
      <c r="M531" s="24" t="s">
        <v>17</v>
      </c>
      <c r="N531" s="24" t="s">
        <v>707</v>
      </c>
      <c r="O531" s="24" t="s">
        <v>708</v>
      </c>
    </row>
    <row r="532" customFormat="false" ht="15.75" hidden="false" customHeight="true" outlineLevel="0" collapsed="false">
      <c r="A532" s="23"/>
      <c r="B532" s="24"/>
      <c r="C532" s="24"/>
      <c r="D532" s="24"/>
      <c r="E532" s="24"/>
      <c r="F532" s="25"/>
      <c r="G532" s="30" t="str">
        <f aca="false">CVSSv3!$A$5</f>
        <v>Complejidad de ataque:</v>
      </c>
      <c r="H532" s="31" t="s">
        <v>709</v>
      </c>
      <c r="I532" s="28"/>
      <c r="J532" s="23"/>
      <c r="K532" s="23"/>
      <c r="L532" s="24"/>
      <c r="M532" s="24"/>
      <c r="N532" s="24"/>
      <c r="O532" s="24"/>
    </row>
    <row r="533" customFormat="false" ht="15.75" hidden="false" customHeight="true" outlineLevel="0" collapsed="false">
      <c r="A533" s="23"/>
      <c r="B533" s="24"/>
      <c r="C533" s="24"/>
      <c r="D533" s="24"/>
      <c r="E533" s="24"/>
      <c r="F533" s="25"/>
      <c r="G533" s="30" t="str">
        <f aca="false">CVSSv3!$A$6</f>
        <v>Privilegios requeridos:</v>
      </c>
      <c r="H533" s="31" t="s">
        <v>710</v>
      </c>
      <c r="I533" s="28"/>
      <c r="J533" s="23"/>
      <c r="K533" s="23"/>
      <c r="L533" s="24"/>
      <c r="M533" s="24"/>
      <c r="N533" s="24"/>
      <c r="O533" s="24"/>
    </row>
    <row r="534" customFormat="false" ht="15.75" hidden="false" customHeight="true" outlineLevel="0" collapsed="false">
      <c r="A534" s="23"/>
      <c r="B534" s="24"/>
      <c r="C534" s="24"/>
      <c r="D534" s="24"/>
      <c r="E534" s="24"/>
      <c r="F534" s="25"/>
      <c r="G534" s="30" t="str">
        <f aca="false">CVSSv3!$A$7</f>
        <v>Interacción del usuario:</v>
      </c>
      <c r="H534" s="31" t="s">
        <v>711</v>
      </c>
      <c r="I534" s="28"/>
      <c r="J534" s="23"/>
      <c r="K534" s="23"/>
      <c r="L534" s="24"/>
      <c r="M534" s="24"/>
      <c r="N534" s="24"/>
      <c r="O534" s="24"/>
    </row>
    <row r="535" customFormat="false" ht="15.75" hidden="false" customHeight="true" outlineLevel="0" collapsed="false">
      <c r="A535" s="23"/>
      <c r="B535" s="24"/>
      <c r="C535" s="24"/>
      <c r="D535" s="24"/>
      <c r="E535" s="24"/>
      <c r="F535" s="25"/>
      <c r="G535" s="30" t="str">
        <f aca="false">CVSSv3!$A$8</f>
        <v>Alcance:</v>
      </c>
      <c r="H535" s="31" t="s">
        <v>712</v>
      </c>
      <c r="I535" s="28"/>
      <c r="J535" s="23"/>
      <c r="K535" s="23"/>
      <c r="L535" s="24"/>
      <c r="M535" s="24"/>
      <c r="N535" s="24"/>
      <c r="O535" s="24"/>
    </row>
    <row r="536" customFormat="false" ht="15.75" hidden="false" customHeight="true" outlineLevel="0" collapsed="false">
      <c r="A536" s="23"/>
      <c r="B536" s="24"/>
      <c r="C536" s="24"/>
      <c r="D536" s="24"/>
      <c r="E536" s="24"/>
      <c r="F536" s="25"/>
      <c r="G536" s="30" t="str">
        <f aca="false">CVSSv3!$A$9</f>
        <v>Impacto a la confidencialidad:</v>
      </c>
      <c r="H536" s="31" t="s">
        <v>713</v>
      </c>
      <c r="I536" s="28"/>
      <c r="J536" s="23"/>
      <c r="K536" s="23"/>
      <c r="L536" s="24"/>
      <c r="M536" s="24"/>
      <c r="N536" s="24"/>
      <c r="O536" s="24"/>
    </row>
    <row r="537" customFormat="false" ht="15.75" hidden="false" customHeight="true" outlineLevel="0" collapsed="false">
      <c r="A537" s="23"/>
      <c r="B537" s="24"/>
      <c r="C537" s="24"/>
      <c r="D537" s="24"/>
      <c r="E537" s="24"/>
      <c r="F537" s="25"/>
      <c r="G537" s="30" t="str">
        <f aca="false">CVSSv3!$A$10</f>
        <v>Impacto a la integridad:</v>
      </c>
      <c r="H537" s="31" t="s">
        <v>713</v>
      </c>
      <c r="I537" s="28"/>
      <c r="J537" s="23"/>
      <c r="K537" s="23"/>
      <c r="L537" s="24"/>
      <c r="M537" s="24"/>
      <c r="N537" s="24"/>
      <c r="O537" s="24"/>
    </row>
    <row r="538" customFormat="false" ht="15.75" hidden="false" customHeight="true" outlineLevel="0" collapsed="false">
      <c r="A538" s="23"/>
      <c r="B538" s="24"/>
      <c r="C538" s="24"/>
      <c r="D538" s="24"/>
      <c r="E538" s="24"/>
      <c r="F538" s="25"/>
      <c r="G538" s="30" t="str">
        <f aca="false">CVSSv3!$A$11</f>
        <v>Impacto a la disponibilidad:</v>
      </c>
      <c r="H538" s="31" t="s">
        <v>713</v>
      </c>
      <c r="I538" s="28"/>
      <c r="J538" s="23"/>
      <c r="K538" s="23"/>
      <c r="L538" s="24"/>
      <c r="M538" s="24"/>
      <c r="N538" s="24"/>
      <c r="O538" s="24"/>
    </row>
    <row r="539" customFormat="false" ht="15.75" hidden="false" customHeight="true" outlineLevel="0" collapsed="false">
      <c r="A539" s="23"/>
      <c r="B539" s="24"/>
      <c r="C539" s="24"/>
      <c r="D539" s="24"/>
      <c r="E539" s="24"/>
      <c r="F539" s="25"/>
      <c r="G539" s="30" t="str">
        <f aca="false">CVSSv3!$A$12</f>
        <v>Explotabilidad:</v>
      </c>
      <c r="H539" s="31" t="s">
        <v>709</v>
      </c>
      <c r="I539" s="28"/>
      <c r="J539" s="23"/>
      <c r="K539" s="23"/>
      <c r="L539" s="24"/>
      <c r="M539" s="24"/>
      <c r="N539" s="24"/>
      <c r="O539" s="24"/>
    </row>
    <row r="540" customFormat="false" ht="15.75" hidden="false" customHeight="true" outlineLevel="0" collapsed="false">
      <c r="A540" s="23"/>
      <c r="B540" s="24"/>
      <c r="C540" s="24"/>
      <c r="D540" s="24"/>
      <c r="E540" s="24"/>
      <c r="F540" s="25"/>
      <c r="G540" s="30" t="str">
        <f aca="false">CVSSv3!$A$13</f>
        <v>Nivel de resolución:</v>
      </c>
      <c r="H540" s="31" t="s">
        <v>714</v>
      </c>
      <c r="I540" s="28"/>
      <c r="J540" s="23"/>
      <c r="K540" s="23"/>
      <c r="L540" s="24"/>
      <c r="M540" s="24"/>
      <c r="N540" s="24"/>
      <c r="O540" s="24"/>
    </row>
    <row r="541" customFormat="false" ht="15.75" hidden="false" customHeight="true" outlineLevel="0" collapsed="false">
      <c r="A541" s="23"/>
      <c r="B541" s="24"/>
      <c r="C541" s="24"/>
      <c r="D541" s="24"/>
      <c r="E541" s="24"/>
      <c r="F541" s="25"/>
      <c r="G541" s="30" t="str">
        <f aca="false">CVSSv3!$A$14</f>
        <v>Nivel de confianza</v>
      </c>
      <c r="H541" s="31" t="s">
        <v>715</v>
      </c>
      <c r="I541" s="28"/>
      <c r="J541" s="23"/>
      <c r="K541" s="23"/>
      <c r="L541" s="24"/>
      <c r="M541" s="24"/>
      <c r="N541" s="24"/>
      <c r="O541" s="24"/>
    </row>
    <row r="542" customFormat="false" ht="15.75" hidden="false" customHeight="true" outlineLevel="0" collapsed="false">
      <c r="A542" s="23"/>
      <c r="B542" s="24"/>
      <c r="C542" s="24"/>
      <c r="D542" s="24"/>
      <c r="E542" s="24"/>
      <c r="F542" s="25"/>
      <c r="G542" s="32" t="str">
        <f aca="false">"("&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32"/>
      <c r="I542" s="28"/>
      <c r="J542" s="23"/>
      <c r="K542" s="23"/>
      <c r="L542" s="24"/>
      <c r="M542" s="24"/>
      <c r="N542" s="24"/>
      <c r="O542" s="24"/>
    </row>
    <row r="543" customFormat="false" ht="15.75" hidden="false" customHeight="true" outlineLevel="0" collapsed="false">
      <c r="A543" s="23" t="n">
        <v>46</v>
      </c>
      <c r="B543" s="24" t="s">
        <v>760</v>
      </c>
      <c r="C543" s="24" t="s">
        <v>17</v>
      </c>
      <c r="D543" s="24" t="s">
        <v>17</v>
      </c>
      <c r="E543" s="24" t="s">
        <v>17</v>
      </c>
      <c r="F5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43" s="26" t="str">
        <f aca="false">CVSSv3!$A$4</f>
        <v>Vector de ataque:</v>
      </c>
      <c r="H543" s="27" t="s">
        <v>706</v>
      </c>
      <c r="I543" s="28" t="n">
        <f aca="false">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23" t="n">
        <v>0</v>
      </c>
      <c r="K543" s="23" t="n">
        <v>0</v>
      </c>
      <c r="L543" s="24" t="s">
        <v>17</v>
      </c>
      <c r="M543" s="24" t="s">
        <v>17</v>
      </c>
      <c r="N543" s="24" t="s">
        <v>707</v>
      </c>
      <c r="O543" s="24" t="s">
        <v>708</v>
      </c>
    </row>
    <row r="544" customFormat="false" ht="15.75" hidden="false" customHeight="true" outlineLevel="0" collapsed="false">
      <c r="A544" s="23"/>
      <c r="B544" s="24"/>
      <c r="C544" s="24"/>
      <c r="D544" s="24"/>
      <c r="E544" s="24"/>
      <c r="F544" s="25"/>
      <c r="G544" s="30" t="str">
        <f aca="false">CVSSv3!$A$5</f>
        <v>Complejidad de ataque:</v>
      </c>
      <c r="H544" s="31" t="s">
        <v>709</v>
      </c>
      <c r="I544" s="28"/>
      <c r="J544" s="23"/>
      <c r="K544" s="23"/>
      <c r="L544" s="24"/>
      <c r="M544" s="24"/>
      <c r="N544" s="24"/>
      <c r="O544" s="24"/>
    </row>
    <row r="545" customFormat="false" ht="15.75" hidden="false" customHeight="true" outlineLevel="0" collapsed="false">
      <c r="A545" s="23"/>
      <c r="B545" s="24"/>
      <c r="C545" s="24"/>
      <c r="D545" s="24"/>
      <c r="E545" s="24"/>
      <c r="F545" s="25"/>
      <c r="G545" s="30" t="str">
        <f aca="false">CVSSv3!$A$6</f>
        <v>Privilegios requeridos:</v>
      </c>
      <c r="H545" s="31" t="s">
        <v>710</v>
      </c>
      <c r="I545" s="28"/>
      <c r="J545" s="23"/>
      <c r="K545" s="23"/>
      <c r="L545" s="24"/>
      <c r="M545" s="24"/>
      <c r="N545" s="24"/>
      <c r="O545" s="24"/>
    </row>
    <row r="546" customFormat="false" ht="15.75" hidden="false" customHeight="true" outlineLevel="0" collapsed="false">
      <c r="A546" s="23"/>
      <c r="B546" s="24"/>
      <c r="C546" s="24"/>
      <c r="D546" s="24"/>
      <c r="E546" s="24"/>
      <c r="F546" s="25"/>
      <c r="G546" s="30" t="str">
        <f aca="false">CVSSv3!$A$7</f>
        <v>Interacción del usuario:</v>
      </c>
      <c r="H546" s="31" t="s">
        <v>711</v>
      </c>
      <c r="I546" s="28"/>
      <c r="J546" s="23"/>
      <c r="K546" s="23"/>
      <c r="L546" s="24"/>
      <c r="M546" s="24"/>
      <c r="N546" s="24"/>
      <c r="O546" s="24"/>
    </row>
    <row r="547" customFormat="false" ht="15.75" hidden="false" customHeight="true" outlineLevel="0" collapsed="false">
      <c r="A547" s="23"/>
      <c r="B547" s="24"/>
      <c r="C547" s="24"/>
      <c r="D547" s="24"/>
      <c r="E547" s="24"/>
      <c r="F547" s="25"/>
      <c r="G547" s="30" t="str">
        <f aca="false">CVSSv3!$A$8</f>
        <v>Alcance:</v>
      </c>
      <c r="H547" s="31" t="s">
        <v>712</v>
      </c>
      <c r="I547" s="28"/>
      <c r="J547" s="23"/>
      <c r="K547" s="23"/>
      <c r="L547" s="24"/>
      <c r="M547" s="24"/>
      <c r="N547" s="24"/>
      <c r="O547" s="24"/>
    </row>
    <row r="548" customFormat="false" ht="15.75" hidden="false" customHeight="true" outlineLevel="0" collapsed="false">
      <c r="A548" s="23"/>
      <c r="B548" s="24"/>
      <c r="C548" s="24"/>
      <c r="D548" s="24"/>
      <c r="E548" s="24"/>
      <c r="F548" s="25"/>
      <c r="G548" s="30" t="str">
        <f aca="false">CVSSv3!$A$9</f>
        <v>Impacto a la confidencialidad:</v>
      </c>
      <c r="H548" s="31" t="s">
        <v>713</v>
      </c>
      <c r="I548" s="28"/>
      <c r="J548" s="23"/>
      <c r="K548" s="23"/>
      <c r="L548" s="24"/>
      <c r="M548" s="24"/>
      <c r="N548" s="24"/>
      <c r="O548" s="24"/>
    </row>
    <row r="549" customFormat="false" ht="15.75" hidden="false" customHeight="true" outlineLevel="0" collapsed="false">
      <c r="A549" s="23"/>
      <c r="B549" s="24"/>
      <c r="C549" s="24"/>
      <c r="D549" s="24"/>
      <c r="E549" s="24"/>
      <c r="F549" s="25"/>
      <c r="G549" s="30" t="str">
        <f aca="false">CVSSv3!$A$10</f>
        <v>Impacto a la integridad:</v>
      </c>
      <c r="H549" s="31" t="s">
        <v>713</v>
      </c>
      <c r="I549" s="28"/>
      <c r="J549" s="23"/>
      <c r="K549" s="23"/>
      <c r="L549" s="24"/>
      <c r="M549" s="24"/>
      <c r="N549" s="24"/>
      <c r="O549" s="24"/>
    </row>
    <row r="550" customFormat="false" ht="15.75" hidden="false" customHeight="true" outlineLevel="0" collapsed="false">
      <c r="A550" s="23"/>
      <c r="B550" s="24"/>
      <c r="C550" s="24"/>
      <c r="D550" s="24"/>
      <c r="E550" s="24"/>
      <c r="F550" s="25"/>
      <c r="G550" s="30" t="str">
        <f aca="false">CVSSv3!$A$11</f>
        <v>Impacto a la disponibilidad:</v>
      </c>
      <c r="H550" s="31" t="s">
        <v>713</v>
      </c>
      <c r="I550" s="28"/>
      <c r="J550" s="23"/>
      <c r="K550" s="23"/>
      <c r="L550" s="24"/>
      <c r="M550" s="24"/>
      <c r="N550" s="24"/>
      <c r="O550" s="24"/>
    </row>
    <row r="551" customFormat="false" ht="15.75" hidden="false" customHeight="true" outlineLevel="0" collapsed="false">
      <c r="A551" s="23"/>
      <c r="B551" s="24"/>
      <c r="C551" s="24"/>
      <c r="D551" s="24"/>
      <c r="E551" s="24"/>
      <c r="F551" s="25"/>
      <c r="G551" s="30" t="str">
        <f aca="false">CVSSv3!$A$12</f>
        <v>Explotabilidad:</v>
      </c>
      <c r="H551" s="31" t="s">
        <v>709</v>
      </c>
      <c r="I551" s="28"/>
      <c r="J551" s="23"/>
      <c r="K551" s="23"/>
      <c r="L551" s="24"/>
      <c r="M551" s="24"/>
      <c r="N551" s="24"/>
      <c r="O551" s="24"/>
    </row>
    <row r="552" customFormat="false" ht="15.75" hidden="false" customHeight="true" outlineLevel="0" collapsed="false">
      <c r="A552" s="23"/>
      <c r="B552" s="24"/>
      <c r="C552" s="24"/>
      <c r="D552" s="24"/>
      <c r="E552" s="24"/>
      <c r="F552" s="25"/>
      <c r="G552" s="30" t="str">
        <f aca="false">CVSSv3!$A$13</f>
        <v>Nivel de resolución:</v>
      </c>
      <c r="H552" s="31" t="s">
        <v>714</v>
      </c>
      <c r="I552" s="28"/>
      <c r="J552" s="23"/>
      <c r="K552" s="23"/>
      <c r="L552" s="24"/>
      <c r="M552" s="24"/>
      <c r="N552" s="24"/>
      <c r="O552" s="24"/>
    </row>
    <row r="553" customFormat="false" ht="15.75" hidden="false" customHeight="true" outlineLevel="0" collapsed="false">
      <c r="A553" s="23"/>
      <c r="B553" s="24"/>
      <c r="C553" s="24"/>
      <c r="D553" s="24"/>
      <c r="E553" s="24"/>
      <c r="F553" s="25"/>
      <c r="G553" s="30" t="str">
        <f aca="false">CVSSv3!$A$14</f>
        <v>Nivel de confianza</v>
      </c>
      <c r="H553" s="31" t="s">
        <v>715</v>
      </c>
      <c r="I553" s="28"/>
      <c r="J553" s="23"/>
      <c r="K553" s="23"/>
      <c r="L553" s="24"/>
      <c r="M553" s="24"/>
      <c r="N553" s="24"/>
      <c r="O553" s="24"/>
    </row>
    <row r="554" customFormat="false" ht="15.75" hidden="false" customHeight="true" outlineLevel="0" collapsed="false">
      <c r="A554" s="23"/>
      <c r="B554" s="24"/>
      <c r="C554" s="24"/>
      <c r="D554" s="24"/>
      <c r="E554" s="24"/>
      <c r="F554" s="25"/>
      <c r="G554" s="32" t="str">
        <f aca="false">"("&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32"/>
      <c r="I554" s="28"/>
      <c r="J554" s="23"/>
      <c r="K554" s="23"/>
      <c r="L554" s="24"/>
      <c r="M554" s="24"/>
      <c r="N554" s="24"/>
      <c r="O554" s="24"/>
    </row>
    <row r="555" customFormat="false" ht="15.75" hidden="false" customHeight="true" outlineLevel="0" collapsed="false">
      <c r="A555" s="23" t="n">
        <v>47</v>
      </c>
      <c r="B555" s="24" t="s">
        <v>761</v>
      </c>
      <c r="C555" s="24" t="s">
        <v>17</v>
      </c>
      <c r="D555" s="24" t="s">
        <v>17</v>
      </c>
      <c r="E555" s="24" t="s">
        <v>17</v>
      </c>
      <c r="F555"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55" s="26" t="str">
        <f aca="false">CVSSv3!$A$4</f>
        <v>Vector de ataque:</v>
      </c>
      <c r="H555" s="27" t="s">
        <v>706</v>
      </c>
      <c r="I555" s="28" t="n">
        <f aca="false">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23" t="n">
        <v>0</v>
      </c>
      <c r="K555" s="23" t="n">
        <v>0</v>
      </c>
      <c r="L555" s="24" t="s">
        <v>17</v>
      </c>
      <c r="M555" s="24" t="s">
        <v>17</v>
      </c>
      <c r="N555" s="24" t="s">
        <v>707</v>
      </c>
      <c r="O555" s="24" t="s">
        <v>708</v>
      </c>
    </row>
    <row r="556" customFormat="false" ht="15.75" hidden="false" customHeight="true" outlineLevel="0" collapsed="false">
      <c r="A556" s="23"/>
      <c r="B556" s="24"/>
      <c r="C556" s="24"/>
      <c r="D556" s="24"/>
      <c r="E556" s="24"/>
      <c r="F556" s="25"/>
      <c r="G556" s="30" t="str">
        <f aca="false">CVSSv3!$A$5</f>
        <v>Complejidad de ataque:</v>
      </c>
      <c r="H556" s="31" t="s">
        <v>709</v>
      </c>
      <c r="I556" s="28"/>
      <c r="J556" s="23"/>
      <c r="K556" s="23"/>
      <c r="L556" s="24"/>
      <c r="M556" s="24"/>
      <c r="N556" s="24"/>
      <c r="O556" s="24"/>
    </row>
    <row r="557" customFormat="false" ht="15.75" hidden="false" customHeight="true" outlineLevel="0" collapsed="false">
      <c r="A557" s="23"/>
      <c r="B557" s="24"/>
      <c r="C557" s="24"/>
      <c r="D557" s="24"/>
      <c r="E557" s="24"/>
      <c r="F557" s="25"/>
      <c r="G557" s="30" t="str">
        <f aca="false">CVSSv3!$A$6</f>
        <v>Privilegios requeridos:</v>
      </c>
      <c r="H557" s="31" t="s">
        <v>710</v>
      </c>
      <c r="I557" s="28"/>
      <c r="J557" s="23"/>
      <c r="K557" s="23"/>
      <c r="L557" s="24"/>
      <c r="M557" s="24"/>
      <c r="N557" s="24"/>
      <c r="O557" s="24"/>
    </row>
    <row r="558" customFormat="false" ht="15.75" hidden="false" customHeight="true" outlineLevel="0" collapsed="false">
      <c r="A558" s="23"/>
      <c r="B558" s="24"/>
      <c r="C558" s="24"/>
      <c r="D558" s="24"/>
      <c r="E558" s="24"/>
      <c r="F558" s="25"/>
      <c r="G558" s="30" t="str">
        <f aca="false">CVSSv3!$A$7</f>
        <v>Interacción del usuario:</v>
      </c>
      <c r="H558" s="31" t="s">
        <v>711</v>
      </c>
      <c r="I558" s="28"/>
      <c r="J558" s="23"/>
      <c r="K558" s="23"/>
      <c r="L558" s="24"/>
      <c r="M558" s="24"/>
      <c r="N558" s="24"/>
      <c r="O558" s="24"/>
    </row>
    <row r="559" customFormat="false" ht="15.75" hidden="false" customHeight="true" outlineLevel="0" collapsed="false">
      <c r="A559" s="23"/>
      <c r="B559" s="24"/>
      <c r="C559" s="24"/>
      <c r="D559" s="24"/>
      <c r="E559" s="24"/>
      <c r="F559" s="25"/>
      <c r="G559" s="30" t="str">
        <f aca="false">CVSSv3!$A$8</f>
        <v>Alcance:</v>
      </c>
      <c r="H559" s="31" t="s">
        <v>712</v>
      </c>
      <c r="I559" s="28"/>
      <c r="J559" s="23"/>
      <c r="K559" s="23"/>
      <c r="L559" s="24"/>
      <c r="M559" s="24"/>
      <c r="N559" s="24"/>
      <c r="O559" s="24"/>
    </row>
    <row r="560" customFormat="false" ht="15.75" hidden="false" customHeight="true" outlineLevel="0" collapsed="false">
      <c r="A560" s="23"/>
      <c r="B560" s="24"/>
      <c r="C560" s="24"/>
      <c r="D560" s="24"/>
      <c r="E560" s="24"/>
      <c r="F560" s="25"/>
      <c r="G560" s="30" t="str">
        <f aca="false">CVSSv3!$A$9</f>
        <v>Impacto a la confidencialidad:</v>
      </c>
      <c r="H560" s="31" t="s">
        <v>713</v>
      </c>
      <c r="I560" s="28"/>
      <c r="J560" s="23"/>
      <c r="K560" s="23"/>
      <c r="L560" s="24"/>
      <c r="M560" s="24"/>
      <c r="N560" s="24"/>
      <c r="O560" s="24"/>
    </row>
    <row r="561" customFormat="false" ht="15.75" hidden="false" customHeight="true" outlineLevel="0" collapsed="false">
      <c r="A561" s="23"/>
      <c r="B561" s="24"/>
      <c r="C561" s="24"/>
      <c r="D561" s="24"/>
      <c r="E561" s="24"/>
      <c r="F561" s="25"/>
      <c r="G561" s="30" t="str">
        <f aca="false">CVSSv3!$A$10</f>
        <v>Impacto a la integridad:</v>
      </c>
      <c r="H561" s="31" t="s">
        <v>713</v>
      </c>
      <c r="I561" s="28"/>
      <c r="J561" s="23"/>
      <c r="K561" s="23"/>
      <c r="L561" s="24"/>
      <c r="M561" s="24"/>
      <c r="N561" s="24"/>
      <c r="O561" s="24"/>
    </row>
    <row r="562" customFormat="false" ht="15.75" hidden="false" customHeight="true" outlineLevel="0" collapsed="false">
      <c r="A562" s="23"/>
      <c r="B562" s="24"/>
      <c r="C562" s="24"/>
      <c r="D562" s="24"/>
      <c r="E562" s="24"/>
      <c r="F562" s="25"/>
      <c r="G562" s="30" t="str">
        <f aca="false">CVSSv3!$A$11</f>
        <v>Impacto a la disponibilidad:</v>
      </c>
      <c r="H562" s="31" t="s">
        <v>713</v>
      </c>
      <c r="I562" s="28"/>
      <c r="J562" s="23"/>
      <c r="K562" s="23"/>
      <c r="L562" s="24"/>
      <c r="M562" s="24"/>
      <c r="N562" s="24"/>
      <c r="O562" s="24"/>
    </row>
    <row r="563" customFormat="false" ht="15.75" hidden="false" customHeight="true" outlineLevel="0" collapsed="false">
      <c r="A563" s="23"/>
      <c r="B563" s="24"/>
      <c r="C563" s="24"/>
      <c r="D563" s="24"/>
      <c r="E563" s="24"/>
      <c r="F563" s="25"/>
      <c r="G563" s="30" t="str">
        <f aca="false">CVSSv3!$A$12</f>
        <v>Explotabilidad:</v>
      </c>
      <c r="H563" s="31" t="s">
        <v>709</v>
      </c>
      <c r="I563" s="28"/>
      <c r="J563" s="23"/>
      <c r="K563" s="23"/>
      <c r="L563" s="24"/>
      <c r="M563" s="24"/>
      <c r="N563" s="24"/>
      <c r="O563" s="24"/>
    </row>
    <row r="564" customFormat="false" ht="15.75" hidden="false" customHeight="true" outlineLevel="0" collapsed="false">
      <c r="A564" s="23"/>
      <c r="B564" s="24"/>
      <c r="C564" s="24"/>
      <c r="D564" s="24"/>
      <c r="E564" s="24"/>
      <c r="F564" s="25"/>
      <c r="G564" s="30" t="str">
        <f aca="false">CVSSv3!$A$13</f>
        <v>Nivel de resolución:</v>
      </c>
      <c r="H564" s="31" t="s">
        <v>714</v>
      </c>
      <c r="I564" s="28"/>
      <c r="J564" s="23"/>
      <c r="K564" s="23"/>
      <c r="L564" s="24"/>
      <c r="M564" s="24"/>
      <c r="N564" s="24"/>
      <c r="O564" s="24"/>
    </row>
    <row r="565" customFormat="false" ht="15.75" hidden="false" customHeight="true" outlineLevel="0" collapsed="false">
      <c r="A565" s="23"/>
      <c r="B565" s="24"/>
      <c r="C565" s="24"/>
      <c r="D565" s="24"/>
      <c r="E565" s="24"/>
      <c r="F565" s="25"/>
      <c r="G565" s="30" t="str">
        <f aca="false">CVSSv3!$A$14</f>
        <v>Nivel de confianza</v>
      </c>
      <c r="H565" s="31" t="s">
        <v>715</v>
      </c>
      <c r="I565" s="28"/>
      <c r="J565" s="23"/>
      <c r="K565" s="23"/>
      <c r="L565" s="24"/>
      <c r="M565" s="24"/>
      <c r="N565" s="24"/>
      <c r="O565" s="24"/>
    </row>
    <row r="566" customFormat="false" ht="15.75" hidden="false" customHeight="true" outlineLevel="0" collapsed="false">
      <c r="A566" s="23"/>
      <c r="B566" s="24"/>
      <c r="C566" s="24"/>
      <c r="D566" s="24"/>
      <c r="E566" s="24"/>
      <c r="F566" s="25"/>
      <c r="G566" s="32" t="str">
        <f aca="false">"("&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32"/>
      <c r="I566" s="28"/>
      <c r="J566" s="23"/>
      <c r="K566" s="23"/>
      <c r="L566" s="24"/>
      <c r="M566" s="24"/>
      <c r="N566" s="24"/>
      <c r="O566" s="24"/>
    </row>
    <row r="567" customFormat="false" ht="15.75" hidden="false" customHeight="true" outlineLevel="0" collapsed="false">
      <c r="A567" s="23" t="n">
        <v>48</v>
      </c>
      <c r="B567" s="24" t="s">
        <v>762</v>
      </c>
      <c r="C567" s="24" t="s">
        <v>17</v>
      </c>
      <c r="D567" s="24" t="s">
        <v>17</v>
      </c>
      <c r="E567" s="24" t="s">
        <v>17</v>
      </c>
      <c r="F567"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67" s="26" t="str">
        <f aca="false">CVSSv3!$A$4</f>
        <v>Vector de ataque:</v>
      </c>
      <c r="H567" s="27" t="s">
        <v>706</v>
      </c>
      <c r="I567" s="28" t="n">
        <f aca="false">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23" t="n">
        <v>0</v>
      </c>
      <c r="K567" s="23" t="n">
        <v>0</v>
      </c>
      <c r="L567" s="24" t="s">
        <v>17</v>
      </c>
      <c r="M567" s="24" t="s">
        <v>17</v>
      </c>
      <c r="N567" s="24" t="s">
        <v>707</v>
      </c>
      <c r="O567" s="24" t="s">
        <v>708</v>
      </c>
    </row>
    <row r="568" customFormat="false" ht="15.75" hidden="false" customHeight="true" outlineLevel="0" collapsed="false">
      <c r="A568" s="23"/>
      <c r="B568" s="24"/>
      <c r="C568" s="24"/>
      <c r="D568" s="24"/>
      <c r="E568" s="24"/>
      <c r="F568" s="25"/>
      <c r="G568" s="30" t="str">
        <f aca="false">CVSSv3!$A$5</f>
        <v>Complejidad de ataque:</v>
      </c>
      <c r="H568" s="31" t="s">
        <v>709</v>
      </c>
      <c r="I568" s="28"/>
      <c r="J568" s="23"/>
      <c r="K568" s="23"/>
      <c r="L568" s="24"/>
      <c r="M568" s="24"/>
      <c r="N568" s="24"/>
      <c r="O568" s="24"/>
    </row>
    <row r="569" customFormat="false" ht="15.75" hidden="false" customHeight="true" outlineLevel="0" collapsed="false">
      <c r="A569" s="23"/>
      <c r="B569" s="24"/>
      <c r="C569" s="24"/>
      <c r="D569" s="24"/>
      <c r="E569" s="24"/>
      <c r="F569" s="25"/>
      <c r="G569" s="30" t="str">
        <f aca="false">CVSSv3!$A$6</f>
        <v>Privilegios requeridos:</v>
      </c>
      <c r="H569" s="31" t="s">
        <v>710</v>
      </c>
      <c r="I569" s="28"/>
      <c r="J569" s="23"/>
      <c r="K569" s="23"/>
      <c r="L569" s="24"/>
      <c r="M569" s="24"/>
      <c r="N569" s="24"/>
      <c r="O569" s="24"/>
    </row>
    <row r="570" customFormat="false" ht="15.75" hidden="false" customHeight="true" outlineLevel="0" collapsed="false">
      <c r="A570" s="23"/>
      <c r="B570" s="24"/>
      <c r="C570" s="24"/>
      <c r="D570" s="24"/>
      <c r="E570" s="24"/>
      <c r="F570" s="25"/>
      <c r="G570" s="30" t="str">
        <f aca="false">CVSSv3!$A$7</f>
        <v>Interacción del usuario:</v>
      </c>
      <c r="H570" s="31" t="s">
        <v>711</v>
      </c>
      <c r="I570" s="28"/>
      <c r="J570" s="23"/>
      <c r="K570" s="23"/>
      <c r="L570" s="24"/>
      <c r="M570" s="24"/>
      <c r="N570" s="24"/>
      <c r="O570" s="24"/>
    </row>
    <row r="571" customFormat="false" ht="15.75" hidden="false" customHeight="true" outlineLevel="0" collapsed="false">
      <c r="A571" s="23"/>
      <c r="B571" s="24"/>
      <c r="C571" s="24"/>
      <c r="D571" s="24"/>
      <c r="E571" s="24"/>
      <c r="F571" s="25"/>
      <c r="G571" s="30" t="str">
        <f aca="false">CVSSv3!$A$8</f>
        <v>Alcance:</v>
      </c>
      <c r="H571" s="31" t="s">
        <v>712</v>
      </c>
      <c r="I571" s="28"/>
      <c r="J571" s="23"/>
      <c r="K571" s="23"/>
      <c r="L571" s="24"/>
      <c r="M571" s="24"/>
      <c r="N571" s="24"/>
      <c r="O571" s="24"/>
    </row>
    <row r="572" customFormat="false" ht="15.75" hidden="false" customHeight="true" outlineLevel="0" collapsed="false">
      <c r="A572" s="23"/>
      <c r="B572" s="24"/>
      <c r="C572" s="24"/>
      <c r="D572" s="24"/>
      <c r="E572" s="24"/>
      <c r="F572" s="25"/>
      <c r="G572" s="30" t="str">
        <f aca="false">CVSSv3!$A$9</f>
        <v>Impacto a la confidencialidad:</v>
      </c>
      <c r="H572" s="31" t="s">
        <v>713</v>
      </c>
      <c r="I572" s="28"/>
      <c r="J572" s="23"/>
      <c r="K572" s="23"/>
      <c r="L572" s="24"/>
      <c r="M572" s="24"/>
      <c r="N572" s="24"/>
      <c r="O572" s="24"/>
    </row>
    <row r="573" customFormat="false" ht="15.75" hidden="false" customHeight="true" outlineLevel="0" collapsed="false">
      <c r="A573" s="23"/>
      <c r="B573" s="24"/>
      <c r="C573" s="24"/>
      <c r="D573" s="24"/>
      <c r="E573" s="24"/>
      <c r="F573" s="25"/>
      <c r="G573" s="30" t="str">
        <f aca="false">CVSSv3!$A$10</f>
        <v>Impacto a la integridad:</v>
      </c>
      <c r="H573" s="31" t="s">
        <v>713</v>
      </c>
      <c r="I573" s="28"/>
      <c r="J573" s="23"/>
      <c r="K573" s="23"/>
      <c r="L573" s="24"/>
      <c r="M573" s="24"/>
      <c r="N573" s="24"/>
      <c r="O573" s="24"/>
    </row>
    <row r="574" customFormat="false" ht="15.75" hidden="false" customHeight="true" outlineLevel="0" collapsed="false">
      <c r="A574" s="23"/>
      <c r="B574" s="24"/>
      <c r="C574" s="24"/>
      <c r="D574" s="24"/>
      <c r="E574" s="24"/>
      <c r="F574" s="25"/>
      <c r="G574" s="30" t="str">
        <f aca="false">CVSSv3!$A$11</f>
        <v>Impacto a la disponibilidad:</v>
      </c>
      <c r="H574" s="31" t="s">
        <v>713</v>
      </c>
      <c r="I574" s="28"/>
      <c r="J574" s="23"/>
      <c r="K574" s="23"/>
      <c r="L574" s="24"/>
      <c r="M574" s="24"/>
      <c r="N574" s="24"/>
      <c r="O574" s="24"/>
    </row>
    <row r="575" customFormat="false" ht="15.75" hidden="false" customHeight="true" outlineLevel="0" collapsed="false">
      <c r="A575" s="23"/>
      <c r="B575" s="24"/>
      <c r="C575" s="24"/>
      <c r="D575" s="24"/>
      <c r="E575" s="24"/>
      <c r="F575" s="25"/>
      <c r="G575" s="30" t="str">
        <f aca="false">CVSSv3!$A$12</f>
        <v>Explotabilidad:</v>
      </c>
      <c r="H575" s="31" t="s">
        <v>709</v>
      </c>
      <c r="I575" s="28"/>
      <c r="J575" s="23"/>
      <c r="K575" s="23"/>
      <c r="L575" s="24"/>
      <c r="M575" s="24"/>
      <c r="N575" s="24"/>
      <c r="O575" s="24"/>
    </row>
    <row r="576" customFormat="false" ht="15.75" hidden="false" customHeight="true" outlineLevel="0" collapsed="false">
      <c r="A576" s="23"/>
      <c r="B576" s="24"/>
      <c r="C576" s="24"/>
      <c r="D576" s="24"/>
      <c r="E576" s="24"/>
      <c r="F576" s="25"/>
      <c r="G576" s="30" t="str">
        <f aca="false">CVSSv3!$A$13</f>
        <v>Nivel de resolución:</v>
      </c>
      <c r="H576" s="31" t="s">
        <v>714</v>
      </c>
      <c r="I576" s="28"/>
      <c r="J576" s="23"/>
      <c r="K576" s="23"/>
      <c r="L576" s="24"/>
      <c r="M576" s="24"/>
      <c r="N576" s="24"/>
      <c r="O576" s="24"/>
    </row>
    <row r="577" customFormat="false" ht="15.75" hidden="false" customHeight="true" outlineLevel="0" collapsed="false">
      <c r="A577" s="23"/>
      <c r="B577" s="24"/>
      <c r="C577" s="24"/>
      <c r="D577" s="24"/>
      <c r="E577" s="24"/>
      <c r="F577" s="25"/>
      <c r="G577" s="30" t="str">
        <f aca="false">CVSSv3!$A$14</f>
        <v>Nivel de confianza</v>
      </c>
      <c r="H577" s="31" t="s">
        <v>715</v>
      </c>
      <c r="I577" s="28"/>
      <c r="J577" s="23"/>
      <c r="K577" s="23"/>
      <c r="L577" s="24"/>
      <c r="M577" s="24"/>
      <c r="N577" s="24"/>
      <c r="O577" s="24"/>
    </row>
    <row r="578" customFormat="false" ht="15.75" hidden="false" customHeight="true" outlineLevel="0" collapsed="false">
      <c r="A578" s="23"/>
      <c r="B578" s="24"/>
      <c r="C578" s="24"/>
      <c r="D578" s="24"/>
      <c r="E578" s="24"/>
      <c r="F578" s="25"/>
      <c r="G578" s="32" t="str">
        <f aca="false">"("&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32"/>
      <c r="I578" s="28"/>
      <c r="J578" s="23"/>
      <c r="K578" s="23"/>
      <c r="L578" s="24"/>
      <c r="M578" s="24"/>
      <c r="N578" s="24"/>
      <c r="O578" s="24"/>
    </row>
    <row r="579" customFormat="false" ht="15.75" hidden="false" customHeight="true" outlineLevel="0" collapsed="false">
      <c r="A579" s="23" t="n">
        <v>49</v>
      </c>
      <c r="B579" s="24" t="s">
        <v>763</v>
      </c>
      <c r="C579" s="24" t="s">
        <v>17</v>
      </c>
      <c r="D579" s="24" t="s">
        <v>17</v>
      </c>
      <c r="E579" s="24" t="s">
        <v>17</v>
      </c>
      <c r="F579"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79" s="26" t="str">
        <f aca="false">CVSSv3!$A$4</f>
        <v>Vector de ataque:</v>
      </c>
      <c r="H579" s="27" t="s">
        <v>706</v>
      </c>
      <c r="I579" s="28" t="n">
        <f aca="false">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23" t="n">
        <v>0</v>
      </c>
      <c r="K579" s="23" t="n">
        <v>0</v>
      </c>
      <c r="L579" s="24" t="s">
        <v>17</v>
      </c>
      <c r="M579" s="24" t="s">
        <v>17</v>
      </c>
      <c r="N579" s="24" t="s">
        <v>707</v>
      </c>
      <c r="O579" s="24" t="s">
        <v>708</v>
      </c>
    </row>
    <row r="580" customFormat="false" ht="15.75" hidden="false" customHeight="true" outlineLevel="0" collapsed="false">
      <c r="A580" s="23"/>
      <c r="B580" s="24"/>
      <c r="C580" s="24"/>
      <c r="D580" s="24"/>
      <c r="E580" s="24"/>
      <c r="F580" s="25"/>
      <c r="G580" s="30" t="str">
        <f aca="false">CVSSv3!$A$5</f>
        <v>Complejidad de ataque:</v>
      </c>
      <c r="H580" s="31" t="s">
        <v>709</v>
      </c>
      <c r="I580" s="28"/>
      <c r="J580" s="23"/>
      <c r="K580" s="23"/>
      <c r="L580" s="24"/>
      <c r="M580" s="24"/>
      <c r="N580" s="24"/>
      <c r="O580" s="24"/>
    </row>
    <row r="581" customFormat="false" ht="15.75" hidden="false" customHeight="true" outlineLevel="0" collapsed="false">
      <c r="A581" s="23"/>
      <c r="B581" s="24"/>
      <c r="C581" s="24"/>
      <c r="D581" s="24"/>
      <c r="E581" s="24"/>
      <c r="F581" s="25"/>
      <c r="G581" s="30" t="str">
        <f aca="false">CVSSv3!$A$6</f>
        <v>Privilegios requeridos:</v>
      </c>
      <c r="H581" s="31" t="s">
        <v>710</v>
      </c>
      <c r="I581" s="28"/>
      <c r="J581" s="23"/>
      <c r="K581" s="23"/>
      <c r="L581" s="24"/>
      <c r="M581" s="24"/>
      <c r="N581" s="24"/>
      <c r="O581" s="24"/>
    </row>
    <row r="582" customFormat="false" ht="15.75" hidden="false" customHeight="true" outlineLevel="0" collapsed="false">
      <c r="A582" s="23"/>
      <c r="B582" s="24"/>
      <c r="C582" s="24"/>
      <c r="D582" s="24"/>
      <c r="E582" s="24"/>
      <c r="F582" s="25"/>
      <c r="G582" s="30" t="str">
        <f aca="false">CVSSv3!$A$7</f>
        <v>Interacción del usuario:</v>
      </c>
      <c r="H582" s="31" t="s">
        <v>711</v>
      </c>
      <c r="I582" s="28"/>
      <c r="J582" s="23"/>
      <c r="K582" s="23"/>
      <c r="L582" s="24"/>
      <c r="M582" s="24"/>
      <c r="N582" s="24"/>
      <c r="O582" s="24"/>
    </row>
    <row r="583" customFormat="false" ht="15.75" hidden="false" customHeight="true" outlineLevel="0" collapsed="false">
      <c r="A583" s="23"/>
      <c r="B583" s="24"/>
      <c r="C583" s="24"/>
      <c r="D583" s="24"/>
      <c r="E583" s="24"/>
      <c r="F583" s="25"/>
      <c r="G583" s="30" t="str">
        <f aca="false">CVSSv3!$A$8</f>
        <v>Alcance:</v>
      </c>
      <c r="H583" s="31" t="s">
        <v>712</v>
      </c>
      <c r="I583" s="28"/>
      <c r="J583" s="23"/>
      <c r="K583" s="23"/>
      <c r="L583" s="24"/>
      <c r="M583" s="24"/>
      <c r="N583" s="24"/>
      <c r="O583" s="24"/>
    </row>
    <row r="584" customFormat="false" ht="15.75" hidden="false" customHeight="true" outlineLevel="0" collapsed="false">
      <c r="A584" s="23"/>
      <c r="B584" s="24"/>
      <c r="C584" s="24"/>
      <c r="D584" s="24"/>
      <c r="E584" s="24"/>
      <c r="F584" s="25"/>
      <c r="G584" s="30" t="str">
        <f aca="false">CVSSv3!$A$9</f>
        <v>Impacto a la confidencialidad:</v>
      </c>
      <c r="H584" s="31" t="s">
        <v>713</v>
      </c>
      <c r="I584" s="28"/>
      <c r="J584" s="23"/>
      <c r="K584" s="23"/>
      <c r="L584" s="24"/>
      <c r="M584" s="24"/>
      <c r="N584" s="24"/>
      <c r="O584" s="24"/>
    </row>
    <row r="585" customFormat="false" ht="15.75" hidden="false" customHeight="true" outlineLevel="0" collapsed="false">
      <c r="A585" s="23"/>
      <c r="B585" s="24"/>
      <c r="C585" s="24"/>
      <c r="D585" s="24"/>
      <c r="E585" s="24"/>
      <c r="F585" s="25"/>
      <c r="G585" s="30" t="str">
        <f aca="false">CVSSv3!$A$10</f>
        <v>Impacto a la integridad:</v>
      </c>
      <c r="H585" s="31" t="s">
        <v>713</v>
      </c>
      <c r="I585" s="28"/>
      <c r="J585" s="23"/>
      <c r="K585" s="23"/>
      <c r="L585" s="24"/>
      <c r="M585" s="24"/>
      <c r="N585" s="24"/>
      <c r="O585" s="24"/>
    </row>
    <row r="586" customFormat="false" ht="15.75" hidden="false" customHeight="true" outlineLevel="0" collapsed="false">
      <c r="A586" s="23"/>
      <c r="B586" s="24"/>
      <c r="C586" s="24"/>
      <c r="D586" s="24"/>
      <c r="E586" s="24"/>
      <c r="F586" s="25"/>
      <c r="G586" s="30" t="str">
        <f aca="false">CVSSv3!$A$11</f>
        <v>Impacto a la disponibilidad:</v>
      </c>
      <c r="H586" s="31" t="s">
        <v>713</v>
      </c>
      <c r="I586" s="28"/>
      <c r="J586" s="23"/>
      <c r="K586" s="23"/>
      <c r="L586" s="24"/>
      <c r="M586" s="24"/>
      <c r="N586" s="24"/>
      <c r="O586" s="24"/>
    </row>
    <row r="587" customFormat="false" ht="15.75" hidden="false" customHeight="true" outlineLevel="0" collapsed="false">
      <c r="A587" s="23"/>
      <c r="B587" s="24"/>
      <c r="C587" s="24"/>
      <c r="D587" s="24"/>
      <c r="E587" s="24"/>
      <c r="F587" s="25"/>
      <c r="G587" s="30" t="str">
        <f aca="false">CVSSv3!$A$12</f>
        <v>Explotabilidad:</v>
      </c>
      <c r="H587" s="31" t="s">
        <v>709</v>
      </c>
      <c r="I587" s="28"/>
      <c r="J587" s="23"/>
      <c r="K587" s="23"/>
      <c r="L587" s="24"/>
      <c r="M587" s="24"/>
      <c r="N587" s="24"/>
      <c r="O587" s="24"/>
    </row>
    <row r="588" customFormat="false" ht="15.75" hidden="false" customHeight="true" outlineLevel="0" collapsed="false">
      <c r="A588" s="23"/>
      <c r="B588" s="24"/>
      <c r="C588" s="24"/>
      <c r="D588" s="24"/>
      <c r="E588" s="24"/>
      <c r="F588" s="25"/>
      <c r="G588" s="30" t="str">
        <f aca="false">CVSSv3!$A$13</f>
        <v>Nivel de resolución:</v>
      </c>
      <c r="H588" s="31" t="s">
        <v>714</v>
      </c>
      <c r="I588" s="28"/>
      <c r="J588" s="23"/>
      <c r="K588" s="23"/>
      <c r="L588" s="24"/>
      <c r="M588" s="24"/>
      <c r="N588" s="24"/>
      <c r="O588" s="24"/>
    </row>
    <row r="589" customFormat="false" ht="15.75" hidden="false" customHeight="true" outlineLevel="0" collapsed="false">
      <c r="A589" s="23"/>
      <c r="B589" s="24"/>
      <c r="C589" s="24"/>
      <c r="D589" s="24"/>
      <c r="E589" s="24"/>
      <c r="F589" s="25"/>
      <c r="G589" s="30" t="str">
        <f aca="false">CVSSv3!$A$14</f>
        <v>Nivel de confianza</v>
      </c>
      <c r="H589" s="31" t="s">
        <v>715</v>
      </c>
      <c r="I589" s="28"/>
      <c r="J589" s="23"/>
      <c r="K589" s="23"/>
      <c r="L589" s="24"/>
      <c r="M589" s="24"/>
      <c r="N589" s="24"/>
      <c r="O589" s="24"/>
    </row>
    <row r="590" customFormat="false" ht="15.75" hidden="false" customHeight="true" outlineLevel="0" collapsed="false">
      <c r="A590" s="23"/>
      <c r="B590" s="24"/>
      <c r="C590" s="24"/>
      <c r="D590" s="24"/>
      <c r="E590" s="24"/>
      <c r="F590" s="25"/>
      <c r="G590" s="32" t="str">
        <f aca="false">"("&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32"/>
      <c r="I590" s="28"/>
      <c r="J590" s="23"/>
      <c r="K590" s="23"/>
      <c r="L590" s="24"/>
      <c r="M590" s="24"/>
      <c r="N590" s="24"/>
      <c r="O590" s="24"/>
    </row>
    <row r="591" customFormat="false" ht="15.75" hidden="false" customHeight="true" outlineLevel="0" collapsed="false">
      <c r="A591" s="23" t="n">
        <v>50</v>
      </c>
      <c r="B591" s="24" t="s">
        <v>764</v>
      </c>
      <c r="C591" s="24" t="s">
        <v>17</v>
      </c>
      <c r="D591" s="24" t="s">
        <v>17</v>
      </c>
      <c r="E591" s="24" t="s">
        <v>17</v>
      </c>
      <c r="F591"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91" s="26" t="str">
        <f aca="false">CVSSv3!$A$4</f>
        <v>Vector de ataque:</v>
      </c>
      <c r="H591" s="27" t="s">
        <v>706</v>
      </c>
      <c r="I591" s="28" t="n">
        <f aca="false">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23" t="n">
        <v>0</v>
      </c>
      <c r="K591" s="23" t="n">
        <v>0</v>
      </c>
      <c r="L591" s="24" t="s">
        <v>17</v>
      </c>
      <c r="M591" s="24" t="s">
        <v>17</v>
      </c>
      <c r="N591" s="24" t="s">
        <v>707</v>
      </c>
      <c r="O591" s="24" t="s">
        <v>708</v>
      </c>
    </row>
    <row r="592" customFormat="false" ht="15.75" hidden="false" customHeight="true" outlineLevel="0" collapsed="false">
      <c r="A592" s="23"/>
      <c r="B592" s="24"/>
      <c r="C592" s="24"/>
      <c r="D592" s="24"/>
      <c r="E592" s="24"/>
      <c r="F592" s="25"/>
      <c r="G592" s="30" t="str">
        <f aca="false">CVSSv3!$A$5</f>
        <v>Complejidad de ataque:</v>
      </c>
      <c r="H592" s="31" t="s">
        <v>709</v>
      </c>
      <c r="I592" s="28"/>
      <c r="J592" s="23"/>
      <c r="K592" s="23"/>
      <c r="L592" s="24"/>
      <c r="M592" s="24"/>
      <c r="N592" s="24"/>
      <c r="O592" s="24"/>
    </row>
    <row r="593" customFormat="false" ht="15.75" hidden="false" customHeight="true" outlineLevel="0" collapsed="false">
      <c r="A593" s="23"/>
      <c r="B593" s="24"/>
      <c r="C593" s="24"/>
      <c r="D593" s="24"/>
      <c r="E593" s="24"/>
      <c r="F593" s="25"/>
      <c r="G593" s="30" t="str">
        <f aca="false">CVSSv3!$A$6</f>
        <v>Privilegios requeridos:</v>
      </c>
      <c r="H593" s="31" t="s">
        <v>710</v>
      </c>
      <c r="I593" s="28"/>
      <c r="J593" s="23"/>
      <c r="K593" s="23"/>
      <c r="L593" s="24"/>
      <c r="M593" s="24"/>
      <c r="N593" s="24"/>
      <c r="O593" s="24"/>
    </row>
    <row r="594" customFormat="false" ht="15.75" hidden="false" customHeight="true" outlineLevel="0" collapsed="false">
      <c r="A594" s="23"/>
      <c r="B594" s="24"/>
      <c r="C594" s="24"/>
      <c r="D594" s="24"/>
      <c r="E594" s="24"/>
      <c r="F594" s="25"/>
      <c r="G594" s="30" t="str">
        <f aca="false">CVSSv3!$A$7</f>
        <v>Interacción del usuario:</v>
      </c>
      <c r="H594" s="31" t="s">
        <v>711</v>
      </c>
      <c r="I594" s="28"/>
      <c r="J594" s="23"/>
      <c r="K594" s="23"/>
      <c r="L594" s="24"/>
      <c r="M594" s="24"/>
      <c r="N594" s="24"/>
      <c r="O594" s="24"/>
    </row>
    <row r="595" customFormat="false" ht="15.75" hidden="false" customHeight="true" outlineLevel="0" collapsed="false">
      <c r="A595" s="23"/>
      <c r="B595" s="24"/>
      <c r="C595" s="24"/>
      <c r="D595" s="24"/>
      <c r="E595" s="24"/>
      <c r="F595" s="25"/>
      <c r="G595" s="30" t="str">
        <f aca="false">CVSSv3!$A$8</f>
        <v>Alcance:</v>
      </c>
      <c r="H595" s="31" t="s">
        <v>712</v>
      </c>
      <c r="I595" s="28"/>
      <c r="J595" s="23"/>
      <c r="K595" s="23"/>
      <c r="L595" s="24"/>
      <c r="M595" s="24"/>
      <c r="N595" s="24"/>
      <c r="O595" s="24"/>
    </row>
    <row r="596" customFormat="false" ht="15.75" hidden="false" customHeight="true" outlineLevel="0" collapsed="false">
      <c r="A596" s="23"/>
      <c r="B596" s="24"/>
      <c r="C596" s="24"/>
      <c r="D596" s="24"/>
      <c r="E596" s="24"/>
      <c r="F596" s="25"/>
      <c r="G596" s="30" t="str">
        <f aca="false">CVSSv3!$A$9</f>
        <v>Impacto a la confidencialidad:</v>
      </c>
      <c r="H596" s="31" t="s">
        <v>713</v>
      </c>
      <c r="I596" s="28"/>
      <c r="J596" s="23"/>
      <c r="K596" s="23"/>
      <c r="L596" s="24"/>
      <c r="M596" s="24"/>
      <c r="N596" s="24"/>
      <c r="O596" s="24"/>
    </row>
    <row r="597" customFormat="false" ht="15.75" hidden="false" customHeight="true" outlineLevel="0" collapsed="false">
      <c r="A597" s="23"/>
      <c r="B597" s="24"/>
      <c r="C597" s="24"/>
      <c r="D597" s="24"/>
      <c r="E597" s="24"/>
      <c r="F597" s="25"/>
      <c r="G597" s="30" t="str">
        <f aca="false">CVSSv3!$A$10</f>
        <v>Impacto a la integridad:</v>
      </c>
      <c r="H597" s="31" t="s">
        <v>713</v>
      </c>
      <c r="I597" s="28"/>
      <c r="J597" s="23"/>
      <c r="K597" s="23"/>
      <c r="L597" s="24"/>
      <c r="M597" s="24"/>
      <c r="N597" s="24"/>
      <c r="O597" s="24"/>
    </row>
    <row r="598" customFormat="false" ht="15.75" hidden="false" customHeight="true" outlineLevel="0" collapsed="false">
      <c r="A598" s="23"/>
      <c r="B598" s="24"/>
      <c r="C598" s="24"/>
      <c r="D598" s="24"/>
      <c r="E598" s="24"/>
      <c r="F598" s="25"/>
      <c r="G598" s="30" t="str">
        <f aca="false">CVSSv3!$A$11</f>
        <v>Impacto a la disponibilidad:</v>
      </c>
      <c r="H598" s="31" t="s">
        <v>713</v>
      </c>
      <c r="I598" s="28"/>
      <c r="J598" s="23"/>
      <c r="K598" s="23"/>
      <c r="L598" s="24"/>
      <c r="M598" s="24"/>
      <c r="N598" s="24"/>
      <c r="O598" s="24"/>
    </row>
    <row r="599" customFormat="false" ht="15.75" hidden="false" customHeight="true" outlineLevel="0" collapsed="false">
      <c r="A599" s="23"/>
      <c r="B599" s="24"/>
      <c r="C599" s="24"/>
      <c r="D599" s="24"/>
      <c r="E599" s="24"/>
      <c r="F599" s="25"/>
      <c r="G599" s="30" t="str">
        <f aca="false">CVSSv3!$A$12</f>
        <v>Explotabilidad:</v>
      </c>
      <c r="H599" s="31" t="s">
        <v>709</v>
      </c>
      <c r="I599" s="28"/>
      <c r="J599" s="23"/>
      <c r="K599" s="23"/>
      <c r="L599" s="24"/>
      <c r="M599" s="24"/>
      <c r="N599" s="24"/>
      <c r="O599" s="24"/>
    </row>
    <row r="600" customFormat="false" ht="15.75" hidden="false" customHeight="true" outlineLevel="0" collapsed="false">
      <c r="A600" s="23"/>
      <c r="B600" s="24"/>
      <c r="C600" s="24"/>
      <c r="D600" s="24"/>
      <c r="E600" s="24"/>
      <c r="F600" s="25"/>
      <c r="G600" s="30" t="str">
        <f aca="false">CVSSv3!$A$13</f>
        <v>Nivel de resolución:</v>
      </c>
      <c r="H600" s="31" t="s">
        <v>714</v>
      </c>
      <c r="I600" s="28"/>
      <c r="J600" s="23"/>
      <c r="K600" s="23"/>
      <c r="L600" s="24"/>
      <c r="M600" s="24"/>
      <c r="N600" s="24"/>
      <c r="O600" s="24"/>
    </row>
    <row r="601" customFormat="false" ht="15.75" hidden="false" customHeight="true" outlineLevel="0" collapsed="false">
      <c r="A601" s="23"/>
      <c r="B601" s="24"/>
      <c r="C601" s="24"/>
      <c r="D601" s="24"/>
      <c r="E601" s="24"/>
      <c r="F601" s="25"/>
      <c r="G601" s="30" t="str">
        <f aca="false">CVSSv3!$A$14</f>
        <v>Nivel de confianza</v>
      </c>
      <c r="H601" s="31" t="s">
        <v>715</v>
      </c>
      <c r="I601" s="28"/>
      <c r="J601" s="23"/>
      <c r="K601" s="23"/>
      <c r="L601" s="24"/>
      <c r="M601" s="24"/>
      <c r="N601" s="24"/>
      <c r="O601" s="24"/>
    </row>
    <row r="602" customFormat="false" ht="15.75" hidden="false" customHeight="true" outlineLevel="0" collapsed="false">
      <c r="A602" s="23"/>
      <c r="B602" s="24"/>
      <c r="C602" s="24"/>
      <c r="D602" s="24"/>
      <c r="E602" s="24"/>
      <c r="F602" s="25"/>
      <c r="G602" s="32" t="str">
        <f aca="false">"("&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32"/>
      <c r="I602" s="28"/>
      <c r="J602" s="23"/>
      <c r="K602" s="23"/>
      <c r="L602" s="24"/>
      <c r="M602" s="24"/>
      <c r="N602" s="24"/>
      <c r="O602" s="24"/>
    </row>
  </sheetData>
  <mergeCells count="703">
    <mergeCell ref="A1:B1"/>
    <mergeCell ref="C1:O1"/>
    <mergeCell ref="G2:H2"/>
    <mergeCell ref="A3:A14"/>
    <mergeCell ref="B3:B14"/>
    <mergeCell ref="C3:C14"/>
    <mergeCell ref="D3:D14"/>
    <mergeCell ref="E3:E14"/>
    <mergeCell ref="F3:F14"/>
    <mergeCell ref="I3:I14"/>
    <mergeCell ref="J3:J14"/>
    <mergeCell ref="K3:K14"/>
    <mergeCell ref="L3:L14"/>
    <mergeCell ref="M3:M14"/>
    <mergeCell ref="N3:N14"/>
    <mergeCell ref="O3:O14"/>
    <mergeCell ref="G14:H14"/>
    <mergeCell ref="A15:A26"/>
    <mergeCell ref="B15:B26"/>
    <mergeCell ref="C15:C26"/>
    <mergeCell ref="D15:D26"/>
    <mergeCell ref="E15:E26"/>
    <mergeCell ref="F15:F26"/>
    <mergeCell ref="I15:I26"/>
    <mergeCell ref="J15:J26"/>
    <mergeCell ref="K15:K26"/>
    <mergeCell ref="L15:L26"/>
    <mergeCell ref="M15:M26"/>
    <mergeCell ref="N15:N26"/>
    <mergeCell ref="O15:O26"/>
    <mergeCell ref="G26:H26"/>
    <mergeCell ref="A27:A38"/>
    <mergeCell ref="B27:B38"/>
    <mergeCell ref="C27:C38"/>
    <mergeCell ref="D27:D38"/>
    <mergeCell ref="E27:E38"/>
    <mergeCell ref="F27:F38"/>
    <mergeCell ref="I27:I38"/>
    <mergeCell ref="J27:J38"/>
    <mergeCell ref="K27:K38"/>
    <mergeCell ref="L27:L38"/>
    <mergeCell ref="M27:M38"/>
    <mergeCell ref="N27:N38"/>
    <mergeCell ref="O27:O38"/>
    <mergeCell ref="G38:H38"/>
    <mergeCell ref="A39:A50"/>
    <mergeCell ref="B39:B50"/>
    <mergeCell ref="C39:C50"/>
    <mergeCell ref="D39:D50"/>
    <mergeCell ref="E39:E50"/>
    <mergeCell ref="F39:F50"/>
    <mergeCell ref="I39:I50"/>
    <mergeCell ref="J39:J50"/>
    <mergeCell ref="K39:K50"/>
    <mergeCell ref="L39:L50"/>
    <mergeCell ref="M39:M50"/>
    <mergeCell ref="N39:N50"/>
    <mergeCell ref="O39:O50"/>
    <mergeCell ref="G50:H50"/>
    <mergeCell ref="A51:A62"/>
    <mergeCell ref="B51:B62"/>
    <mergeCell ref="C51:C62"/>
    <mergeCell ref="D51:D62"/>
    <mergeCell ref="E51:E62"/>
    <mergeCell ref="F51:F62"/>
    <mergeCell ref="I51:I62"/>
    <mergeCell ref="J51:J62"/>
    <mergeCell ref="K51:K62"/>
    <mergeCell ref="L51:L62"/>
    <mergeCell ref="M51:M62"/>
    <mergeCell ref="N51:N62"/>
    <mergeCell ref="O51:O62"/>
    <mergeCell ref="G62:H62"/>
    <mergeCell ref="A63:A74"/>
    <mergeCell ref="B63:B74"/>
    <mergeCell ref="C63:C74"/>
    <mergeCell ref="D63:D74"/>
    <mergeCell ref="E63:E74"/>
    <mergeCell ref="F63:F74"/>
    <mergeCell ref="I63:I74"/>
    <mergeCell ref="J63:J74"/>
    <mergeCell ref="K63:K74"/>
    <mergeCell ref="L63:L74"/>
    <mergeCell ref="M63:M74"/>
    <mergeCell ref="N63:N74"/>
    <mergeCell ref="O63:O74"/>
    <mergeCell ref="G74:H74"/>
    <mergeCell ref="A75:A86"/>
    <mergeCell ref="B75:B86"/>
    <mergeCell ref="C75:C86"/>
    <mergeCell ref="D75:D86"/>
    <mergeCell ref="E75:E86"/>
    <mergeCell ref="F75:F86"/>
    <mergeCell ref="I75:I86"/>
    <mergeCell ref="J75:J86"/>
    <mergeCell ref="K75:K86"/>
    <mergeCell ref="L75:L86"/>
    <mergeCell ref="M75:M86"/>
    <mergeCell ref="N75:N86"/>
    <mergeCell ref="O75:O86"/>
    <mergeCell ref="G86:H86"/>
    <mergeCell ref="A87:A98"/>
    <mergeCell ref="B87:B98"/>
    <mergeCell ref="C87:C98"/>
    <mergeCell ref="D87:D98"/>
    <mergeCell ref="E87:E98"/>
    <mergeCell ref="F87:F98"/>
    <mergeCell ref="I87:I98"/>
    <mergeCell ref="J87:J98"/>
    <mergeCell ref="K87:K98"/>
    <mergeCell ref="L87:L98"/>
    <mergeCell ref="M87:M98"/>
    <mergeCell ref="N87:N98"/>
    <mergeCell ref="O87:O98"/>
    <mergeCell ref="G98:H98"/>
    <mergeCell ref="A99:A110"/>
    <mergeCell ref="B99:B110"/>
    <mergeCell ref="C99:C110"/>
    <mergeCell ref="D99:D110"/>
    <mergeCell ref="E99:E110"/>
    <mergeCell ref="F99:F110"/>
    <mergeCell ref="I99:I110"/>
    <mergeCell ref="J99:J110"/>
    <mergeCell ref="K99:K110"/>
    <mergeCell ref="L99:L110"/>
    <mergeCell ref="M99:M110"/>
    <mergeCell ref="N99:N110"/>
    <mergeCell ref="O99:O110"/>
    <mergeCell ref="G110:H110"/>
    <mergeCell ref="A111:A122"/>
    <mergeCell ref="B111:B122"/>
    <mergeCell ref="C111:C122"/>
    <mergeCell ref="D111:D122"/>
    <mergeCell ref="E111:E122"/>
    <mergeCell ref="F111:F122"/>
    <mergeCell ref="I111:I122"/>
    <mergeCell ref="J111:J122"/>
    <mergeCell ref="K111:K122"/>
    <mergeCell ref="L111:L122"/>
    <mergeCell ref="M111:M122"/>
    <mergeCell ref="N111:N122"/>
    <mergeCell ref="O111:O122"/>
    <mergeCell ref="G122:H122"/>
    <mergeCell ref="A123:A134"/>
    <mergeCell ref="B123:B134"/>
    <mergeCell ref="C123:C134"/>
    <mergeCell ref="D123:D134"/>
    <mergeCell ref="E123:E134"/>
    <mergeCell ref="F123:F134"/>
    <mergeCell ref="I123:I134"/>
    <mergeCell ref="J123:J134"/>
    <mergeCell ref="K123:K134"/>
    <mergeCell ref="L123:L134"/>
    <mergeCell ref="M123:M134"/>
    <mergeCell ref="N123:N134"/>
    <mergeCell ref="O123:O134"/>
    <mergeCell ref="G134:H134"/>
    <mergeCell ref="A135:A146"/>
    <mergeCell ref="B135:B146"/>
    <mergeCell ref="C135:C146"/>
    <mergeCell ref="D135:D146"/>
    <mergeCell ref="E135:E146"/>
    <mergeCell ref="F135:F146"/>
    <mergeCell ref="I135:I146"/>
    <mergeCell ref="J135:J146"/>
    <mergeCell ref="K135:K146"/>
    <mergeCell ref="L135:L146"/>
    <mergeCell ref="M135:M146"/>
    <mergeCell ref="N135:N146"/>
    <mergeCell ref="O135:O146"/>
    <mergeCell ref="G146:H146"/>
    <mergeCell ref="A147:A158"/>
    <mergeCell ref="B147:B158"/>
    <mergeCell ref="C147:C158"/>
    <mergeCell ref="D147:D158"/>
    <mergeCell ref="E147:E158"/>
    <mergeCell ref="F147:F158"/>
    <mergeCell ref="I147:I158"/>
    <mergeCell ref="J147:J158"/>
    <mergeCell ref="K147:K158"/>
    <mergeCell ref="L147:L158"/>
    <mergeCell ref="M147:M158"/>
    <mergeCell ref="N147:N158"/>
    <mergeCell ref="O147:O158"/>
    <mergeCell ref="G158:H158"/>
    <mergeCell ref="A159:A170"/>
    <mergeCell ref="B159:B170"/>
    <mergeCell ref="C159:C170"/>
    <mergeCell ref="D159:D170"/>
    <mergeCell ref="E159:E170"/>
    <mergeCell ref="F159:F170"/>
    <mergeCell ref="I159:I170"/>
    <mergeCell ref="J159:J170"/>
    <mergeCell ref="K159:K170"/>
    <mergeCell ref="L159:L170"/>
    <mergeCell ref="M159:M170"/>
    <mergeCell ref="N159:N170"/>
    <mergeCell ref="O159:O170"/>
    <mergeCell ref="G170:H170"/>
    <mergeCell ref="A171:A182"/>
    <mergeCell ref="B171:B182"/>
    <mergeCell ref="C171:C182"/>
    <mergeCell ref="D171:D182"/>
    <mergeCell ref="E171:E182"/>
    <mergeCell ref="F171:F182"/>
    <mergeCell ref="I171:I182"/>
    <mergeCell ref="J171:J182"/>
    <mergeCell ref="K171:K182"/>
    <mergeCell ref="L171:L182"/>
    <mergeCell ref="M171:M182"/>
    <mergeCell ref="N171:N182"/>
    <mergeCell ref="O171:O182"/>
    <mergeCell ref="G182:H182"/>
    <mergeCell ref="A183:A194"/>
    <mergeCell ref="B183:B194"/>
    <mergeCell ref="C183:C194"/>
    <mergeCell ref="D183:D194"/>
    <mergeCell ref="E183:E194"/>
    <mergeCell ref="F183:F194"/>
    <mergeCell ref="I183:I194"/>
    <mergeCell ref="J183:J194"/>
    <mergeCell ref="K183:K194"/>
    <mergeCell ref="L183:L194"/>
    <mergeCell ref="M183:M194"/>
    <mergeCell ref="N183:N194"/>
    <mergeCell ref="O183:O194"/>
    <mergeCell ref="G194:H194"/>
    <mergeCell ref="A195:A206"/>
    <mergeCell ref="B195:B206"/>
    <mergeCell ref="C195:C206"/>
    <mergeCell ref="D195:D206"/>
    <mergeCell ref="E195:E206"/>
    <mergeCell ref="F195:F206"/>
    <mergeCell ref="I195:I206"/>
    <mergeCell ref="J195:J206"/>
    <mergeCell ref="K195:K206"/>
    <mergeCell ref="L195:L206"/>
    <mergeCell ref="M195:M206"/>
    <mergeCell ref="N195:N206"/>
    <mergeCell ref="O195:O206"/>
    <mergeCell ref="G206:H206"/>
    <mergeCell ref="A207:A218"/>
    <mergeCell ref="B207:B218"/>
    <mergeCell ref="C207:C218"/>
    <mergeCell ref="D207:D218"/>
    <mergeCell ref="E207:E218"/>
    <mergeCell ref="F207:F218"/>
    <mergeCell ref="I207:I218"/>
    <mergeCell ref="J207:J218"/>
    <mergeCell ref="K207:K218"/>
    <mergeCell ref="L207:L218"/>
    <mergeCell ref="M207:M218"/>
    <mergeCell ref="N207:N218"/>
    <mergeCell ref="O207:O218"/>
    <mergeCell ref="G218:H218"/>
    <mergeCell ref="A219:A230"/>
    <mergeCell ref="B219:B230"/>
    <mergeCell ref="C219:C230"/>
    <mergeCell ref="D219:D230"/>
    <mergeCell ref="E219:E230"/>
    <mergeCell ref="F219:F230"/>
    <mergeCell ref="I219:I230"/>
    <mergeCell ref="J219:J230"/>
    <mergeCell ref="K219:K230"/>
    <mergeCell ref="L219:L230"/>
    <mergeCell ref="M219:M230"/>
    <mergeCell ref="N219:N230"/>
    <mergeCell ref="O219:O230"/>
    <mergeCell ref="G230:H230"/>
    <mergeCell ref="A231:A242"/>
    <mergeCell ref="B231:B242"/>
    <mergeCell ref="C231:C242"/>
    <mergeCell ref="D231:D242"/>
    <mergeCell ref="E231:E242"/>
    <mergeCell ref="F231:F242"/>
    <mergeCell ref="I231:I242"/>
    <mergeCell ref="J231:J242"/>
    <mergeCell ref="K231:K242"/>
    <mergeCell ref="L231:L242"/>
    <mergeCell ref="M231:M242"/>
    <mergeCell ref="N231:N242"/>
    <mergeCell ref="O231:O242"/>
    <mergeCell ref="G242:H242"/>
    <mergeCell ref="A243:A254"/>
    <mergeCell ref="B243:B254"/>
    <mergeCell ref="C243:C254"/>
    <mergeCell ref="D243:D254"/>
    <mergeCell ref="E243:E254"/>
    <mergeCell ref="F243:F254"/>
    <mergeCell ref="I243:I254"/>
    <mergeCell ref="J243:J254"/>
    <mergeCell ref="K243:K254"/>
    <mergeCell ref="L243:L254"/>
    <mergeCell ref="M243:M254"/>
    <mergeCell ref="N243:N254"/>
    <mergeCell ref="O243:O254"/>
    <mergeCell ref="G254:H254"/>
    <mergeCell ref="A255:A266"/>
    <mergeCell ref="B255:B266"/>
    <mergeCell ref="C255:C266"/>
    <mergeCell ref="D255:D266"/>
    <mergeCell ref="E255:E266"/>
    <mergeCell ref="F255:F266"/>
    <mergeCell ref="I255:I266"/>
    <mergeCell ref="J255:J266"/>
    <mergeCell ref="K255:K266"/>
    <mergeCell ref="L255:L266"/>
    <mergeCell ref="M255:M266"/>
    <mergeCell ref="N255:N266"/>
    <mergeCell ref="O255:O266"/>
    <mergeCell ref="G266:H266"/>
    <mergeCell ref="A267:A278"/>
    <mergeCell ref="B267:B278"/>
    <mergeCell ref="C267:C278"/>
    <mergeCell ref="D267:D278"/>
    <mergeCell ref="E267:E278"/>
    <mergeCell ref="F267:F278"/>
    <mergeCell ref="I267:I278"/>
    <mergeCell ref="J267:J278"/>
    <mergeCell ref="K267:K278"/>
    <mergeCell ref="L267:L278"/>
    <mergeCell ref="M267:M278"/>
    <mergeCell ref="N267:N278"/>
    <mergeCell ref="O267:O278"/>
    <mergeCell ref="G278:H278"/>
    <mergeCell ref="A279:A290"/>
    <mergeCell ref="B279:B290"/>
    <mergeCell ref="C279:C290"/>
    <mergeCell ref="D279:D290"/>
    <mergeCell ref="E279:E290"/>
    <mergeCell ref="F279:F290"/>
    <mergeCell ref="I279:I290"/>
    <mergeCell ref="J279:J290"/>
    <mergeCell ref="K279:K290"/>
    <mergeCell ref="L279:L290"/>
    <mergeCell ref="M279:M290"/>
    <mergeCell ref="N279:N290"/>
    <mergeCell ref="O279:O290"/>
    <mergeCell ref="G290:H290"/>
    <mergeCell ref="A291:A302"/>
    <mergeCell ref="B291:B302"/>
    <mergeCell ref="C291:C302"/>
    <mergeCell ref="D291:D302"/>
    <mergeCell ref="E291:E302"/>
    <mergeCell ref="F291:F302"/>
    <mergeCell ref="I291:I302"/>
    <mergeCell ref="J291:J302"/>
    <mergeCell ref="K291:K302"/>
    <mergeCell ref="L291:L302"/>
    <mergeCell ref="M291:M302"/>
    <mergeCell ref="N291:N302"/>
    <mergeCell ref="O291:O302"/>
    <mergeCell ref="G302:H302"/>
    <mergeCell ref="A303:A314"/>
    <mergeCell ref="B303:B314"/>
    <mergeCell ref="C303:C314"/>
    <mergeCell ref="D303:D314"/>
    <mergeCell ref="E303:E314"/>
    <mergeCell ref="F303:F314"/>
    <mergeCell ref="I303:I314"/>
    <mergeCell ref="J303:J314"/>
    <mergeCell ref="K303:K314"/>
    <mergeCell ref="L303:L314"/>
    <mergeCell ref="M303:M314"/>
    <mergeCell ref="N303:N314"/>
    <mergeCell ref="O303:O314"/>
    <mergeCell ref="G314:H314"/>
    <mergeCell ref="A315:A326"/>
    <mergeCell ref="B315:B326"/>
    <mergeCell ref="C315:C326"/>
    <mergeCell ref="D315:D326"/>
    <mergeCell ref="E315:E326"/>
    <mergeCell ref="F315:F326"/>
    <mergeCell ref="I315:I326"/>
    <mergeCell ref="J315:J326"/>
    <mergeCell ref="K315:K326"/>
    <mergeCell ref="L315:L326"/>
    <mergeCell ref="M315:M326"/>
    <mergeCell ref="N315:N326"/>
    <mergeCell ref="O315:O326"/>
    <mergeCell ref="G326:H326"/>
    <mergeCell ref="A327:A338"/>
    <mergeCell ref="B327:B338"/>
    <mergeCell ref="C327:C338"/>
    <mergeCell ref="D327:D338"/>
    <mergeCell ref="E327:E338"/>
    <mergeCell ref="F327:F338"/>
    <mergeCell ref="I327:I338"/>
    <mergeCell ref="J327:J338"/>
    <mergeCell ref="K327:K338"/>
    <mergeCell ref="L327:L338"/>
    <mergeCell ref="M327:M338"/>
    <mergeCell ref="N327:N338"/>
    <mergeCell ref="O327:O338"/>
    <mergeCell ref="G338:H338"/>
    <mergeCell ref="A339:A350"/>
    <mergeCell ref="B339:B350"/>
    <mergeCell ref="C339:C350"/>
    <mergeCell ref="D339:D350"/>
    <mergeCell ref="E339:E350"/>
    <mergeCell ref="F339:F350"/>
    <mergeCell ref="I339:I350"/>
    <mergeCell ref="J339:J350"/>
    <mergeCell ref="K339:K350"/>
    <mergeCell ref="L339:L350"/>
    <mergeCell ref="M339:M350"/>
    <mergeCell ref="N339:N350"/>
    <mergeCell ref="O339:O350"/>
    <mergeCell ref="G350:H350"/>
    <mergeCell ref="A351:A362"/>
    <mergeCell ref="B351:B362"/>
    <mergeCell ref="C351:C362"/>
    <mergeCell ref="D351:D362"/>
    <mergeCell ref="E351:E362"/>
    <mergeCell ref="F351:F362"/>
    <mergeCell ref="I351:I362"/>
    <mergeCell ref="J351:J362"/>
    <mergeCell ref="K351:K362"/>
    <mergeCell ref="L351:L362"/>
    <mergeCell ref="M351:M362"/>
    <mergeCell ref="N351:N362"/>
    <mergeCell ref="O351:O362"/>
    <mergeCell ref="G362:H362"/>
    <mergeCell ref="A363:A374"/>
    <mergeCell ref="B363:B374"/>
    <mergeCell ref="C363:C374"/>
    <mergeCell ref="D363:D374"/>
    <mergeCell ref="E363:E374"/>
    <mergeCell ref="F363:F374"/>
    <mergeCell ref="I363:I374"/>
    <mergeCell ref="J363:J374"/>
    <mergeCell ref="K363:K374"/>
    <mergeCell ref="L363:L374"/>
    <mergeCell ref="M363:M374"/>
    <mergeCell ref="N363:N374"/>
    <mergeCell ref="O363:O374"/>
    <mergeCell ref="G374:H374"/>
    <mergeCell ref="A375:A386"/>
    <mergeCell ref="B375:B386"/>
    <mergeCell ref="C375:C386"/>
    <mergeCell ref="D375:D386"/>
    <mergeCell ref="E375:E386"/>
    <mergeCell ref="F375:F386"/>
    <mergeCell ref="I375:I386"/>
    <mergeCell ref="J375:J386"/>
    <mergeCell ref="K375:K386"/>
    <mergeCell ref="L375:L386"/>
    <mergeCell ref="M375:M386"/>
    <mergeCell ref="N375:N386"/>
    <mergeCell ref="O375:O386"/>
    <mergeCell ref="G386:H386"/>
    <mergeCell ref="A387:A398"/>
    <mergeCell ref="B387:B398"/>
    <mergeCell ref="C387:C398"/>
    <mergeCell ref="D387:D398"/>
    <mergeCell ref="E387:E398"/>
    <mergeCell ref="F387:F398"/>
    <mergeCell ref="I387:I398"/>
    <mergeCell ref="J387:J398"/>
    <mergeCell ref="K387:K398"/>
    <mergeCell ref="L387:L398"/>
    <mergeCell ref="M387:M398"/>
    <mergeCell ref="N387:N398"/>
    <mergeCell ref="O387:O398"/>
    <mergeCell ref="G398:H398"/>
    <mergeCell ref="A399:A410"/>
    <mergeCell ref="B399:B410"/>
    <mergeCell ref="C399:C410"/>
    <mergeCell ref="D399:D410"/>
    <mergeCell ref="E399:E410"/>
    <mergeCell ref="F399:F410"/>
    <mergeCell ref="I399:I410"/>
    <mergeCell ref="J399:J410"/>
    <mergeCell ref="K399:K410"/>
    <mergeCell ref="L399:L410"/>
    <mergeCell ref="M399:M410"/>
    <mergeCell ref="N399:N410"/>
    <mergeCell ref="O399:O410"/>
    <mergeCell ref="G410:H410"/>
    <mergeCell ref="A411:A422"/>
    <mergeCell ref="B411:B422"/>
    <mergeCell ref="C411:C422"/>
    <mergeCell ref="D411:D422"/>
    <mergeCell ref="E411:E422"/>
    <mergeCell ref="F411:F422"/>
    <mergeCell ref="I411:I422"/>
    <mergeCell ref="J411:J422"/>
    <mergeCell ref="K411:K422"/>
    <mergeCell ref="L411:L422"/>
    <mergeCell ref="M411:M422"/>
    <mergeCell ref="N411:N422"/>
    <mergeCell ref="O411:O422"/>
    <mergeCell ref="G422:H422"/>
    <mergeCell ref="A423:A434"/>
    <mergeCell ref="B423:B434"/>
    <mergeCell ref="C423:C434"/>
    <mergeCell ref="D423:D434"/>
    <mergeCell ref="E423:E434"/>
    <mergeCell ref="F423:F434"/>
    <mergeCell ref="I423:I434"/>
    <mergeCell ref="J423:J434"/>
    <mergeCell ref="K423:K434"/>
    <mergeCell ref="L423:L434"/>
    <mergeCell ref="M423:M434"/>
    <mergeCell ref="N423:N434"/>
    <mergeCell ref="O423:O434"/>
    <mergeCell ref="G434:H434"/>
    <mergeCell ref="A435:A446"/>
    <mergeCell ref="B435:B446"/>
    <mergeCell ref="C435:C446"/>
    <mergeCell ref="D435:D446"/>
    <mergeCell ref="E435:E446"/>
    <mergeCell ref="F435:F446"/>
    <mergeCell ref="I435:I446"/>
    <mergeCell ref="J435:J446"/>
    <mergeCell ref="K435:K446"/>
    <mergeCell ref="L435:L446"/>
    <mergeCell ref="M435:M446"/>
    <mergeCell ref="N435:N446"/>
    <mergeCell ref="O435:O446"/>
    <mergeCell ref="G446:H446"/>
    <mergeCell ref="A447:A458"/>
    <mergeCell ref="B447:B458"/>
    <mergeCell ref="C447:C458"/>
    <mergeCell ref="D447:D458"/>
    <mergeCell ref="E447:E458"/>
    <mergeCell ref="F447:F458"/>
    <mergeCell ref="I447:I458"/>
    <mergeCell ref="J447:J458"/>
    <mergeCell ref="K447:K458"/>
    <mergeCell ref="L447:L458"/>
    <mergeCell ref="M447:M458"/>
    <mergeCell ref="N447:N458"/>
    <mergeCell ref="O447:O458"/>
    <mergeCell ref="G458:H458"/>
    <mergeCell ref="A459:A470"/>
    <mergeCell ref="B459:B470"/>
    <mergeCell ref="C459:C470"/>
    <mergeCell ref="D459:D470"/>
    <mergeCell ref="E459:E470"/>
    <mergeCell ref="F459:F470"/>
    <mergeCell ref="I459:I470"/>
    <mergeCell ref="J459:J470"/>
    <mergeCell ref="K459:K470"/>
    <mergeCell ref="L459:L470"/>
    <mergeCell ref="M459:M470"/>
    <mergeCell ref="N459:N470"/>
    <mergeCell ref="O459:O470"/>
    <mergeCell ref="G470:H470"/>
    <mergeCell ref="A471:A482"/>
    <mergeCell ref="B471:B482"/>
    <mergeCell ref="C471:C482"/>
    <mergeCell ref="D471:D482"/>
    <mergeCell ref="E471:E482"/>
    <mergeCell ref="F471:F482"/>
    <mergeCell ref="I471:I482"/>
    <mergeCell ref="J471:J482"/>
    <mergeCell ref="K471:K482"/>
    <mergeCell ref="L471:L482"/>
    <mergeCell ref="M471:M482"/>
    <mergeCell ref="N471:N482"/>
    <mergeCell ref="O471:O482"/>
    <mergeCell ref="G482:H482"/>
    <mergeCell ref="A483:A494"/>
    <mergeCell ref="B483:B494"/>
    <mergeCell ref="C483:C494"/>
    <mergeCell ref="D483:D494"/>
    <mergeCell ref="E483:E494"/>
    <mergeCell ref="F483:F494"/>
    <mergeCell ref="I483:I494"/>
    <mergeCell ref="J483:J494"/>
    <mergeCell ref="K483:K494"/>
    <mergeCell ref="L483:L494"/>
    <mergeCell ref="M483:M494"/>
    <mergeCell ref="N483:N494"/>
    <mergeCell ref="O483:O494"/>
    <mergeCell ref="G494:H494"/>
    <mergeCell ref="A495:A506"/>
    <mergeCell ref="B495:B506"/>
    <mergeCell ref="C495:C506"/>
    <mergeCell ref="D495:D506"/>
    <mergeCell ref="E495:E506"/>
    <mergeCell ref="F495:F506"/>
    <mergeCell ref="I495:I506"/>
    <mergeCell ref="J495:J506"/>
    <mergeCell ref="K495:K506"/>
    <mergeCell ref="L495:L506"/>
    <mergeCell ref="M495:M506"/>
    <mergeCell ref="N495:N506"/>
    <mergeCell ref="O495:O506"/>
    <mergeCell ref="G506:H506"/>
    <mergeCell ref="A507:A518"/>
    <mergeCell ref="B507:B518"/>
    <mergeCell ref="C507:C518"/>
    <mergeCell ref="D507:D518"/>
    <mergeCell ref="E507:E518"/>
    <mergeCell ref="F507:F518"/>
    <mergeCell ref="I507:I518"/>
    <mergeCell ref="J507:J518"/>
    <mergeCell ref="K507:K518"/>
    <mergeCell ref="L507:L518"/>
    <mergeCell ref="M507:M518"/>
    <mergeCell ref="N507:N518"/>
    <mergeCell ref="O507:O518"/>
    <mergeCell ref="G518:H518"/>
    <mergeCell ref="A519:A530"/>
    <mergeCell ref="B519:B530"/>
    <mergeCell ref="C519:C530"/>
    <mergeCell ref="D519:D530"/>
    <mergeCell ref="E519:E530"/>
    <mergeCell ref="F519:F530"/>
    <mergeCell ref="I519:I530"/>
    <mergeCell ref="J519:J530"/>
    <mergeCell ref="K519:K530"/>
    <mergeCell ref="L519:L530"/>
    <mergeCell ref="M519:M530"/>
    <mergeCell ref="N519:N530"/>
    <mergeCell ref="O519:O530"/>
    <mergeCell ref="G530:H530"/>
    <mergeCell ref="A531:A542"/>
    <mergeCell ref="B531:B542"/>
    <mergeCell ref="C531:C542"/>
    <mergeCell ref="D531:D542"/>
    <mergeCell ref="E531:E542"/>
    <mergeCell ref="F531:F542"/>
    <mergeCell ref="I531:I542"/>
    <mergeCell ref="J531:J542"/>
    <mergeCell ref="K531:K542"/>
    <mergeCell ref="L531:L542"/>
    <mergeCell ref="M531:M542"/>
    <mergeCell ref="N531:N542"/>
    <mergeCell ref="O531:O542"/>
    <mergeCell ref="G542:H542"/>
    <mergeCell ref="A543:A554"/>
    <mergeCell ref="B543:B554"/>
    <mergeCell ref="C543:C554"/>
    <mergeCell ref="D543:D554"/>
    <mergeCell ref="E543:E554"/>
    <mergeCell ref="F543:F554"/>
    <mergeCell ref="I543:I554"/>
    <mergeCell ref="J543:J554"/>
    <mergeCell ref="K543:K554"/>
    <mergeCell ref="L543:L554"/>
    <mergeCell ref="M543:M554"/>
    <mergeCell ref="N543:N554"/>
    <mergeCell ref="O543:O554"/>
    <mergeCell ref="G554:H554"/>
    <mergeCell ref="A555:A566"/>
    <mergeCell ref="B555:B566"/>
    <mergeCell ref="C555:C566"/>
    <mergeCell ref="D555:D566"/>
    <mergeCell ref="E555:E566"/>
    <mergeCell ref="F555:F566"/>
    <mergeCell ref="I555:I566"/>
    <mergeCell ref="J555:J566"/>
    <mergeCell ref="K555:K566"/>
    <mergeCell ref="L555:L566"/>
    <mergeCell ref="M555:M566"/>
    <mergeCell ref="N555:N566"/>
    <mergeCell ref="O555:O566"/>
    <mergeCell ref="G566:H566"/>
    <mergeCell ref="A567:A578"/>
    <mergeCell ref="B567:B578"/>
    <mergeCell ref="C567:C578"/>
    <mergeCell ref="D567:D578"/>
    <mergeCell ref="E567:E578"/>
    <mergeCell ref="F567:F578"/>
    <mergeCell ref="I567:I578"/>
    <mergeCell ref="J567:J578"/>
    <mergeCell ref="K567:K578"/>
    <mergeCell ref="L567:L578"/>
    <mergeCell ref="M567:M578"/>
    <mergeCell ref="N567:N578"/>
    <mergeCell ref="O567:O578"/>
    <mergeCell ref="G578:H578"/>
    <mergeCell ref="A579:A590"/>
    <mergeCell ref="B579:B590"/>
    <mergeCell ref="C579:C590"/>
    <mergeCell ref="D579:D590"/>
    <mergeCell ref="E579:E590"/>
    <mergeCell ref="F579:F590"/>
    <mergeCell ref="I579:I590"/>
    <mergeCell ref="J579:J590"/>
    <mergeCell ref="K579:K590"/>
    <mergeCell ref="L579:L590"/>
    <mergeCell ref="M579:M590"/>
    <mergeCell ref="N579:N590"/>
    <mergeCell ref="O579:O590"/>
    <mergeCell ref="G590:H590"/>
    <mergeCell ref="A591:A602"/>
    <mergeCell ref="B591:B602"/>
    <mergeCell ref="C591:C602"/>
    <mergeCell ref="D591:D602"/>
    <mergeCell ref="E591:E602"/>
    <mergeCell ref="F591:F602"/>
    <mergeCell ref="I591:I602"/>
    <mergeCell ref="J591:J602"/>
    <mergeCell ref="K591:K602"/>
    <mergeCell ref="L591:L602"/>
    <mergeCell ref="M591:M602"/>
    <mergeCell ref="N591:N602"/>
    <mergeCell ref="O591:O602"/>
    <mergeCell ref="G602:H602"/>
  </mergeCells>
  <conditionalFormatting sqref="I3">
    <cfRule type="cellIs" priority="2" operator="between" aboveAverage="0" equalAverage="0" bottom="0" percent="0" rank="0" text="" dxfId="0">
      <formula>4</formula>
      <formula>6.9</formula>
    </cfRule>
  </conditionalFormatting>
  <conditionalFormatting sqref="I3">
    <cfRule type="cellIs" priority="3" operator="between" aboveAverage="0" equalAverage="0" bottom="0" percent="0" rank="0" text="" dxfId="1">
      <formula>7</formula>
      <formula>8.9</formula>
    </cfRule>
  </conditionalFormatting>
  <conditionalFormatting sqref="I3">
    <cfRule type="cellIs" priority="4" operator="between" aboveAverage="0" equalAverage="0" bottom="0" percent="0" rank="0" text="" dxfId="2">
      <formula>9</formula>
      <formula>10</formula>
    </cfRule>
  </conditionalFormatting>
  <conditionalFormatting sqref="I15">
    <cfRule type="cellIs" priority="5" operator="between" aboveAverage="0" equalAverage="0" bottom="0" percent="0" rank="0" text="" dxfId="3">
      <formula>0</formula>
      <formula>3.9</formula>
    </cfRule>
  </conditionalFormatting>
  <conditionalFormatting sqref="I15">
    <cfRule type="cellIs" priority="6" operator="between" aboveAverage="0" equalAverage="0" bottom="0" percent="0" rank="0" text="" dxfId="0">
      <formula>4</formula>
      <formula>6.9</formula>
    </cfRule>
  </conditionalFormatting>
  <conditionalFormatting sqref="I15">
    <cfRule type="cellIs" priority="7" operator="between" aboveAverage="0" equalAverage="0" bottom="0" percent="0" rank="0" text="" dxfId="1">
      <formula>7</formula>
      <formula>8.9</formula>
    </cfRule>
  </conditionalFormatting>
  <conditionalFormatting sqref="I15">
    <cfRule type="cellIs" priority="8" operator="between" aboveAverage="0" equalAverage="0" bottom="0" percent="0" rank="0" text="" dxfId="2">
      <formula>9</formula>
      <formula>10</formula>
    </cfRule>
  </conditionalFormatting>
  <conditionalFormatting sqref="I27">
    <cfRule type="cellIs" priority="9" operator="between" aboveAverage="0" equalAverage="0" bottom="0" percent="0" rank="0" text="" dxfId="3">
      <formula>0</formula>
      <formula>3.9</formula>
    </cfRule>
  </conditionalFormatting>
  <conditionalFormatting sqref="I27">
    <cfRule type="cellIs" priority="10" operator="between" aboveAverage="0" equalAverage="0" bottom="0" percent="0" rank="0" text="" dxfId="0">
      <formula>4</formula>
      <formula>6.9</formula>
    </cfRule>
  </conditionalFormatting>
  <conditionalFormatting sqref="I27">
    <cfRule type="cellIs" priority="11" operator="between" aboveAverage="0" equalAverage="0" bottom="0" percent="0" rank="0" text="" dxfId="1">
      <formula>7</formula>
      <formula>8.9</formula>
    </cfRule>
  </conditionalFormatting>
  <conditionalFormatting sqref="I27">
    <cfRule type="cellIs" priority="12" operator="between" aboveAverage="0" equalAverage="0" bottom="0" percent="0" rank="0" text="" dxfId="2">
      <formula>9</formula>
      <formula>10</formula>
    </cfRule>
  </conditionalFormatting>
  <conditionalFormatting sqref="I39">
    <cfRule type="cellIs" priority="13" operator="between" aboveAverage="0" equalAverage="0" bottom="0" percent="0" rank="0" text="" dxfId="3">
      <formula>0</formula>
      <formula>3.9</formula>
    </cfRule>
  </conditionalFormatting>
  <conditionalFormatting sqref="I39">
    <cfRule type="cellIs" priority="14" operator="between" aboveAverage="0" equalAverage="0" bottom="0" percent="0" rank="0" text="" dxfId="0">
      <formula>4</formula>
      <formula>6.9</formula>
    </cfRule>
  </conditionalFormatting>
  <conditionalFormatting sqref="I39">
    <cfRule type="cellIs" priority="15" operator="between" aboveAverage="0" equalAverage="0" bottom="0" percent="0" rank="0" text="" dxfId="1">
      <formula>7</formula>
      <formula>8.9</formula>
    </cfRule>
  </conditionalFormatting>
  <conditionalFormatting sqref="I39">
    <cfRule type="cellIs" priority="16" operator="between" aboveAverage="0" equalAverage="0" bottom="0" percent="0" rank="0" text="" dxfId="2">
      <formula>9</formula>
      <formula>10</formula>
    </cfRule>
  </conditionalFormatting>
  <conditionalFormatting sqref="I51">
    <cfRule type="cellIs" priority="17" operator="between" aboveAverage="0" equalAverage="0" bottom="0" percent="0" rank="0" text="" dxfId="3">
      <formula>0</formula>
      <formula>3.9</formula>
    </cfRule>
  </conditionalFormatting>
  <conditionalFormatting sqref="I51">
    <cfRule type="cellIs" priority="18" operator="between" aboveAverage="0" equalAverage="0" bottom="0" percent="0" rank="0" text="" dxfId="0">
      <formula>4</formula>
      <formula>6.9</formula>
    </cfRule>
  </conditionalFormatting>
  <conditionalFormatting sqref="I51">
    <cfRule type="cellIs" priority="19" operator="between" aboveAverage="0" equalAverage="0" bottom="0" percent="0" rank="0" text="" dxfId="1">
      <formula>7</formula>
      <formula>8.9</formula>
    </cfRule>
  </conditionalFormatting>
  <conditionalFormatting sqref="I51">
    <cfRule type="cellIs" priority="20" operator="between" aboveAverage="0" equalAverage="0" bottom="0" percent="0" rank="0" text="" dxfId="2">
      <formula>9</formula>
      <formula>10</formula>
    </cfRule>
  </conditionalFormatting>
  <conditionalFormatting sqref="I63">
    <cfRule type="cellIs" priority="21" operator="between" aboveAverage="0" equalAverage="0" bottom="0" percent="0" rank="0" text="" dxfId="3">
      <formula>0</formula>
      <formula>3.9</formula>
    </cfRule>
  </conditionalFormatting>
  <conditionalFormatting sqref="I63">
    <cfRule type="cellIs" priority="22" operator="between" aboveAverage="0" equalAverage="0" bottom="0" percent="0" rank="0" text="" dxfId="0">
      <formula>4</formula>
      <formula>6.9</formula>
    </cfRule>
  </conditionalFormatting>
  <conditionalFormatting sqref="I63">
    <cfRule type="cellIs" priority="23" operator="between" aboveAverage="0" equalAverage="0" bottom="0" percent="0" rank="0" text="" dxfId="1">
      <formula>7</formula>
      <formula>8.9</formula>
    </cfRule>
  </conditionalFormatting>
  <conditionalFormatting sqref="I63">
    <cfRule type="cellIs" priority="24" operator="between" aboveAverage="0" equalAverage="0" bottom="0" percent="0" rank="0" text="" dxfId="2">
      <formula>9</formula>
      <formula>10</formula>
    </cfRule>
  </conditionalFormatting>
  <conditionalFormatting sqref="I75">
    <cfRule type="cellIs" priority="25" operator="between" aboveAverage="0" equalAverage="0" bottom="0" percent="0" rank="0" text="" dxfId="3">
      <formula>0</formula>
      <formula>3.9</formula>
    </cfRule>
  </conditionalFormatting>
  <conditionalFormatting sqref="I75">
    <cfRule type="cellIs" priority="26" operator="between" aboveAverage="0" equalAverage="0" bottom="0" percent="0" rank="0" text="" dxfId="0">
      <formula>4</formula>
      <formula>6.9</formula>
    </cfRule>
  </conditionalFormatting>
  <conditionalFormatting sqref="I75">
    <cfRule type="cellIs" priority="27" operator="between" aboveAverage="0" equalAverage="0" bottom="0" percent="0" rank="0" text="" dxfId="1">
      <formula>7</formula>
      <formula>8.9</formula>
    </cfRule>
  </conditionalFormatting>
  <conditionalFormatting sqref="I75">
    <cfRule type="cellIs" priority="28" operator="between" aboveAverage="0" equalAverage="0" bottom="0" percent="0" rank="0" text="" dxfId="2">
      <formula>9</formula>
      <formula>10</formula>
    </cfRule>
  </conditionalFormatting>
  <conditionalFormatting sqref="I87">
    <cfRule type="cellIs" priority="29" operator="between" aboveAverage="0" equalAverage="0" bottom="0" percent="0" rank="0" text="" dxfId="3">
      <formula>0</formula>
      <formula>3.9</formula>
    </cfRule>
  </conditionalFormatting>
  <conditionalFormatting sqref="I87">
    <cfRule type="cellIs" priority="30" operator="between" aboveAverage="0" equalAverage="0" bottom="0" percent="0" rank="0" text="" dxfId="0">
      <formula>4</formula>
      <formula>6.9</formula>
    </cfRule>
  </conditionalFormatting>
  <conditionalFormatting sqref="I87">
    <cfRule type="cellIs" priority="31" operator="between" aboveAverage="0" equalAverage="0" bottom="0" percent="0" rank="0" text="" dxfId="1">
      <formula>7</formula>
      <formula>8.9</formula>
    </cfRule>
  </conditionalFormatting>
  <conditionalFormatting sqref="I87">
    <cfRule type="cellIs" priority="32" operator="between" aboveAverage="0" equalAverage="0" bottom="0" percent="0" rank="0" text="" dxfId="2">
      <formula>9</formula>
      <formula>10</formula>
    </cfRule>
  </conditionalFormatting>
  <conditionalFormatting sqref="I99">
    <cfRule type="cellIs" priority="33" operator="between" aboveAverage="0" equalAverage="0" bottom="0" percent="0" rank="0" text="" dxfId="3">
      <formula>0</formula>
      <formula>3.9</formula>
    </cfRule>
  </conditionalFormatting>
  <conditionalFormatting sqref="I99">
    <cfRule type="cellIs" priority="34" operator="between" aboveAverage="0" equalAverage="0" bottom="0" percent="0" rank="0" text="" dxfId="0">
      <formula>4</formula>
      <formula>6.9</formula>
    </cfRule>
  </conditionalFormatting>
  <conditionalFormatting sqref="I99">
    <cfRule type="cellIs" priority="35" operator="between" aboveAverage="0" equalAverage="0" bottom="0" percent="0" rank="0" text="" dxfId="1">
      <formula>7</formula>
      <formula>8.9</formula>
    </cfRule>
  </conditionalFormatting>
  <conditionalFormatting sqref="I99">
    <cfRule type="cellIs" priority="36" operator="between" aboveAverage="0" equalAverage="0" bottom="0" percent="0" rank="0" text="" dxfId="2">
      <formula>9</formula>
      <formula>10</formula>
    </cfRule>
  </conditionalFormatting>
  <conditionalFormatting sqref="I111">
    <cfRule type="cellIs" priority="37" operator="between" aboveAverage="0" equalAverage="0" bottom="0" percent="0" rank="0" text="" dxfId="3">
      <formula>0</formula>
      <formula>3.9</formula>
    </cfRule>
  </conditionalFormatting>
  <conditionalFormatting sqref="I111">
    <cfRule type="cellIs" priority="38" operator="between" aboveAverage="0" equalAverage="0" bottom="0" percent="0" rank="0" text="" dxfId="0">
      <formula>4</formula>
      <formula>6.9</formula>
    </cfRule>
  </conditionalFormatting>
  <conditionalFormatting sqref="I111">
    <cfRule type="cellIs" priority="39" operator="between" aboveAverage="0" equalAverage="0" bottom="0" percent="0" rank="0" text="" dxfId="1">
      <formula>7</formula>
      <formula>8.9</formula>
    </cfRule>
  </conditionalFormatting>
  <conditionalFormatting sqref="I111">
    <cfRule type="cellIs" priority="40" operator="between" aboveAverage="0" equalAverage="0" bottom="0" percent="0" rank="0" text="" dxfId="2">
      <formula>9</formula>
      <formula>10</formula>
    </cfRule>
  </conditionalFormatting>
  <conditionalFormatting sqref="I123">
    <cfRule type="cellIs" priority="41" operator="between" aboveAverage="0" equalAverage="0" bottom="0" percent="0" rank="0" text="" dxfId="3">
      <formula>0</formula>
      <formula>3.9</formula>
    </cfRule>
  </conditionalFormatting>
  <conditionalFormatting sqref="I123">
    <cfRule type="cellIs" priority="42" operator="between" aboveAverage="0" equalAverage="0" bottom="0" percent="0" rank="0" text="" dxfId="0">
      <formula>4</formula>
      <formula>6.9</formula>
    </cfRule>
  </conditionalFormatting>
  <conditionalFormatting sqref="I123">
    <cfRule type="cellIs" priority="43" operator="between" aboveAverage="0" equalAverage="0" bottom="0" percent="0" rank="0" text="" dxfId="1">
      <formula>7</formula>
      <formula>8.9</formula>
    </cfRule>
  </conditionalFormatting>
  <conditionalFormatting sqref="I123">
    <cfRule type="cellIs" priority="44" operator="between" aboveAverage="0" equalAverage="0" bottom="0" percent="0" rank="0" text="" dxfId="2">
      <formula>9</formula>
      <formula>10</formula>
    </cfRule>
  </conditionalFormatting>
  <conditionalFormatting sqref="I135">
    <cfRule type="cellIs" priority="45" operator="between" aboveAverage="0" equalAverage="0" bottom="0" percent="0" rank="0" text="" dxfId="3">
      <formula>0</formula>
      <formula>3.9</formula>
    </cfRule>
  </conditionalFormatting>
  <conditionalFormatting sqref="I135">
    <cfRule type="cellIs" priority="46" operator="between" aboveAverage="0" equalAverage="0" bottom="0" percent="0" rank="0" text="" dxfId="0">
      <formula>4</formula>
      <formula>6.9</formula>
    </cfRule>
  </conditionalFormatting>
  <conditionalFormatting sqref="I135">
    <cfRule type="cellIs" priority="47" operator="between" aboveAverage="0" equalAverage="0" bottom="0" percent="0" rank="0" text="" dxfId="1">
      <formula>7</formula>
      <formula>8.9</formula>
    </cfRule>
  </conditionalFormatting>
  <conditionalFormatting sqref="I135">
    <cfRule type="cellIs" priority="48" operator="between" aboveAverage="0" equalAverage="0" bottom="0" percent="0" rank="0" text="" dxfId="2">
      <formula>9</formula>
      <formula>10</formula>
    </cfRule>
  </conditionalFormatting>
  <conditionalFormatting sqref="I147">
    <cfRule type="cellIs" priority="49" operator="between" aboveAverage="0" equalAverage="0" bottom="0" percent="0" rank="0" text="" dxfId="3">
      <formula>0</formula>
      <formula>3.9</formula>
    </cfRule>
  </conditionalFormatting>
  <conditionalFormatting sqref="I147">
    <cfRule type="cellIs" priority="50" operator="between" aboveAverage="0" equalAverage="0" bottom="0" percent="0" rank="0" text="" dxfId="0">
      <formula>4</formula>
      <formula>6.9</formula>
    </cfRule>
  </conditionalFormatting>
  <conditionalFormatting sqref="I147">
    <cfRule type="cellIs" priority="51" operator="between" aboveAverage="0" equalAverage="0" bottom="0" percent="0" rank="0" text="" dxfId="1">
      <formula>7</formula>
      <formula>8.9</formula>
    </cfRule>
  </conditionalFormatting>
  <conditionalFormatting sqref="I147">
    <cfRule type="cellIs" priority="52" operator="between" aboveAverage="0" equalAverage="0" bottom="0" percent="0" rank="0" text="" dxfId="2">
      <formula>9</formula>
      <formula>10</formula>
    </cfRule>
  </conditionalFormatting>
  <conditionalFormatting sqref="I159">
    <cfRule type="cellIs" priority="53" operator="between" aboveAverage="0" equalAverage="0" bottom="0" percent="0" rank="0" text="" dxfId="3">
      <formula>0</formula>
      <formula>3.9</formula>
    </cfRule>
  </conditionalFormatting>
  <conditionalFormatting sqref="I159">
    <cfRule type="cellIs" priority="54" operator="between" aboveAverage="0" equalAverage="0" bottom="0" percent="0" rank="0" text="" dxfId="0">
      <formula>4</formula>
      <formula>6.9</formula>
    </cfRule>
  </conditionalFormatting>
  <conditionalFormatting sqref="I159">
    <cfRule type="cellIs" priority="55" operator="between" aboveAverage="0" equalAverage="0" bottom="0" percent="0" rank="0" text="" dxfId="1">
      <formula>7</formula>
      <formula>8.9</formula>
    </cfRule>
  </conditionalFormatting>
  <conditionalFormatting sqref="I159">
    <cfRule type="cellIs" priority="56" operator="between" aboveAverage="0" equalAverage="0" bottom="0" percent="0" rank="0" text="" dxfId="2">
      <formula>9</formula>
      <formula>10</formula>
    </cfRule>
  </conditionalFormatting>
  <conditionalFormatting sqref="I171">
    <cfRule type="cellIs" priority="57" operator="between" aboveAverage="0" equalAverage="0" bottom="0" percent="0" rank="0" text="" dxfId="3">
      <formula>0</formula>
      <formula>3.9</formula>
    </cfRule>
  </conditionalFormatting>
  <conditionalFormatting sqref="I171">
    <cfRule type="cellIs" priority="58" operator="between" aboveAverage="0" equalAverage="0" bottom="0" percent="0" rank="0" text="" dxfId="0">
      <formula>4</formula>
      <formula>6.9</formula>
    </cfRule>
  </conditionalFormatting>
  <conditionalFormatting sqref="I171">
    <cfRule type="cellIs" priority="59" operator="between" aboveAverage="0" equalAverage="0" bottom="0" percent="0" rank="0" text="" dxfId="1">
      <formula>7</formula>
      <formula>8.9</formula>
    </cfRule>
  </conditionalFormatting>
  <conditionalFormatting sqref="I171">
    <cfRule type="cellIs" priority="60" operator="between" aboveAverage="0" equalAverage="0" bottom="0" percent="0" rank="0" text="" dxfId="2">
      <formula>9</formula>
      <formula>10</formula>
    </cfRule>
  </conditionalFormatting>
  <conditionalFormatting sqref="I183">
    <cfRule type="cellIs" priority="61" operator="between" aboveAverage="0" equalAverage="0" bottom="0" percent="0" rank="0" text="" dxfId="3">
      <formula>0</formula>
      <formula>3.9</formula>
    </cfRule>
  </conditionalFormatting>
  <conditionalFormatting sqref="I183">
    <cfRule type="cellIs" priority="62" operator="between" aboveAverage="0" equalAverage="0" bottom="0" percent="0" rank="0" text="" dxfId="0">
      <formula>4</formula>
      <formula>6.9</formula>
    </cfRule>
  </conditionalFormatting>
  <conditionalFormatting sqref="I183">
    <cfRule type="cellIs" priority="63" operator="between" aboveAverage="0" equalAverage="0" bottom="0" percent="0" rank="0" text="" dxfId="1">
      <formula>7</formula>
      <formula>8.9</formula>
    </cfRule>
  </conditionalFormatting>
  <conditionalFormatting sqref="I183">
    <cfRule type="cellIs" priority="64" operator="between" aboveAverage="0" equalAverage="0" bottom="0" percent="0" rank="0" text="" dxfId="2">
      <formula>9</formula>
      <formula>10</formula>
    </cfRule>
  </conditionalFormatting>
  <conditionalFormatting sqref="I195">
    <cfRule type="cellIs" priority="65" operator="between" aboveAverage="0" equalAverage="0" bottom="0" percent="0" rank="0" text="" dxfId="3">
      <formula>0</formula>
      <formula>3.9</formula>
    </cfRule>
  </conditionalFormatting>
  <conditionalFormatting sqref="I195">
    <cfRule type="cellIs" priority="66" operator="between" aboveAverage="0" equalAverage="0" bottom="0" percent="0" rank="0" text="" dxfId="0">
      <formula>4</formula>
      <formula>6.9</formula>
    </cfRule>
  </conditionalFormatting>
  <conditionalFormatting sqref="I195">
    <cfRule type="cellIs" priority="67" operator="between" aboveAverage="0" equalAverage="0" bottom="0" percent="0" rank="0" text="" dxfId="1">
      <formula>7</formula>
      <formula>8.9</formula>
    </cfRule>
  </conditionalFormatting>
  <conditionalFormatting sqref="I195">
    <cfRule type="cellIs" priority="68" operator="between" aboveAverage="0" equalAverage="0" bottom="0" percent="0" rank="0" text="" dxfId="2">
      <formula>9</formula>
      <formula>10</formula>
    </cfRule>
  </conditionalFormatting>
  <conditionalFormatting sqref="I207">
    <cfRule type="cellIs" priority="69" operator="between" aboveAverage="0" equalAverage="0" bottom="0" percent="0" rank="0" text="" dxfId="3">
      <formula>0</formula>
      <formula>3.9</formula>
    </cfRule>
  </conditionalFormatting>
  <conditionalFormatting sqref="I207">
    <cfRule type="cellIs" priority="70" operator="between" aboveAverage="0" equalAverage="0" bottom="0" percent="0" rank="0" text="" dxfId="0">
      <formula>4</formula>
      <formula>6.9</formula>
    </cfRule>
  </conditionalFormatting>
  <conditionalFormatting sqref="I207">
    <cfRule type="cellIs" priority="71" operator="between" aboveAverage="0" equalAverage="0" bottom="0" percent="0" rank="0" text="" dxfId="1">
      <formula>7</formula>
      <formula>8.9</formula>
    </cfRule>
  </conditionalFormatting>
  <conditionalFormatting sqref="I207">
    <cfRule type="cellIs" priority="72" operator="between" aboveAverage="0" equalAverage="0" bottom="0" percent="0" rank="0" text="" dxfId="2">
      <formula>9</formula>
      <formula>10</formula>
    </cfRule>
  </conditionalFormatting>
  <conditionalFormatting sqref="I219">
    <cfRule type="cellIs" priority="73" operator="between" aboveAverage="0" equalAverage="0" bottom="0" percent="0" rank="0" text="" dxfId="3">
      <formula>0</formula>
      <formula>3.9</formula>
    </cfRule>
  </conditionalFormatting>
  <conditionalFormatting sqref="I219">
    <cfRule type="cellIs" priority="74" operator="between" aboveAverage="0" equalAverage="0" bottom="0" percent="0" rank="0" text="" dxfId="0">
      <formula>4</formula>
      <formula>6.9</formula>
    </cfRule>
  </conditionalFormatting>
  <conditionalFormatting sqref="I219">
    <cfRule type="cellIs" priority="75" operator="between" aboveAverage="0" equalAverage="0" bottom="0" percent="0" rank="0" text="" dxfId="1">
      <formula>7</formula>
      <formula>8.9</formula>
    </cfRule>
  </conditionalFormatting>
  <conditionalFormatting sqref="I219">
    <cfRule type="cellIs" priority="76" operator="between" aboveAverage="0" equalAverage="0" bottom="0" percent="0" rank="0" text="" dxfId="2">
      <formula>9</formula>
      <formula>10</formula>
    </cfRule>
  </conditionalFormatting>
  <conditionalFormatting sqref="I231">
    <cfRule type="cellIs" priority="77" operator="between" aboveAverage="0" equalAverage="0" bottom="0" percent="0" rank="0" text="" dxfId="3">
      <formula>0</formula>
      <formula>3.9</formula>
    </cfRule>
  </conditionalFormatting>
  <conditionalFormatting sqref="I231">
    <cfRule type="cellIs" priority="78" operator="between" aboveAverage="0" equalAverage="0" bottom="0" percent="0" rank="0" text="" dxfId="0">
      <formula>4</formula>
      <formula>6.9</formula>
    </cfRule>
  </conditionalFormatting>
  <conditionalFormatting sqref="I231">
    <cfRule type="cellIs" priority="79" operator="between" aboveAverage="0" equalAverage="0" bottom="0" percent="0" rank="0" text="" dxfId="1">
      <formula>7</formula>
      <formula>8.9</formula>
    </cfRule>
  </conditionalFormatting>
  <conditionalFormatting sqref="I231">
    <cfRule type="cellIs" priority="80" operator="between" aboveAverage="0" equalAverage="0" bottom="0" percent="0" rank="0" text="" dxfId="2">
      <formula>9</formula>
      <formula>10</formula>
    </cfRule>
  </conditionalFormatting>
  <conditionalFormatting sqref="I243">
    <cfRule type="cellIs" priority="81" operator="between" aboveAverage="0" equalAverage="0" bottom="0" percent="0" rank="0" text="" dxfId="3">
      <formula>0</formula>
      <formula>3.9</formula>
    </cfRule>
  </conditionalFormatting>
  <conditionalFormatting sqref="I243">
    <cfRule type="cellIs" priority="82" operator="between" aboveAverage="0" equalAverage="0" bottom="0" percent="0" rank="0" text="" dxfId="0">
      <formula>4</formula>
      <formula>6.9</formula>
    </cfRule>
  </conditionalFormatting>
  <conditionalFormatting sqref="I243">
    <cfRule type="cellIs" priority="83" operator="between" aboveAverage="0" equalAverage="0" bottom="0" percent="0" rank="0" text="" dxfId="1">
      <formula>7</formula>
      <formula>8.9</formula>
    </cfRule>
  </conditionalFormatting>
  <conditionalFormatting sqref="I243">
    <cfRule type="cellIs" priority="84" operator="between" aboveAverage="0" equalAverage="0" bottom="0" percent="0" rank="0" text="" dxfId="2">
      <formula>9</formula>
      <formula>10</formula>
    </cfRule>
  </conditionalFormatting>
  <conditionalFormatting sqref="I255">
    <cfRule type="cellIs" priority="85" operator="between" aboveAverage="0" equalAverage="0" bottom="0" percent="0" rank="0" text="" dxfId="3">
      <formula>0</formula>
      <formula>3.9</formula>
    </cfRule>
  </conditionalFormatting>
  <conditionalFormatting sqref="I255">
    <cfRule type="cellIs" priority="86" operator="between" aboveAverage="0" equalAverage="0" bottom="0" percent="0" rank="0" text="" dxfId="0">
      <formula>4</formula>
      <formula>6.9</formula>
    </cfRule>
  </conditionalFormatting>
  <conditionalFormatting sqref="I255">
    <cfRule type="cellIs" priority="87" operator="between" aboveAverage="0" equalAverage="0" bottom="0" percent="0" rank="0" text="" dxfId="1">
      <formula>7</formula>
      <formula>8.9</formula>
    </cfRule>
  </conditionalFormatting>
  <conditionalFormatting sqref="I255">
    <cfRule type="cellIs" priority="88" operator="between" aboveAverage="0" equalAverage="0" bottom="0" percent="0" rank="0" text="" dxfId="2">
      <formula>9</formula>
      <formula>10</formula>
    </cfRule>
  </conditionalFormatting>
  <conditionalFormatting sqref="I267">
    <cfRule type="cellIs" priority="89" operator="between" aboveAverage="0" equalAverage="0" bottom="0" percent="0" rank="0" text="" dxfId="3">
      <formula>0</formula>
      <formula>3.9</formula>
    </cfRule>
  </conditionalFormatting>
  <conditionalFormatting sqref="I267">
    <cfRule type="cellIs" priority="90" operator="between" aboveAverage="0" equalAverage="0" bottom="0" percent="0" rank="0" text="" dxfId="0">
      <formula>4</formula>
      <formula>6.9</formula>
    </cfRule>
  </conditionalFormatting>
  <conditionalFormatting sqref="I267">
    <cfRule type="cellIs" priority="91" operator="between" aboveAverage="0" equalAverage="0" bottom="0" percent="0" rank="0" text="" dxfId="1">
      <formula>7</formula>
      <formula>8.9</formula>
    </cfRule>
  </conditionalFormatting>
  <conditionalFormatting sqref="I267">
    <cfRule type="cellIs" priority="92" operator="between" aboveAverage="0" equalAverage="0" bottom="0" percent="0" rank="0" text="" dxfId="2">
      <formula>9</formula>
      <formula>10</formula>
    </cfRule>
  </conditionalFormatting>
  <conditionalFormatting sqref="I279">
    <cfRule type="cellIs" priority="93" operator="between" aboveAverage="0" equalAverage="0" bottom="0" percent="0" rank="0" text="" dxfId="3">
      <formula>0</formula>
      <formula>3.9</formula>
    </cfRule>
  </conditionalFormatting>
  <conditionalFormatting sqref="I279">
    <cfRule type="cellIs" priority="94" operator="between" aboveAverage="0" equalAverage="0" bottom="0" percent="0" rank="0" text="" dxfId="0">
      <formula>4</formula>
      <formula>6.9</formula>
    </cfRule>
  </conditionalFormatting>
  <conditionalFormatting sqref="I279">
    <cfRule type="cellIs" priority="95" operator="between" aboveAverage="0" equalAverage="0" bottom="0" percent="0" rank="0" text="" dxfId="1">
      <formula>7</formula>
      <formula>8.9</formula>
    </cfRule>
  </conditionalFormatting>
  <conditionalFormatting sqref="I279">
    <cfRule type="cellIs" priority="96" operator="between" aboveAverage="0" equalAverage="0" bottom="0" percent="0" rank="0" text="" dxfId="2">
      <formula>9</formula>
      <formula>10</formula>
    </cfRule>
  </conditionalFormatting>
  <conditionalFormatting sqref="I291">
    <cfRule type="cellIs" priority="97" operator="between" aboveAverage="0" equalAverage="0" bottom="0" percent="0" rank="0" text="" dxfId="3">
      <formula>0</formula>
      <formula>3.9</formula>
    </cfRule>
  </conditionalFormatting>
  <conditionalFormatting sqref="I291">
    <cfRule type="cellIs" priority="98" operator="between" aboveAverage="0" equalAverage="0" bottom="0" percent="0" rank="0" text="" dxfId="0">
      <formula>4</formula>
      <formula>6.9</formula>
    </cfRule>
  </conditionalFormatting>
  <conditionalFormatting sqref="I291">
    <cfRule type="cellIs" priority="99" operator="between" aboveAverage="0" equalAverage="0" bottom="0" percent="0" rank="0" text="" dxfId="1">
      <formula>7</formula>
      <formula>8.9</formula>
    </cfRule>
  </conditionalFormatting>
  <conditionalFormatting sqref="I291">
    <cfRule type="cellIs" priority="100" operator="between" aboveAverage="0" equalAverage="0" bottom="0" percent="0" rank="0" text="" dxfId="2">
      <formula>9</formula>
      <formula>10</formula>
    </cfRule>
  </conditionalFormatting>
  <conditionalFormatting sqref="I303">
    <cfRule type="cellIs" priority="101" operator="between" aboveAverage="0" equalAverage="0" bottom="0" percent="0" rank="0" text="" dxfId="3">
      <formula>0</formula>
      <formula>3.9</formula>
    </cfRule>
  </conditionalFormatting>
  <conditionalFormatting sqref="I303">
    <cfRule type="cellIs" priority="102" operator="between" aboveAverage="0" equalAverage="0" bottom="0" percent="0" rank="0" text="" dxfId="0">
      <formula>4</formula>
      <formula>6.9</formula>
    </cfRule>
  </conditionalFormatting>
  <conditionalFormatting sqref="I303">
    <cfRule type="cellIs" priority="103" operator="between" aboveAverage="0" equalAverage="0" bottom="0" percent="0" rank="0" text="" dxfId="1">
      <formula>7</formula>
      <formula>8.9</formula>
    </cfRule>
  </conditionalFormatting>
  <conditionalFormatting sqref="I303">
    <cfRule type="cellIs" priority="104" operator="between" aboveAverage="0" equalAverage="0" bottom="0" percent="0" rank="0" text="" dxfId="2">
      <formula>9</formula>
      <formula>10</formula>
    </cfRule>
  </conditionalFormatting>
  <conditionalFormatting sqref="I315">
    <cfRule type="cellIs" priority="105" operator="between" aboveAverage="0" equalAverage="0" bottom="0" percent="0" rank="0" text="" dxfId="3">
      <formula>0</formula>
      <formula>3.9</formula>
    </cfRule>
  </conditionalFormatting>
  <conditionalFormatting sqref="I315">
    <cfRule type="cellIs" priority="106" operator="between" aboveAverage="0" equalAverage="0" bottom="0" percent="0" rank="0" text="" dxfId="0">
      <formula>4</formula>
      <formula>6.9</formula>
    </cfRule>
  </conditionalFormatting>
  <conditionalFormatting sqref="I315">
    <cfRule type="cellIs" priority="107" operator="between" aboveAverage="0" equalAverage="0" bottom="0" percent="0" rank="0" text="" dxfId="1">
      <formula>7</formula>
      <formula>8.9</formula>
    </cfRule>
  </conditionalFormatting>
  <conditionalFormatting sqref="I315">
    <cfRule type="cellIs" priority="108" operator="between" aboveAverage="0" equalAverage="0" bottom="0" percent="0" rank="0" text="" dxfId="2">
      <formula>9</formula>
      <formula>10</formula>
    </cfRule>
  </conditionalFormatting>
  <conditionalFormatting sqref="I327">
    <cfRule type="cellIs" priority="109" operator="between" aboveAverage="0" equalAverage="0" bottom="0" percent="0" rank="0" text="" dxfId="3">
      <formula>0</formula>
      <formula>3.9</formula>
    </cfRule>
  </conditionalFormatting>
  <conditionalFormatting sqref="I327">
    <cfRule type="cellIs" priority="110" operator="between" aboveAverage="0" equalAverage="0" bottom="0" percent="0" rank="0" text="" dxfId="0">
      <formula>4</formula>
      <formula>6.9</formula>
    </cfRule>
  </conditionalFormatting>
  <conditionalFormatting sqref="I327">
    <cfRule type="cellIs" priority="111" operator="between" aboveAverage="0" equalAverage="0" bottom="0" percent="0" rank="0" text="" dxfId="1">
      <formula>7</formula>
      <formula>8.9</formula>
    </cfRule>
  </conditionalFormatting>
  <conditionalFormatting sqref="I327">
    <cfRule type="cellIs" priority="112" operator="between" aboveAverage="0" equalAverage="0" bottom="0" percent="0" rank="0" text="" dxfId="2">
      <formula>9</formula>
      <formula>10</formula>
    </cfRule>
  </conditionalFormatting>
  <conditionalFormatting sqref="I339">
    <cfRule type="cellIs" priority="113" operator="between" aboveAverage="0" equalAverage="0" bottom="0" percent="0" rank="0" text="" dxfId="3">
      <formula>0</formula>
      <formula>3.9</formula>
    </cfRule>
  </conditionalFormatting>
  <conditionalFormatting sqref="I339">
    <cfRule type="cellIs" priority="114" operator="between" aboveAverage="0" equalAverage="0" bottom="0" percent="0" rank="0" text="" dxfId="0">
      <formula>4</formula>
      <formula>6.9</formula>
    </cfRule>
  </conditionalFormatting>
  <conditionalFormatting sqref="I339">
    <cfRule type="cellIs" priority="115" operator="between" aboveAverage="0" equalAverage="0" bottom="0" percent="0" rank="0" text="" dxfId="1">
      <formula>7</formula>
      <formula>8.9</formula>
    </cfRule>
  </conditionalFormatting>
  <conditionalFormatting sqref="I339">
    <cfRule type="cellIs" priority="116" operator="between" aboveAverage="0" equalAverage="0" bottom="0" percent="0" rank="0" text="" dxfId="2">
      <formula>9</formula>
      <formula>10</formula>
    </cfRule>
  </conditionalFormatting>
  <conditionalFormatting sqref="I351">
    <cfRule type="cellIs" priority="117" operator="between" aboveAverage="0" equalAverage="0" bottom="0" percent="0" rank="0" text="" dxfId="3">
      <formula>0</formula>
      <formula>3.9</formula>
    </cfRule>
  </conditionalFormatting>
  <conditionalFormatting sqref="I351">
    <cfRule type="cellIs" priority="118" operator="between" aboveAverage="0" equalAverage="0" bottom="0" percent="0" rank="0" text="" dxfId="0">
      <formula>4</formula>
      <formula>6.9</formula>
    </cfRule>
  </conditionalFormatting>
  <conditionalFormatting sqref="I351">
    <cfRule type="cellIs" priority="119" operator="between" aboveAverage="0" equalAverage="0" bottom="0" percent="0" rank="0" text="" dxfId="1">
      <formula>7</formula>
      <formula>8.9</formula>
    </cfRule>
  </conditionalFormatting>
  <conditionalFormatting sqref="I351">
    <cfRule type="cellIs" priority="120" operator="between" aboveAverage="0" equalAverage="0" bottom="0" percent="0" rank="0" text="" dxfId="2">
      <formula>9</formula>
      <formula>10</formula>
    </cfRule>
  </conditionalFormatting>
  <conditionalFormatting sqref="I363">
    <cfRule type="cellIs" priority="121" operator="between" aboveAverage="0" equalAverage="0" bottom="0" percent="0" rank="0" text="" dxfId="3">
      <formula>0</formula>
      <formula>3.9</formula>
    </cfRule>
  </conditionalFormatting>
  <conditionalFormatting sqref="I363">
    <cfRule type="cellIs" priority="122" operator="between" aboveAverage="0" equalAverage="0" bottom="0" percent="0" rank="0" text="" dxfId="0">
      <formula>4</formula>
      <formula>6.9</formula>
    </cfRule>
  </conditionalFormatting>
  <conditionalFormatting sqref="I363">
    <cfRule type="cellIs" priority="123" operator="between" aboveAverage="0" equalAverage="0" bottom="0" percent="0" rank="0" text="" dxfId="1">
      <formula>7</formula>
      <formula>8.9</formula>
    </cfRule>
  </conditionalFormatting>
  <conditionalFormatting sqref="I363">
    <cfRule type="cellIs" priority="124" operator="between" aboveAverage="0" equalAverage="0" bottom="0" percent="0" rank="0" text="" dxfId="2">
      <formula>9</formula>
      <formula>10</formula>
    </cfRule>
  </conditionalFormatting>
  <conditionalFormatting sqref="I375">
    <cfRule type="cellIs" priority="125" operator="between" aboveAverage="0" equalAverage="0" bottom="0" percent="0" rank="0" text="" dxfId="3">
      <formula>0</formula>
      <formula>3.9</formula>
    </cfRule>
  </conditionalFormatting>
  <conditionalFormatting sqref="I375">
    <cfRule type="cellIs" priority="126" operator="between" aboveAverage="0" equalAverage="0" bottom="0" percent="0" rank="0" text="" dxfId="0">
      <formula>4</formula>
      <formula>6.9</formula>
    </cfRule>
  </conditionalFormatting>
  <conditionalFormatting sqref="I375">
    <cfRule type="cellIs" priority="127" operator="between" aboveAverage="0" equalAverage="0" bottom="0" percent="0" rank="0" text="" dxfId="1">
      <formula>7</formula>
      <formula>8.9</formula>
    </cfRule>
  </conditionalFormatting>
  <conditionalFormatting sqref="I375">
    <cfRule type="cellIs" priority="128" operator="between" aboveAverage="0" equalAverage="0" bottom="0" percent="0" rank="0" text="" dxfId="2">
      <formula>9</formula>
      <formula>10</formula>
    </cfRule>
  </conditionalFormatting>
  <conditionalFormatting sqref="I387">
    <cfRule type="cellIs" priority="129" operator="between" aboveAverage="0" equalAverage="0" bottom="0" percent="0" rank="0" text="" dxfId="3">
      <formula>0</formula>
      <formula>3.9</formula>
    </cfRule>
  </conditionalFormatting>
  <conditionalFormatting sqref="I387">
    <cfRule type="cellIs" priority="130" operator="between" aboveAverage="0" equalAverage="0" bottom="0" percent="0" rank="0" text="" dxfId="0">
      <formula>4</formula>
      <formula>6.9</formula>
    </cfRule>
  </conditionalFormatting>
  <conditionalFormatting sqref="I387">
    <cfRule type="cellIs" priority="131" operator="between" aboveAverage="0" equalAverage="0" bottom="0" percent="0" rank="0" text="" dxfId="1">
      <formula>7</formula>
      <formula>8.9</formula>
    </cfRule>
  </conditionalFormatting>
  <conditionalFormatting sqref="I387">
    <cfRule type="cellIs" priority="132" operator="between" aboveAverage="0" equalAverage="0" bottom="0" percent="0" rank="0" text="" dxfId="2">
      <formula>9</formula>
      <formula>10</formula>
    </cfRule>
  </conditionalFormatting>
  <conditionalFormatting sqref="I399">
    <cfRule type="cellIs" priority="133" operator="between" aboveAverage="0" equalAverage="0" bottom="0" percent="0" rank="0" text="" dxfId="3">
      <formula>0</formula>
      <formula>3.9</formula>
    </cfRule>
  </conditionalFormatting>
  <conditionalFormatting sqref="I399">
    <cfRule type="cellIs" priority="134" operator="between" aboveAverage="0" equalAverage="0" bottom="0" percent="0" rank="0" text="" dxfId="0">
      <formula>4</formula>
      <formula>6.9</formula>
    </cfRule>
  </conditionalFormatting>
  <conditionalFormatting sqref="I399">
    <cfRule type="cellIs" priority="135" operator="between" aboveAverage="0" equalAverage="0" bottom="0" percent="0" rank="0" text="" dxfId="1">
      <formula>7</formula>
      <formula>8.9</formula>
    </cfRule>
  </conditionalFormatting>
  <conditionalFormatting sqref="I399">
    <cfRule type="cellIs" priority="136" operator="between" aboveAverage="0" equalAverage="0" bottom="0" percent="0" rank="0" text="" dxfId="2">
      <formula>9</formula>
      <formula>10</formula>
    </cfRule>
  </conditionalFormatting>
  <conditionalFormatting sqref="I411">
    <cfRule type="cellIs" priority="137" operator="between" aboveAverage="0" equalAverage="0" bottom="0" percent="0" rank="0" text="" dxfId="3">
      <formula>0</formula>
      <formula>3.9</formula>
    </cfRule>
  </conditionalFormatting>
  <conditionalFormatting sqref="I411">
    <cfRule type="cellIs" priority="138" operator="between" aboveAverage="0" equalAverage="0" bottom="0" percent="0" rank="0" text="" dxfId="0">
      <formula>4</formula>
      <formula>6.9</formula>
    </cfRule>
  </conditionalFormatting>
  <conditionalFormatting sqref="I411">
    <cfRule type="cellIs" priority="139" operator="between" aboveAverage="0" equalAverage="0" bottom="0" percent="0" rank="0" text="" dxfId="1">
      <formula>7</formula>
      <formula>8.9</formula>
    </cfRule>
  </conditionalFormatting>
  <conditionalFormatting sqref="I411">
    <cfRule type="cellIs" priority="140" operator="between" aboveAverage="0" equalAverage="0" bottom="0" percent="0" rank="0" text="" dxfId="2">
      <formula>9</formula>
      <formula>10</formula>
    </cfRule>
  </conditionalFormatting>
  <conditionalFormatting sqref="I423">
    <cfRule type="cellIs" priority="141" operator="between" aboveAverage="0" equalAverage="0" bottom="0" percent="0" rank="0" text="" dxfId="3">
      <formula>0</formula>
      <formula>3.9</formula>
    </cfRule>
  </conditionalFormatting>
  <conditionalFormatting sqref="I423">
    <cfRule type="cellIs" priority="142" operator="between" aboveAverage="0" equalAverage="0" bottom="0" percent="0" rank="0" text="" dxfId="0">
      <formula>4</formula>
      <formula>6.9</formula>
    </cfRule>
  </conditionalFormatting>
  <conditionalFormatting sqref="I423">
    <cfRule type="cellIs" priority="143" operator="between" aboveAverage="0" equalAverage="0" bottom="0" percent="0" rank="0" text="" dxfId="1">
      <formula>7</formula>
      <formula>8.9</formula>
    </cfRule>
  </conditionalFormatting>
  <conditionalFormatting sqref="I423">
    <cfRule type="cellIs" priority="144" operator="between" aboveAverage="0" equalAverage="0" bottom="0" percent="0" rank="0" text="" dxfId="2">
      <formula>9</formula>
      <formula>10</formula>
    </cfRule>
  </conditionalFormatting>
  <conditionalFormatting sqref="I435">
    <cfRule type="cellIs" priority="145" operator="between" aboveAverage="0" equalAverage="0" bottom="0" percent="0" rank="0" text="" dxfId="3">
      <formula>0</formula>
      <formula>3.9</formula>
    </cfRule>
  </conditionalFormatting>
  <conditionalFormatting sqref="I435">
    <cfRule type="cellIs" priority="146" operator="between" aboveAverage="0" equalAverage="0" bottom="0" percent="0" rank="0" text="" dxfId="0">
      <formula>4</formula>
      <formula>6.9</formula>
    </cfRule>
  </conditionalFormatting>
  <conditionalFormatting sqref="I435">
    <cfRule type="cellIs" priority="147" operator="between" aboveAverage="0" equalAverage="0" bottom="0" percent="0" rank="0" text="" dxfId="1">
      <formula>7</formula>
      <formula>8.9</formula>
    </cfRule>
  </conditionalFormatting>
  <conditionalFormatting sqref="I435">
    <cfRule type="cellIs" priority="148" operator="between" aboveAverage="0" equalAverage="0" bottom="0" percent="0" rank="0" text="" dxfId="2">
      <formula>9</formula>
      <formula>10</formula>
    </cfRule>
  </conditionalFormatting>
  <conditionalFormatting sqref="I447">
    <cfRule type="cellIs" priority="149" operator="between" aboveAverage="0" equalAverage="0" bottom="0" percent="0" rank="0" text="" dxfId="3">
      <formula>0</formula>
      <formula>3.9</formula>
    </cfRule>
  </conditionalFormatting>
  <conditionalFormatting sqref="I447">
    <cfRule type="cellIs" priority="150" operator="between" aboveAverage="0" equalAverage="0" bottom="0" percent="0" rank="0" text="" dxfId="0">
      <formula>4</formula>
      <formula>6.9</formula>
    </cfRule>
  </conditionalFormatting>
  <conditionalFormatting sqref="I447">
    <cfRule type="cellIs" priority="151" operator="between" aboveAverage="0" equalAverage="0" bottom="0" percent="0" rank="0" text="" dxfId="1">
      <formula>7</formula>
      <formula>8.9</formula>
    </cfRule>
  </conditionalFormatting>
  <conditionalFormatting sqref="I447">
    <cfRule type="cellIs" priority="152" operator="between" aboveAverage="0" equalAverage="0" bottom="0" percent="0" rank="0" text="" dxfId="2">
      <formula>9</formula>
      <formula>10</formula>
    </cfRule>
  </conditionalFormatting>
  <conditionalFormatting sqref="I459">
    <cfRule type="cellIs" priority="153" operator="between" aboveAverage="0" equalAverage="0" bottom="0" percent="0" rank="0" text="" dxfId="3">
      <formula>0</formula>
      <formula>3.9</formula>
    </cfRule>
  </conditionalFormatting>
  <conditionalFormatting sqref="I459">
    <cfRule type="cellIs" priority="154" operator="between" aboveAverage="0" equalAverage="0" bottom="0" percent="0" rank="0" text="" dxfId="0">
      <formula>4</formula>
      <formula>6.9</formula>
    </cfRule>
  </conditionalFormatting>
  <conditionalFormatting sqref="I459">
    <cfRule type="cellIs" priority="155" operator="between" aboveAverage="0" equalAverage="0" bottom="0" percent="0" rank="0" text="" dxfId="1">
      <formula>7</formula>
      <formula>8.9</formula>
    </cfRule>
  </conditionalFormatting>
  <conditionalFormatting sqref="I459">
    <cfRule type="cellIs" priority="156" operator="between" aboveAverage="0" equalAverage="0" bottom="0" percent="0" rank="0" text="" dxfId="2">
      <formula>9</formula>
      <formula>10</formula>
    </cfRule>
  </conditionalFormatting>
  <conditionalFormatting sqref="I471">
    <cfRule type="cellIs" priority="157" operator="between" aboveAverage="0" equalAverage="0" bottom="0" percent="0" rank="0" text="" dxfId="3">
      <formula>0</formula>
      <formula>3.9</formula>
    </cfRule>
  </conditionalFormatting>
  <conditionalFormatting sqref="I471">
    <cfRule type="cellIs" priority="158" operator="between" aboveAverage="0" equalAverage="0" bottom="0" percent="0" rank="0" text="" dxfId="0">
      <formula>4</formula>
      <formula>6.9</formula>
    </cfRule>
  </conditionalFormatting>
  <conditionalFormatting sqref="I471">
    <cfRule type="cellIs" priority="159" operator="between" aboveAverage="0" equalAverage="0" bottom="0" percent="0" rank="0" text="" dxfId="1">
      <formula>7</formula>
      <formula>8.9</formula>
    </cfRule>
  </conditionalFormatting>
  <conditionalFormatting sqref="I471">
    <cfRule type="cellIs" priority="160" operator="between" aboveAverage="0" equalAverage="0" bottom="0" percent="0" rank="0" text="" dxfId="2">
      <formula>9</formula>
      <formula>10</formula>
    </cfRule>
  </conditionalFormatting>
  <conditionalFormatting sqref="I483">
    <cfRule type="cellIs" priority="161" operator="between" aboveAverage="0" equalAverage="0" bottom="0" percent="0" rank="0" text="" dxfId="3">
      <formula>0</formula>
      <formula>3.9</formula>
    </cfRule>
  </conditionalFormatting>
  <conditionalFormatting sqref="I483">
    <cfRule type="cellIs" priority="162" operator="between" aboveAverage="0" equalAverage="0" bottom="0" percent="0" rank="0" text="" dxfId="0">
      <formula>4</formula>
      <formula>6.9</formula>
    </cfRule>
  </conditionalFormatting>
  <conditionalFormatting sqref="I483">
    <cfRule type="cellIs" priority="163" operator="between" aboveAverage="0" equalAverage="0" bottom="0" percent="0" rank="0" text="" dxfId="1">
      <formula>7</formula>
      <formula>8.9</formula>
    </cfRule>
  </conditionalFormatting>
  <conditionalFormatting sqref="I483">
    <cfRule type="cellIs" priority="164" operator="between" aboveAverage="0" equalAverage="0" bottom="0" percent="0" rank="0" text="" dxfId="2">
      <formula>9</formula>
      <formula>10</formula>
    </cfRule>
  </conditionalFormatting>
  <conditionalFormatting sqref="I495">
    <cfRule type="cellIs" priority="165" operator="between" aboveAverage="0" equalAverage="0" bottom="0" percent="0" rank="0" text="" dxfId="3">
      <formula>0</formula>
      <formula>3.9</formula>
    </cfRule>
  </conditionalFormatting>
  <conditionalFormatting sqref="I495">
    <cfRule type="cellIs" priority="166" operator="between" aboveAverage="0" equalAverage="0" bottom="0" percent="0" rank="0" text="" dxfId="0">
      <formula>4</formula>
      <formula>6.9</formula>
    </cfRule>
  </conditionalFormatting>
  <conditionalFormatting sqref="I495">
    <cfRule type="cellIs" priority="167" operator="between" aboveAverage="0" equalAverage="0" bottom="0" percent="0" rank="0" text="" dxfId="1">
      <formula>7</formula>
      <formula>8.9</formula>
    </cfRule>
  </conditionalFormatting>
  <conditionalFormatting sqref="I495">
    <cfRule type="cellIs" priority="168" operator="between" aboveAverage="0" equalAverage="0" bottom="0" percent="0" rank="0" text="" dxfId="2">
      <formula>9</formula>
      <formula>10</formula>
    </cfRule>
  </conditionalFormatting>
  <conditionalFormatting sqref="I507">
    <cfRule type="cellIs" priority="169" operator="between" aboveAverage="0" equalAverage="0" bottom="0" percent="0" rank="0" text="" dxfId="3">
      <formula>0</formula>
      <formula>3.9</formula>
    </cfRule>
  </conditionalFormatting>
  <conditionalFormatting sqref="I507">
    <cfRule type="cellIs" priority="170" operator="between" aboveAverage="0" equalAverage="0" bottom="0" percent="0" rank="0" text="" dxfId="0">
      <formula>4</formula>
      <formula>6.9</formula>
    </cfRule>
  </conditionalFormatting>
  <conditionalFormatting sqref="I507">
    <cfRule type="cellIs" priority="171" operator="between" aboveAverage="0" equalAverage="0" bottom="0" percent="0" rank="0" text="" dxfId="1">
      <formula>7</formula>
      <formula>8.9</formula>
    </cfRule>
  </conditionalFormatting>
  <conditionalFormatting sqref="I507">
    <cfRule type="cellIs" priority="172" operator="between" aboveAverage="0" equalAverage="0" bottom="0" percent="0" rank="0" text="" dxfId="2">
      <formula>9</formula>
      <formula>10</formula>
    </cfRule>
  </conditionalFormatting>
  <conditionalFormatting sqref="I519">
    <cfRule type="cellIs" priority="173" operator="between" aboveAverage="0" equalAverage="0" bottom="0" percent="0" rank="0" text="" dxfId="3">
      <formula>0</formula>
      <formula>3.9</formula>
    </cfRule>
  </conditionalFormatting>
  <conditionalFormatting sqref="I519">
    <cfRule type="cellIs" priority="174" operator="between" aboveAverage="0" equalAverage="0" bottom="0" percent="0" rank="0" text="" dxfId="0">
      <formula>4</formula>
      <formula>6.9</formula>
    </cfRule>
  </conditionalFormatting>
  <conditionalFormatting sqref="I519">
    <cfRule type="cellIs" priority="175" operator="between" aboveAverage="0" equalAverage="0" bottom="0" percent="0" rank="0" text="" dxfId="1">
      <formula>7</formula>
      <formula>8.9</formula>
    </cfRule>
  </conditionalFormatting>
  <conditionalFormatting sqref="I519">
    <cfRule type="cellIs" priority="176" operator="between" aboveAverage="0" equalAverage="0" bottom="0" percent="0" rank="0" text="" dxfId="2">
      <formula>9</formula>
      <formula>10</formula>
    </cfRule>
  </conditionalFormatting>
  <conditionalFormatting sqref="I531">
    <cfRule type="cellIs" priority="177" operator="between" aboveAverage="0" equalAverage="0" bottom="0" percent="0" rank="0" text="" dxfId="3">
      <formula>0</formula>
      <formula>3.9</formula>
    </cfRule>
  </conditionalFormatting>
  <conditionalFormatting sqref="I531">
    <cfRule type="cellIs" priority="178" operator="between" aboveAverage="0" equalAverage="0" bottom="0" percent="0" rank="0" text="" dxfId="0">
      <formula>4</formula>
      <formula>6.9</formula>
    </cfRule>
  </conditionalFormatting>
  <conditionalFormatting sqref="I531">
    <cfRule type="cellIs" priority="179" operator="between" aboveAverage="0" equalAverage="0" bottom="0" percent="0" rank="0" text="" dxfId="1">
      <formula>7</formula>
      <formula>8.9</formula>
    </cfRule>
  </conditionalFormatting>
  <conditionalFormatting sqref="I531">
    <cfRule type="cellIs" priority="180" operator="between" aboveAverage="0" equalAverage="0" bottom="0" percent="0" rank="0" text="" dxfId="2">
      <formula>9</formula>
      <formula>10</formula>
    </cfRule>
  </conditionalFormatting>
  <conditionalFormatting sqref="I543">
    <cfRule type="cellIs" priority="181" operator="between" aboveAverage="0" equalAverage="0" bottom="0" percent="0" rank="0" text="" dxfId="3">
      <formula>0</formula>
      <formula>3.9</formula>
    </cfRule>
  </conditionalFormatting>
  <conditionalFormatting sqref="I543">
    <cfRule type="cellIs" priority="182" operator="between" aboveAverage="0" equalAverage="0" bottom="0" percent="0" rank="0" text="" dxfId="0">
      <formula>4</formula>
      <formula>6.9</formula>
    </cfRule>
  </conditionalFormatting>
  <conditionalFormatting sqref="I543">
    <cfRule type="cellIs" priority="183" operator="between" aboveAverage="0" equalAverage="0" bottom="0" percent="0" rank="0" text="" dxfId="1">
      <formula>7</formula>
      <formula>8.9</formula>
    </cfRule>
  </conditionalFormatting>
  <conditionalFormatting sqref="I543">
    <cfRule type="cellIs" priority="184" operator="between" aboveAverage="0" equalAverage="0" bottom="0" percent="0" rank="0" text="" dxfId="2">
      <formula>9</formula>
      <formula>10</formula>
    </cfRule>
  </conditionalFormatting>
  <conditionalFormatting sqref="I555">
    <cfRule type="cellIs" priority="185" operator="between" aboveAverage="0" equalAverage="0" bottom="0" percent="0" rank="0" text="" dxfId="3">
      <formula>0</formula>
      <formula>3.9</formula>
    </cfRule>
  </conditionalFormatting>
  <conditionalFormatting sqref="I555">
    <cfRule type="cellIs" priority="186" operator="between" aboveAverage="0" equalAverage="0" bottom="0" percent="0" rank="0" text="" dxfId="0">
      <formula>4</formula>
      <formula>6.9</formula>
    </cfRule>
  </conditionalFormatting>
  <conditionalFormatting sqref="I555">
    <cfRule type="cellIs" priority="187" operator="between" aboveAverage="0" equalAverage="0" bottom="0" percent="0" rank="0" text="" dxfId="1">
      <formula>7</formula>
      <formula>8.9</formula>
    </cfRule>
  </conditionalFormatting>
  <conditionalFormatting sqref="I555">
    <cfRule type="cellIs" priority="188" operator="between" aboveAverage="0" equalAverage="0" bottom="0" percent="0" rank="0" text="" dxfId="2">
      <formula>9</formula>
      <formula>10</formula>
    </cfRule>
  </conditionalFormatting>
  <conditionalFormatting sqref="I567">
    <cfRule type="cellIs" priority="189" operator="between" aboveAverage="0" equalAverage="0" bottom="0" percent="0" rank="0" text="" dxfId="3">
      <formula>0</formula>
      <formula>3.9</formula>
    </cfRule>
  </conditionalFormatting>
  <conditionalFormatting sqref="I567">
    <cfRule type="cellIs" priority="190" operator="between" aboveAverage="0" equalAverage="0" bottom="0" percent="0" rank="0" text="" dxfId="0">
      <formula>4</formula>
      <formula>6.9</formula>
    </cfRule>
  </conditionalFormatting>
  <conditionalFormatting sqref="I567">
    <cfRule type="cellIs" priority="191" operator="between" aboveAverage="0" equalAverage="0" bottom="0" percent="0" rank="0" text="" dxfId="1">
      <formula>7</formula>
      <formula>8.9</formula>
    </cfRule>
  </conditionalFormatting>
  <conditionalFormatting sqref="I567">
    <cfRule type="cellIs" priority="192" operator="between" aboveAverage="0" equalAverage="0" bottom="0" percent="0" rank="0" text="" dxfId="2">
      <formula>9</formula>
      <formula>10</formula>
    </cfRule>
  </conditionalFormatting>
  <conditionalFormatting sqref="I579">
    <cfRule type="cellIs" priority="193" operator="between" aboveAverage="0" equalAverage="0" bottom="0" percent="0" rank="0" text="" dxfId="3">
      <formula>0</formula>
      <formula>3.9</formula>
    </cfRule>
  </conditionalFormatting>
  <conditionalFormatting sqref="I579">
    <cfRule type="cellIs" priority="194" operator="between" aboveAverage="0" equalAverage="0" bottom="0" percent="0" rank="0" text="" dxfId="0">
      <formula>4</formula>
      <formula>6.9</formula>
    </cfRule>
  </conditionalFormatting>
  <conditionalFormatting sqref="I579">
    <cfRule type="cellIs" priority="195" operator="between" aboveAverage="0" equalAverage="0" bottom="0" percent="0" rank="0" text="" dxfId="1">
      <formula>7</formula>
      <formula>8.9</formula>
    </cfRule>
  </conditionalFormatting>
  <conditionalFormatting sqref="I579">
    <cfRule type="cellIs" priority="196" operator="between" aboveAverage="0" equalAverage="0" bottom="0" percent="0" rank="0" text="" dxfId="2">
      <formula>9</formula>
      <formula>10</formula>
    </cfRule>
  </conditionalFormatting>
  <conditionalFormatting sqref="I591">
    <cfRule type="cellIs" priority="197" operator="between" aboveAverage="0" equalAverage="0" bottom="0" percent="0" rank="0" text="" dxfId="3">
      <formula>0</formula>
      <formula>3.9</formula>
    </cfRule>
  </conditionalFormatting>
  <conditionalFormatting sqref="I591">
    <cfRule type="cellIs" priority="198" operator="between" aboveAverage="0" equalAverage="0" bottom="0" percent="0" rank="0" text="" dxfId="0">
      <formula>4</formula>
      <formula>6.9</formula>
    </cfRule>
  </conditionalFormatting>
  <conditionalFormatting sqref="I591">
    <cfRule type="cellIs" priority="199" operator="between" aboveAverage="0" equalAverage="0" bottom="0" percent="0" rank="0" text="" dxfId="1">
      <formula>7</formula>
      <formula>8.9</formula>
    </cfRule>
  </conditionalFormatting>
  <conditionalFormatting sqref="I591">
    <cfRule type="cellIs" priority="200" operator="between" aboveAverage="0" equalAverage="0" bottom="0" percent="0" rank="0" text="" dxfId="2">
      <formula>9</formula>
      <formula>10</formula>
    </cfRule>
  </conditionalFormatting>
  <conditionalFormatting sqref="I3">
    <cfRule type="cellIs" priority="201" operator="between" aboveAverage="0" equalAverage="0" bottom="0" percent="0" rank="0" text="" dxfId="3">
      <formula>0</formula>
      <formula>3.9</formula>
    </cfRule>
  </conditionalFormatting>
  <dataValidations count="13">
    <dataValidation allowBlank="true" operator="equal" showDropDown="false" showErrorMessage="true" showInputMessage="false" sqref="H15 H27 H39 H51 H63 H75 H87 H99 H111 H123 H135 H147 H159 H171 H183 H195 H207 H219 H231 H243 H255 H267 H279 H291 H303 H315 H327 H339 H351 H363 H375 H387 H399 H411 H423 H435 H447 H459 H471 H483 H495 H507 H519 H531 H543 H555 H567 H579 H591" type="list">
      <formula1>CVSSv3!C$4:F$4</formula1>
      <formula2>0</formula2>
    </dataValidation>
    <dataValidation allowBlank="true" operator="equal" showDropDown="false" showErrorMessage="true" showInputMessage="false" sqref="H4 H16 H28 H40 H52 H64 H76 H88 H100 H112 H124 H136 H148 H160 H172 H184 H196 H208 H220 H232 H244 H256 H268 H280 H292 H304 H316 H328 H340 H352 H364 H376 H388 H400 H412 H424 H436 H448 H460 H472 H484 H496 H508 H520 H532 H544 H556 H568 H580 H592" type="list">
      <formula1>CVSSv3!C$5:D$5</formula1>
      <formula2>0</formula2>
    </dataValidation>
    <dataValidation allowBlank="true" operator="equal" showDropDown="false" showErrorMessage="true" showInputMessage="false" sqref="H5 H17 H29 H41 H53 H65 H77 H89 H101 H113 H125 H137 H149 H161 H173 H185 H197 H209 H221 H233 H245 H257 H269 H281 H293 H305 H317 H329 H341 H353 H365 H377 H389 H401 H413 H425 H437 H449 H461 H473 H485 H497 H509 H521 H533 H545 H557 H569 H581 H593" type="list">
      <formula1>CVSSv3!C$6:E$6</formula1>
      <formula2>0</formula2>
    </dataValidation>
    <dataValidation allowBlank="true" operator="equal" showDropDown="false" showErrorMessage="true" showInputMessage="false" sqref="H6 H18 H30 H42 H54 H66 H78 H90 H102 H114 H126 H138 H150 H162 H174 H186 H198 H210 H222 H234 H246 H258 H270 H282 H294 H306 H318 H330 H342 H354 H366 H378 H390 H402 H414 H426 H438 H450 H462 H474 H486 H498 H510 H522 H534 H546 H558 H570 H582 H594" type="list">
      <formula1>CVSSv3!C$7:D$7</formula1>
      <formula2>0</formula2>
    </dataValidation>
    <dataValidation allowBlank="true" operator="equal" showDropDown="false" showErrorMessage="true" showInputMessage="false" sqref="H7 H19 H31 H43 H55 H67 H79 H91 H103 H115 H127 H139 H151 H163 H175 H187 H199 H211 H223 H235 H247 H259 H271 H283 H295 H307 H319 H331 H343 H355 H367 H379 H391 H403 H415 H427 H439 H451 H463 H475 H487 H499 H511 H523 H535 H547 H559 H571 H583 H595" type="list">
      <formula1>CVSSv3!C$8:D$8</formula1>
      <formula2>0</formula2>
    </dataValidation>
    <dataValidation allowBlank="true" operator="equal" showDropDown="false" showErrorMessage="true" showInputMessage="false" sqref="H8 H20 H32 H44 H56 H68 H80 H92 H104 H116 H128 H140 H152 H164 H176 H188 H200 H212 H224 H236 H248 H260 H272 H284 H296 H308 H320 H332 H344 H356 H368 H380 H392 H404 H416 H428 H440 H452 H464 H476 H488 H500 H512 H524 H536 H548 H560 H572 H584 H596" type="list">
      <formula1>CVSSv3!C$9:E$9</formula1>
      <formula2>0</formula2>
    </dataValidation>
    <dataValidation allowBlank="true" operator="equal" showDropDown="false" showErrorMessage="true" showInputMessage="false" sqref="H9 H21 H33 H45 H57 H69 H81 H93 H105 H117 H129 H141 H153 H165 H177 H189 H201 H213 H225 H237 H249 H261 H273 H285 H297 H309 H321 H333 H345 H357 H369 H381 H393 H405 H417 H429 H441 H453 H465 H477 H489 H501 H513 H525 H537 H549 H561 H573 H585 H597" type="list">
      <formula1>CVSSv3!C$10:E$10</formula1>
      <formula2>0</formula2>
    </dataValidation>
    <dataValidation allowBlank="true" operator="equal" showDropDown="false" showErrorMessage="true" showInputMessage="false" sqref="H10 H22 H34 H46 H58 H70 H82 H94 H106 H118 H130 H142 H154 H166 H178 H190 H202 H214 H226 H238 H250 H262 H274 H286 H298 H310 H322 H334 H346 H358 H370 H382 H394 H406 H418 H430 H442 H454 H466 H478 H490 H502 H514 H526 H538 H550 H562 H574 H586 H598" type="list">
      <formula1>CVSSv3!C$11:E$11</formula1>
      <formula2>0</formula2>
    </dataValidation>
    <dataValidation allowBlank="true" operator="equal" showDropDown="false" showErrorMessage="true" showInputMessage="false" sqref="H11 H23 H35 H47 H59 H71 H83 H95 H107 H119 H131 H143 H155 H167 H179 H191 H203 H215 H227 H239 H251 H263 H275 H287 H299 H311 H323 H335 H347 H359 H371 H383 H395 H407 H419 H431 H443 H455 H467 H479 H491 H503 H515 H527 H539 H551 H563 H575 H587 H599" type="list">
      <formula1>CVSSv3!C$12:F$12</formula1>
      <formula2>0</formula2>
    </dataValidation>
    <dataValidation allowBlank="true" operator="equal" showDropDown="false" showErrorMessage="true" showInputMessage="false" sqref="H12 H24 H36 H48 H60 H72 H84 H96 H108 H120 H132 H144 H156 H168 H180 H192 H204 H216 H228 H240 H252 H264 H276 H288 H300 H312 H324 H336 H348 H360 H372 H384 H396 H408 H420 H432 H444 H456 H468 H480 H492 H504 H516 H528 H540 H552 H564 H576 H588 H600" type="list">
      <formula1>CVSSv3!C$13:F$13</formula1>
      <formula2>0</formula2>
    </dataValidation>
    <dataValidation allowBlank="true" operator="equal" showDropDown="false" showErrorMessage="true" showInputMessage="false" sqref="H25 H37 H49 H61 H73 H85 H97 H109 H121 H133 H145 H157 H169 H181 H193 H205 H217 H229 H241 H253 H265 H277 H289 H301 H313 H325 H337 H349 H361 H373 H385 H397 H409 H421 H433 H445 H457 H469 H481 H493 H505 H517 H529 H541 H553 H565 H577 H589 H601" type="list">
      <formula1>CVSSv3!C$14:E$14</formula1>
      <formula2>0</formula2>
    </dataValidation>
    <dataValidation allowBlank="true" operator="equal" showDropDown="false" showErrorMessage="true" showInputMessage="false" sqref="H3" type="list">
      <formula1>CVSSv3!C$4:F$4</formula1>
      <formula2>0</formula2>
    </dataValidation>
    <dataValidation allowBlank="true" operator="equal" showDropDown="false" showErrorMessage="true" showInputMessage="false" sqref="H13" type="list">
      <formula1>CVSSv3!C$14:E$14</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75"/>
    <col collapsed="false" customWidth="true" hidden="false" outlineLevel="0" max="2" min="2" style="0" width="87.09"/>
    <col collapsed="false" customWidth="true" hidden="false" outlineLevel="0" max="4" min="3" style="0" width="14.75"/>
    <col collapsed="false" customWidth="true" hidden="false" outlineLevel="0" max="5" min="5" style="0" width="18.34"/>
    <col collapsed="false" customWidth="true" hidden="false" outlineLevel="0" max="6" min="6" style="0" width="14.75"/>
    <col collapsed="false" customWidth="true" hidden="false" outlineLevel="0" max="7" min="7" style="0" width="15.35"/>
    <col collapsed="false" customWidth="true" hidden="false" outlineLevel="0" max="8" min="8" style="0" width="11.98"/>
    <col collapsed="false" customWidth="true" hidden="false" outlineLevel="0" max="9" min="9" style="0" width="13.23"/>
    <col collapsed="false" customWidth="true" hidden="false" outlineLevel="0" max="10" min="10" style="0" width="14.23"/>
    <col collapsed="false" customWidth="true" hidden="false" outlineLevel="0" max="11" min="11" style="0" width="51.17"/>
    <col collapsed="false" customWidth="true" hidden="true" outlineLevel="0" max="12" min="12" style="0" width="10.65"/>
    <col collapsed="false" customWidth="true" hidden="false" outlineLevel="0" max="1025" min="13" style="0" width="17.72"/>
  </cols>
  <sheetData>
    <row r="1" customFormat="false" ht="15.75" hidden="false" customHeight="true" outlineLevel="0" collapsed="false">
      <c r="A1" s="33" t="s">
        <v>765</v>
      </c>
      <c r="B1" s="33"/>
      <c r="C1" s="33"/>
      <c r="D1" s="33"/>
      <c r="E1" s="33"/>
      <c r="F1" s="33"/>
      <c r="G1" s="33"/>
      <c r="H1" s="33"/>
      <c r="I1" s="33"/>
      <c r="J1" s="33"/>
      <c r="K1" s="33"/>
      <c r="L1" s="34"/>
    </row>
    <row r="2" customFormat="false" ht="15.75" hidden="false" customHeight="true" outlineLevel="0" collapsed="false">
      <c r="A2" s="21" t="s">
        <v>766</v>
      </c>
      <c r="B2" s="21" t="s">
        <v>2</v>
      </c>
      <c r="C2" s="22" t="s">
        <v>3</v>
      </c>
      <c r="D2" s="22" t="s">
        <v>767</v>
      </c>
      <c r="E2" s="22" t="s">
        <v>5</v>
      </c>
      <c r="F2" s="22" t="s">
        <v>6</v>
      </c>
      <c r="G2" s="22" t="s">
        <v>7</v>
      </c>
      <c r="H2" s="22" t="s">
        <v>8</v>
      </c>
      <c r="I2" s="22" t="s">
        <v>9</v>
      </c>
      <c r="J2" s="22" t="s">
        <v>768</v>
      </c>
      <c r="K2" s="22" t="s">
        <v>10</v>
      </c>
      <c r="L2" s="35"/>
    </row>
    <row r="3" customFormat="false" ht="15.75" hidden="false" customHeight="true" outlineLevel="0" collapsed="false">
      <c r="A3" s="36" t="s">
        <v>11</v>
      </c>
      <c r="B3" s="36" t="s">
        <v>769</v>
      </c>
      <c r="C3" s="37" t="s">
        <v>41</v>
      </c>
      <c r="D3" s="38" t="s">
        <v>95</v>
      </c>
      <c r="E3" s="38" t="s">
        <v>81</v>
      </c>
      <c r="F3" s="38" t="s">
        <v>55</v>
      </c>
      <c r="G3" s="39" t="s">
        <v>17</v>
      </c>
      <c r="H3" s="39" t="s">
        <v>17</v>
      </c>
      <c r="I3" s="39" t="s">
        <v>17</v>
      </c>
      <c r="J3" s="39" t="str">
        <f aca="false">IF(G3="Sí", IF(H3="Sí", "DP", "SP"), IF(H3="Sí", "SD", "-"))</f>
        <v>-</v>
      </c>
      <c r="K3" s="35" t="str">
        <f aca="false">IF(IFERROR(L3,7)=7,"",RIGHT(L3,LEN(L3)-2)&amp;".")</f>
        <v>/A.</v>
      </c>
      <c r="L3" s="35" t="str">
        <f aca="false">IFERROR(__xludf.dummyfunction("CONCATENATE(ArrayFormula(""; ""&amp;QUERY(Hallazgos!A:F,""SELECT B WHERE E CONTAINS '""&amp;A3&amp;""' LABEL B ''"")))"),"#N/A")</f>
        <v>#N/A</v>
      </c>
    </row>
    <row r="4" customFormat="false" ht="15.75" hidden="false" customHeight="true" outlineLevel="0" collapsed="false">
      <c r="A4" s="36" t="s">
        <v>18</v>
      </c>
      <c r="B4" s="36" t="s">
        <v>770</v>
      </c>
      <c r="C4" s="37" t="s">
        <v>13</v>
      </c>
      <c r="D4" s="38" t="s">
        <v>14</v>
      </c>
      <c r="E4" s="38" t="s">
        <v>15</v>
      </c>
      <c r="F4" s="38" t="s">
        <v>16</v>
      </c>
      <c r="G4" s="39" t="s">
        <v>17</v>
      </c>
      <c r="H4" s="39" t="s">
        <v>17</v>
      </c>
      <c r="I4" s="39" t="s">
        <v>17</v>
      </c>
      <c r="J4" s="39" t="str">
        <f aca="false">IF(G4="Sí", IF(H4="Sí", "DP", "SP"), IF(H4="Sí", "SD", "-"))</f>
        <v>-</v>
      </c>
      <c r="K4" s="35" t="str">
        <f aca="false">IF(IFERROR(L4,7)=7,"",RIGHT(L4,LEN(L4)-2)&amp;".")</f>
        <v>/A.</v>
      </c>
      <c r="L4" s="35" t="str">
        <f aca="false">IFERROR(__xludf.dummyfunction("CONCATENATE(ArrayFormula(""; ""&amp;QUERY(Hallazgos!A:F,""SELECT B WHERE E CONTAINS '""&amp;A4&amp;""' LABEL B ''"")))"),"#N/A")</f>
        <v>#N/A</v>
      </c>
    </row>
    <row r="5" customFormat="false" ht="15.75" hidden="false" customHeight="true" outlineLevel="0" collapsed="false">
      <c r="A5" s="36" t="s">
        <v>20</v>
      </c>
      <c r="B5" s="36" t="s">
        <v>771</v>
      </c>
      <c r="C5" s="37" t="s">
        <v>13</v>
      </c>
      <c r="D5" s="38" t="s">
        <v>14</v>
      </c>
      <c r="E5" s="38" t="s">
        <v>15</v>
      </c>
      <c r="F5" s="38" t="s">
        <v>16</v>
      </c>
      <c r="G5" s="39" t="s">
        <v>17</v>
      </c>
      <c r="H5" s="39" t="s">
        <v>17</v>
      </c>
      <c r="I5" s="39" t="s">
        <v>17</v>
      </c>
      <c r="J5" s="39" t="str">
        <f aca="false">IF(G5="Sí", IF(H5="Sí", "DP", "SP"), IF(H5="Sí", "SD", "-"))</f>
        <v>-</v>
      </c>
      <c r="K5" s="35" t="str">
        <f aca="false">IF(IFERROR(L5,7)=7,"",RIGHT(L5,LEN(L5)-2)&amp;".")</f>
        <v>/A.</v>
      </c>
      <c r="L5" s="35" t="str">
        <f aca="false">IFERROR(__xludf.dummyfunction("CONCATENATE(ArrayFormula(""; ""&amp;QUERY(Hallazgos!A:F,""SELECT B WHERE E CONTAINS '""&amp;A5&amp;""' LABEL B ''"")))"),"#N/A")</f>
        <v>#N/A</v>
      </c>
    </row>
    <row r="6" customFormat="false" ht="15.75" hidden="false" customHeight="true" outlineLevel="0" collapsed="false">
      <c r="A6" s="36" t="s">
        <v>22</v>
      </c>
      <c r="B6" s="36" t="s">
        <v>25</v>
      </c>
      <c r="C6" s="37" t="s">
        <v>13</v>
      </c>
      <c r="D6" s="38" t="s">
        <v>14</v>
      </c>
      <c r="E6" s="38" t="s">
        <v>15</v>
      </c>
      <c r="F6" s="38" t="s">
        <v>16</v>
      </c>
      <c r="G6" s="39" t="s">
        <v>17</v>
      </c>
      <c r="H6" s="39" t="s">
        <v>17</v>
      </c>
      <c r="I6" s="39" t="s">
        <v>17</v>
      </c>
      <c r="J6" s="39" t="str">
        <f aca="false">IF(G6="Sí", IF(H6="Sí", "DP", "SP"), IF(H6="Sí", "SD", "-"))</f>
        <v>-</v>
      </c>
      <c r="K6" s="35" t="str">
        <f aca="false">IF(IFERROR(L6,7)=7,"",RIGHT(L6,LEN(L6)-2)&amp;".")</f>
        <v>/A.</v>
      </c>
      <c r="L6" s="35" t="str">
        <f aca="false">IFERROR(__xludf.dummyfunction("CONCATENATE(ArrayFormula(""; ""&amp;QUERY(Hallazgos!A:F,""SELECT B WHERE E CONTAINS '""&amp;A6&amp;""' LABEL B ''"")))"),"#N/A")</f>
        <v>#N/A</v>
      </c>
    </row>
    <row r="7" customFormat="false" ht="15.75" hidden="false" customHeight="true" outlineLevel="0" collapsed="false">
      <c r="A7" s="36" t="s">
        <v>24</v>
      </c>
      <c r="B7" s="36" t="s">
        <v>27</v>
      </c>
      <c r="C7" s="37" t="s">
        <v>13</v>
      </c>
      <c r="D7" s="38" t="s">
        <v>14</v>
      </c>
      <c r="E7" s="38" t="s">
        <v>15</v>
      </c>
      <c r="F7" s="38" t="s">
        <v>16</v>
      </c>
      <c r="G7" s="39" t="s">
        <v>17</v>
      </c>
      <c r="H7" s="39" t="s">
        <v>17</v>
      </c>
      <c r="I7" s="39" t="s">
        <v>17</v>
      </c>
      <c r="J7" s="39" t="str">
        <f aca="false">IF(G7="Sí", IF(H7="Sí", "DP", "SP"), IF(H7="Sí", "SD", "-"))</f>
        <v>-</v>
      </c>
      <c r="K7" s="35" t="str">
        <f aca="false">IF(IFERROR(L7,7)=7,"",RIGHT(L7,LEN(L7)-2)&amp;".")</f>
        <v>/A.</v>
      </c>
      <c r="L7" s="35" t="str">
        <f aca="false">IFERROR(__xludf.dummyfunction("CONCATENATE(ArrayFormula(""; ""&amp;QUERY(Hallazgos!A:F,""SELECT B WHERE E CONTAINS '""&amp;A7&amp;""' LABEL B ''"")))"),"#N/A")</f>
        <v>#N/A</v>
      </c>
    </row>
    <row r="8" customFormat="false" ht="15.75" hidden="false" customHeight="true" outlineLevel="0" collapsed="false">
      <c r="A8" s="36" t="s">
        <v>26</v>
      </c>
      <c r="B8" s="36" t="s">
        <v>772</v>
      </c>
      <c r="C8" s="37" t="s">
        <v>13</v>
      </c>
      <c r="D8" s="38" t="s">
        <v>14</v>
      </c>
      <c r="E8" s="38" t="s">
        <v>15</v>
      </c>
      <c r="F8" s="38" t="s">
        <v>16</v>
      </c>
      <c r="G8" s="39" t="s">
        <v>17</v>
      </c>
      <c r="H8" s="39" t="s">
        <v>17</v>
      </c>
      <c r="I8" s="39" t="s">
        <v>17</v>
      </c>
      <c r="J8" s="39" t="str">
        <f aca="false">IF(G8="Sí", IF(H8="Sí", "DP", "SP"), IF(H8="Sí", "SD", "-"))</f>
        <v>-</v>
      </c>
      <c r="K8" s="35" t="str">
        <f aca="false">IF(IFERROR(L8,7)=7,"",RIGHT(L8,LEN(L8)-2)&amp;".")</f>
        <v>/A.</v>
      </c>
      <c r="L8" s="35" t="str">
        <f aca="false">IFERROR(__xludf.dummyfunction("CONCATENATE(ArrayFormula(""; ""&amp;QUERY(Hallazgos!A:F,""SELECT B WHERE E CONTAINS '""&amp;A8&amp;""' LABEL B ''"")))"),"#N/A")</f>
        <v>#N/A</v>
      </c>
    </row>
    <row r="9" customFormat="false" ht="15.75" hidden="false" customHeight="true" outlineLevel="0" collapsed="false">
      <c r="A9" s="36" t="s">
        <v>28</v>
      </c>
      <c r="B9" s="36" t="s">
        <v>33</v>
      </c>
      <c r="C9" s="37" t="s">
        <v>13</v>
      </c>
      <c r="D9" s="38" t="s">
        <v>14</v>
      </c>
      <c r="E9" s="38" t="s">
        <v>15</v>
      </c>
      <c r="F9" s="38" t="s">
        <v>16</v>
      </c>
      <c r="G9" s="39" t="s">
        <v>17</v>
      </c>
      <c r="H9" s="39" t="s">
        <v>17</v>
      </c>
      <c r="I9" s="39" t="s">
        <v>17</v>
      </c>
      <c r="J9" s="39" t="str">
        <f aca="false">IF(G9="Sí", IF(H9="Sí", "DP", "SP"), IF(H9="Sí", "SD", "-"))</f>
        <v>-</v>
      </c>
      <c r="K9" s="35" t="str">
        <f aca="false">IF(IFERROR(L9,7)=7,"",RIGHT(L9,LEN(L9)-2)&amp;".")</f>
        <v>/A.</v>
      </c>
      <c r="L9" s="35" t="str">
        <f aca="false">IFERROR(__xludf.dummyfunction("CONCATENATE(ArrayFormula(""; ""&amp;QUERY(Hallazgos!A:F,""SELECT B WHERE E CONTAINS '""&amp;A9&amp;""' LABEL B ''"")))"),"#N/A")</f>
        <v>#N/A</v>
      </c>
    </row>
    <row r="10" customFormat="false" ht="15.75" hidden="false" customHeight="true" outlineLevel="0" collapsed="false">
      <c r="A10" s="36" t="s">
        <v>30</v>
      </c>
      <c r="B10" s="36" t="s">
        <v>35</v>
      </c>
      <c r="C10" s="37" t="s">
        <v>13</v>
      </c>
      <c r="D10" s="38" t="s">
        <v>14</v>
      </c>
      <c r="E10" s="38" t="s">
        <v>15</v>
      </c>
      <c r="F10" s="38" t="s">
        <v>16</v>
      </c>
      <c r="G10" s="39" t="s">
        <v>17</v>
      </c>
      <c r="H10" s="39" t="s">
        <v>17</v>
      </c>
      <c r="I10" s="39" t="s">
        <v>17</v>
      </c>
      <c r="J10" s="39" t="str">
        <f aca="false">IF(G10="Sí", IF(H10="Sí", "DP", "SP"), IF(H10="Sí", "SD", "-"))</f>
        <v>-</v>
      </c>
      <c r="K10" s="35" t="str">
        <f aca="false">IF(IFERROR(L10,7)=7,"",RIGHT(L10,LEN(L10)-2)&amp;".")</f>
        <v>/A.</v>
      </c>
      <c r="L10" s="35" t="str">
        <f aca="false">IFERROR(__xludf.dummyfunction("CONCATENATE(ArrayFormula(""; ""&amp;QUERY(Hallazgos!A:F,""SELECT B WHERE E CONTAINS '""&amp;A10&amp;""' LABEL B ''"")))"),"#N/A")</f>
        <v>#N/A</v>
      </c>
    </row>
    <row r="11" customFormat="false" ht="15.75" hidden="false" customHeight="true" outlineLevel="0" collapsed="false">
      <c r="A11" s="36" t="s">
        <v>32</v>
      </c>
      <c r="B11" s="36" t="s">
        <v>37</v>
      </c>
      <c r="C11" s="37" t="s">
        <v>38</v>
      </c>
      <c r="D11" s="38" t="s">
        <v>14</v>
      </c>
      <c r="E11" s="38" t="s">
        <v>15</v>
      </c>
      <c r="F11" s="38" t="s">
        <v>16</v>
      </c>
      <c r="G11" s="39" t="s">
        <v>17</v>
      </c>
      <c r="H11" s="39" t="s">
        <v>17</v>
      </c>
      <c r="I11" s="39" t="s">
        <v>17</v>
      </c>
      <c r="J11" s="39" t="str">
        <f aca="false">IF(G11="Sí", IF(H11="Sí", "DP", "SP"), IF(H11="Sí", "SD", "-"))</f>
        <v>-</v>
      </c>
      <c r="K11" s="35" t="str">
        <f aca="false">IF(IFERROR(L11,7)=7,"",RIGHT(L11,LEN(L11)-2)&amp;".")</f>
        <v>/A.</v>
      </c>
      <c r="L11" s="35" t="str">
        <f aca="false">IFERROR(__xludf.dummyfunction("CONCATENATE(ArrayFormula(""; ""&amp;QUERY(Hallazgos!A:F,""SELECT B WHERE E CONTAINS '""&amp;A11&amp;""' LABEL B ''"")))"),"#N/A")</f>
        <v>#N/A</v>
      </c>
    </row>
    <row r="12" customFormat="false" ht="15.75" hidden="false" customHeight="true" outlineLevel="0" collapsed="false">
      <c r="A12" s="36" t="s">
        <v>34</v>
      </c>
      <c r="B12" s="36" t="s">
        <v>773</v>
      </c>
      <c r="C12" s="37" t="s">
        <v>38</v>
      </c>
      <c r="D12" s="38" t="s">
        <v>774</v>
      </c>
      <c r="E12" s="38" t="s">
        <v>15</v>
      </c>
      <c r="F12" s="38" t="s">
        <v>16</v>
      </c>
      <c r="G12" s="39" t="s">
        <v>17</v>
      </c>
      <c r="H12" s="39" t="s">
        <v>17</v>
      </c>
      <c r="I12" s="39" t="s">
        <v>17</v>
      </c>
      <c r="J12" s="39" t="str">
        <f aca="false">IF(G12="Sí", IF(H12="Sí", "DP", "SP"), IF(H12="Sí", "SD", "-"))</f>
        <v>-</v>
      </c>
      <c r="K12" s="35" t="str">
        <f aca="false">IF(IFERROR(L12,7)=7,"",RIGHT(L12,LEN(L12)-2)&amp;".")</f>
        <v>/A.</v>
      </c>
      <c r="L12" s="35" t="str">
        <f aca="false">IFERROR(__xludf.dummyfunction("CONCATENATE(ArrayFormula(""; ""&amp;QUERY(Hallazgos!A:F,""SELECT B WHERE E CONTAINS '""&amp;A12&amp;""' LABEL B ''"")))"),"#N/A")</f>
        <v>#N/A</v>
      </c>
    </row>
    <row r="13" customFormat="false" ht="15.75" hidden="false" customHeight="true" outlineLevel="0" collapsed="false">
      <c r="A13" s="36" t="s">
        <v>36</v>
      </c>
      <c r="B13" s="36" t="s">
        <v>40</v>
      </c>
      <c r="C13" s="37" t="s">
        <v>41</v>
      </c>
      <c r="D13" s="38" t="s">
        <v>14</v>
      </c>
      <c r="E13" s="38" t="s">
        <v>15</v>
      </c>
      <c r="F13" s="38" t="s">
        <v>16</v>
      </c>
      <c r="G13" s="39" t="s">
        <v>17</v>
      </c>
      <c r="H13" s="39" t="s">
        <v>17</v>
      </c>
      <c r="I13" s="39" t="s">
        <v>17</v>
      </c>
      <c r="J13" s="39" t="str">
        <f aca="false">IF(G13="Sí", IF(H13="Sí", "DP", "SP"), IF(H13="Sí", "SD", "-"))</f>
        <v>-</v>
      </c>
      <c r="K13" s="35" t="str">
        <f aca="false">IF(IFERROR(L13,7)=7,"",RIGHT(L13,LEN(L13)-2)&amp;".")</f>
        <v>/A.</v>
      </c>
      <c r="L13" s="35" t="str">
        <f aca="false">IFERROR(__xludf.dummyfunction("CONCATENATE(ArrayFormula(""; ""&amp;QUERY(Hallazgos!A:F,""SELECT B WHERE E CONTAINS '""&amp;A13&amp;""' LABEL B ''"")))"),"#N/A")</f>
        <v>#N/A</v>
      </c>
    </row>
    <row r="14" customFormat="false" ht="15.75" hidden="false" customHeight="true" outlineLevel="0" collapsed="false">
      <c r="A14" s="36" t="s">
        <v>39</v>
      </c>
      <c r="B14" s="36" t="s">
        <v>775</v>
      </c>
      <c r="C14" s="37" t="s">
        <v>41</v>
      </c>
      <c r="D14" s="38" t="s">
        <v>103</v>
      </c>
      <c r="E14" s="38" t="s">
        <v>81</v>
      </c>
      <c r="F14" s="38" t="s">
        <v>104</v>
      </c>
      <c r="G14" s="39" t="s">
        <v>17</v>
      </c>
      <c r="H14" s="39" t="s">
        <v>17</v>
      </c>
      <c r="I14" s="39" t="s">
        <v>17</v>
      </c>
      <c r="J14" s="39" t="str">
        <f aca="false">IF(G14="Sí", IF(H14="Sí", "DP", "SP"), IF(H14="Sí", "SD", "-"))</f>
        <v>-</v>
      </c>
      <c r="K14" s="35" t="str">
        <f aca="false">IF(IFERROR(L14,7)=7,"",RIGHT(L14,LEN(L14)-2)&amp;".")</f>
        <v>/A.</v>
      </c>
      <c r="L14" s="35" t="str">
        <f aca="false">IFERROR(__xludf.dummyfunction("CONCATENATE(ArrayFormula(""; ""&amp;QUERY(Hallazgos!A:F,""SELECT B WHERE E CONTAINS '""&amp;A14&amp;""' LABEL B ''"")))"),"#N/A")</f>
        <v>#N/A</v>
      </c>
    </row>
    <row r="15" customFormat="false" ht="15.75" hidden="false" customHeight="true" outlineLevel="0" collapsed="false">
      <c r="A15" s="36" t="s">
        <v>42</v>
      </c>
      <c r="B15" s="36" t="s">
        <v>776</v>
      </c>
      <c r="C15" s="37" t="s">
        <v>41</v>
      </c>
      <c r="D15" s="38" t="s">
        <v>103</v>
      </c>
      <c r="E15" s="38" t="s">
        <v>81</v>
      </c>
      <c r="F15" s="38" t="s">
        <v>73</v>
      </c>
      <c r="G15" s="39" t="s">
        <v>17</v>
      </c>
      <c r="H15" s="39" t="s">
        <v>17</v>
      </c>
      <c r="I15" s="39" t="s">
        <v>17</v>
      </c>
      <c r="J15" s="39" t="str">
        <f aca="false">IF(G15="Sí", IF(H15="Sí", "DP", "SP"), IF(H15="Sí", "SD", "-"))</f>
        <v>-</v>
      </c>
      <c r="K15" s="35" t="str">
        <f aca="false">IF(IFERROR(L15,7)=7,"",RIGHT(L15,LEN(L15)-2)&amp;".")</f>
        <v>/A.</v>
      </c>
      <c r="L15" s="35" t="str">
        <f aca="false">IFERROR(__xludf.dummyfunction("CONCATENATE(ArrayFormula(""; ""&amp;QUERY(Hallazgos!A:F,""SELECT B WHERE E CONTAINS '""&amp;A15&amp;""' LABEL B ''"")))"),"#N/A")</f>
        <v>#N/A</v>
      </c>
    </row>
    <row r="16" customFormat="false" ht="15.75" hidden="false" customHeight="true" outlineLevel="0" collapsed="false">
      <c r="A16" s="36" t="s">
        <v>45</v>
      </c>
      <c r="B16" s="36" t="s">
        <v>108</v>
      </c>
      <c r="C16" s="37" t="s">
        <v>41</v>
      </c>
      <c r="D16" s="38" t="s">
        <v>103</v>
      </c>
      <c r="E16" s="38" t="s">
        <v>76</v>
      </c>
      <c r="F16" s="38" t="s">
        <v>55</v>
      </c>
      <c r="G16" s="39" t="s">
        <v>17</v>
      </c>
      <c r="H16" s="39" t="s">
        <v>17</v>
      </c>
      <c r="I16" s="39" t="s">
        <v>17</v>
      </c>
      <c r="J16" s="39" t="str">
        <f aca="false">IF(G16="Sí", IF(H16="Sí", "DP", "SP"), IF(H16="Sí", "SD", "-"))</f>
        <v>-</v>
      </c>
      <c r="K16" s="35" t="str">
        <f aca="false">IF(IFERROR(L16,7)=7,"",RIGHT(L16,LEN(L16)-2)&amp;".")</f>
        <v>/A.</v>
      </c>
      <c r="L16" s="35" t="str">
        <f aca="false">IFERROR(__xludf.dummyfunction("CONCATENATE(ArrayFormula(""; ""&amp;QUERY(Hallazgos!A:F,""SELECT B WHERE E CONTAINS '""&amp;A16&amp;""' LABEL B ''"")))"),"#N/A")</f>
        <v>#N/A</v>
      </c>
    </row>
    <row r="17" customFormat="false" ht="15.75" hidden="false" customHeight="true" outlineLevel="0" collapsed="false">
      <c r="A17" s="36" t="s">
        <v>47</v>
      </c>
      <c r="B17" s="36" t="s">
        <v>777</v>
      </c>
      <c r="C17" s="37" t="s">
        <v>41</v>
      </c>
      <c r="D17" s="38" t="s">
        <v>506</v>
      </c>
      <c r="E17" s="38" t="s">
        <v>81</v>
      </c>
      <c r="F17" s="38" t="s">
        <v>55</v>
      </c>
      <c r="G17" s="39" t="s">
        <v>17</v>
      </c>
      <c r="H17" s="39" t="s">
        <v>17</v>
      </c>
      <c r="I17" s="39" t="s">
        <v>17</v>
      </c>
      <c r="J17" s="39" t="str">
        <f aca="false">IF(G17="Sí", IF(H17="Sí", "DP", "SP"), IF(H17="Sí", "SD", "-"))</f>
        <v>-</v>
      </c>
      <c r="K17" s="35" t="str">
        <f aca="false">IF(IFERROR(L17,7)=7,"",RIGHT(L17,LEN(L17)-2)&amp;".")</f>
        <v>/A.</v>
      </c>
      <c r="L17" s="35" t="str">
        <f aca="false">IFERROR(__xludf.dummyfunction("CONCATENATE(ArrayFormula(""; ""&amp;QUERY(Hallazgos!A:F,""SELECT B WHERE E CONTAINS '""&amp;A17&amp;""' LABEL B ''"")))"),"#N/A")</f>
        <v>#N/A</v>
      </c>
    </row>
    <row r="18" customFormat="false" ht="15.75" hidden="false" customHeight="true" outlineLevel="0" collapsed="false">
      <c r="A18" s="36" t="s">
        <v>50</v>
      </c>
      <c r="B18" s="36" t="s">
        <v>113</v>
      </c>
      <c r="C18" s="37" t="s">
        <v>41</v>
      </c>
      <c r="D18" s="38" t="s">
        <v>103</v>
      </c>
      <c r="E18" s="38" t="s">
        <v>76</v>
      </c>
      <c r="F18" s="38" t="s">
        <v>55</v>
      </c>
      <c r="G18" s="39" t="s">
        <v>17</v>
      </c>
      <c r="H18" s="39" t="s">
        <v>17</v>
      </c>
      <c r="I18" s="39" t="s">
        <v>17</v>
      </c>
      <c r="J18" s="39" t="str">
        <f aca="false">IF(G18="Sí", IF(H18="Sí", "DP", "SP"), IF(H18="Sí", "SD", "-"))</f>
        <v>-</v>
      </c>
      <c r="K18" s="35" t="str">
        <f aca="false">IF(IFERROR(L18,7)=7,"",RIGHT(L18,LEN(L18)-2)&amp;".")</f>
        <v>/A.</v>
      </c>
      <c r="L18" s="35" t="str">
        <f aca="false">IFERROR(__xludf.dummyfunction("CONCATENATE(ArrayFormula(""; ""&amp;QUERY(Hallazgos!A:F,""SELECT B WHERE E CONTAINS '""&amp;A18&amp;""' LABEL B ''"")))"),"#N/A")</f>
        <v>#N/A</v>
      </c>
    </row>
    <row r="19" customFormat="false" ht="15.75" hidden="false" customHeight="true" outlineLevel="0" collapsed="false">
      <c r="A19" s="36" t="s">
        <v>52</v>
      </c>
      <c r="B19" s="36" t="s">
        <v>115</v>
      </c>
      <c r="C19" s="37" t="s">
        <v>41</v>
      </c>
      <c r="D19" s="38" t="s">
        <v>103</v>
      </c>
      <c r="E19" s="38" t="s">
        <v>116</v>
      </c>
      <c r="F19" s="38" t="s">
        <v>55</v>
      </c>
      <c r="G19" s="39" t="s">
        <v>17</v>
      </c>
      <c r="H19" s="39" t="s">
        <v>17</v>
      </c>
      <c r="I19" s="39" t="s">
        <v>17</v>
      </c>
      <c r="J19" s="39" t="str">
        <f aca="false">IF(G19="Sí", IF(H19="Sí", "DP", "SP"), IF(H19="Sí", "SD", "-"))</f>
        <v>-</v>
      </c>
      <c r="K19" s="35" t="str">
        <f aca="false">IF(IFERROR(L19,7)=7,"",RIGHT(L19,LEN(L19)-2)&amp;".")</f>
        <v>/A.</v>
      </c>
      <c r="L19" s="35" t="str">
        <f aca="false">IFERROR(__xludf.dummyfunction("CONCATENATE(ArrayFormula(""; ""&amp;QUERY(Hallazgos!A:F,""SELECT B WHERE E CONTAINS '""&amp;A19&amp;""' LABEL B ''"")))"),"#N/A")</f>
        <v>#N/A</v>
      </c>
    </row>
    <row r="20" customFormat="false" ht="15.75" hidden="false" customHeight="true" outlineLevel="0" collapsed="false">
      <c r="A20" s="36" t="s">
        <v>56</v>
      </c>
      <c r="B20" s="36" t="s">
        <v>778</v>
      </c>
      <c r="C20" s="37" t="s">
        <v>41</v>
      </c>
      <c r="D20" s="38" t="s">
        <v>103</v>
      </c>
      <c r="E20" s="38" t="s">
        <v>76</v>
      </c>
      <c r="F20" s="38" t="s">
        <v>55</v>
      </c>
      <c r="G20" s="39" t="s">
        <v>17</v>
      </c>
      <c r="H20" s="39" t="s">
        <v>17</v>
      </c>
      <c r="I20" s="39" t="s">
        <v>17</v>
      </c>
      <c r="J20" s="39" t="str">
        <f aca="false">IF(G20="Sí", IF(H20="Sí", "DP", "SP"), IF(H20="Sí", "SD", "-"))</f>
        <v>-</v>
      </c>
      <c r="K20" s="35" t="str">
        <f aca="false">IF(IFERROR(L20,7)=7,"",RIGHT(L20,LEN(L20)-2)&amp;".")</f>
        <v>/A.</v>
      </c>
      <c r="L20" s="35" t="str">
        <f aca="false">IFERROR(__xludf.dummyfunction("CONCATENATE(ArrayFormula(""; ""&amp;QUERY(Hallazgos!A:F,""SELECT B WHERE E CONTAINS '""&amp;A20&amp;""' LABEL B ''"")))"),"#N/A")</f>
        <v>#N/A</v>
      </c>
    </row>
    <row r="21" customFormat="false" ht="15.75" hidden="false" customHeight="true" outlineLevel="0" collapsed="false">
      <c r="A21" s="36" t="s">
        <v>59</v>
      </c>
      <c r="B21" s="36" t="s">
        <v>351</v>
      </c>
      <c r="C21" s="37" t="s">
        <v>41</v>
      </c>
      <c r="D21" s="38" t="s">
        <v>352</v>
      </c>
      <c r="E21" s="38" t="s">
        <v>181</v>
      </c>
      <c r="F21" s="38" t="s">
        <v>73</v>
      </c>
      <c r="G21" s="39" t="s">
        <v>17</v>
      </c>
      <c r="H21" s="39" t="s">
        <v>17</v>
      </c>
      <c r="I21" s="39" t="s">
        <v>17</v>
      </c>
      <c r="J21" s="39" t="str">
        <f aca="false">IF(G21="Sí", IF(H21="Sí", "DP", "SP"), IF(H21="Sí", "SD", "-"))</f>
        <v>-</v>
      </c>
      <c r="K21" s="35" t="str">
        <f aca="false">IF(IFERROR(L21,7)=7,"",RIGHT(L21,LEN(L21)-2)&amp;".")</f>
        <v>/A.</v>
      </c>
      <c r="L21" s="35" t="str">
        <f aca="false">IFERROR(__xludf.dummyfunction("CONCATENATE(ArrayFormula(""; ""&amp;QUERY(Hallazgos!A:F,""SELECT B WHERE E CONTAINS '""&amp;A21&amp;""' LABEL B ''"")))"),"#N/A")</f>
        <v>#N/A</v>
      </c>
    </row>
    <row r="22" customFormat="false" ht="15.75" hidden="false" customHeight="true" outlineLevel="0" collapsed="false">
      <c r="A22" s="36" t="s">
        <v>65</v>
      </c>
      <c r="B22" s="36" t="s">
        <v>779</v>
      </c>
      <c r="C22" s="37" t="s">
        <v>41</v>
      </c>
      <c r="D22" s="38" t="s">
        <v>506</v>
      </c>
      <c r="E22" s="38" t="s">
        <v>81</v>
      </c>
      <c r="F22" s="38" t="s">
        <v>55</v>
      </c>
      <c r="G22" s="39" t="s">
        <v>17</v>
      </c>
      <c r="H22" s="39" t="s">
        <v>17</v>
      </c>
      <c r="I22" s="39" t="s">
        <v>17</v>
      </c>
      <c r="J22" s="39" t="str">
        <f aca="false">IF(G22="Sí", IF(H22="Sí", "DP", "SP"), IF(H22="Sí", "SD", "-"))</f>
        <v>-</v>
      </c>
      <c r="K22" s="35" t="str">
        <f aca="false">IF(IFERROR(L22,7)=7,"",RIGHT(L22,LEN(L22)-2)&amp;".")</f>
        <v>/A.</v>
      </c>
      <c r="L22" s="35" t="str">
        <f aca="false">IFERROR(__xludf.dummyfunction("CONCATENATE(ArrayFormula(""; ""&amp;QUERY(Hallazgos!A:F,""SELECT B WHERE E CONTAINS '""&amp;A22&amp;""' LABEL B ''"")))"),"#N/A")</f>
        <v>#N/A</v>
      </c>
    </row>
    <row r="23" customFormat="false" ht="15.75" hidden="false" customHeight="true" outlineLevel="0" collapsed="false">
      <c r="A23" s="36" t="s">
        <v>67</v>
      </c>
      <c r="B23" s="36" t="s">
        <v>505</v>
      </c>
      <c r="C23" s="37" t="s">
        <v>41</v>
      </c>
      <c r="D23" s="38" t="s">
        <v>506</v>
      </c>
      <c r="E23" s="38" t="s">
        <v>81</v>
      </c>
      <c r="F23" s="38" t="s">
        <v>55</v>
      </c>
      <c r="G23" s="39" t="s">
        <v>17</v>
      </c>
      <c r="H23" s="39" t="s">
        <v>17</v>
      </c>
      <c r="I23" s="39" t="s">
        <v>17</v>
      </c>
      <c r="J23" s="39" t="str">
        <f aca="false">IF(G23="Sí", IF(H23="Sí", "DP", "SP"), IF(H23="Sí", "SD", "-"))</f>
        <v>-</v>
      </c>
      <c r="K23" s="35" t="str">
        <f aca="false">IF(IFERROR(L23,7)=7,"",RIGHT(L23,LEN(L23)-2)&amp;".")</f>
        <v>/A.</v>
      </c>
      <c r="L23" s="35" t="str">
        <f aca="false">IFERROR(__xludf.dummyfunction("CONCATENATE(ArrayFormula(""; ""&amp;QUERY(Hallazgos!A:F,""SELECT B WHERE E CONTAINS '""&amp;A23&amp;""' LABEL B ''"")))"),"#N/A")</f>
        <v>#N/A</v>
      </c>
    </row>
    <row r="24" customFormat="false" ht="15.75" hidden="false" customHeight="true" outlineLevel="0" collapsed="false">
      <c r="A24" s="36" t="s">
        <v>70</v>
      </c>
      <c r="B24" s="36" t="s">
        <v>780</v>
      </c>
      <c r="C24" s="37" t="s">
        <v>41</v>
      </c>
      <c r="D24" s="38" t="s">
        <v>506</v>
      </c>
      <c r="E24" s="38" t="s">
        <v>111</v>
      </c>
      <c r="F24" s="38" t="s">
        <v>55</v>
      </c>
      <c r="G24" s="39" t="s">
        <v>17</v>
      </c>
      <c r="H24" s="39" t="s">
        <v>17</v>
      </c>
      <c r="I24" s="39" t="s">
        <v>17</v>
      </c>
      <c r="J24" s="39" t="str">
        <f aca="false">IF(G24="Sí", IF(H24="Sí", "DP", "SP"), IF(H24="Sí", "SD", "-"))</f>
        <v>-</v>
      </c>
      <c r="K24" s="35" t="str">
        <f aca="false">IF(IFERROR(L24,7)=7,"",RIGHT(L24,LEN(L24)-2)&amp;".")</f>
        <v>/A.</v>
      </c>
      <c r="L24" s="35" t="str">
        <f aca="false">IFERROR(__xludf.dummyfunction("CONCATENATE(ArrayFormula(""; ""&amp;QUERY(Hallazgos!A:F,""SELECT B WHERE E CONTAINS '""&amp;A24&amp;""' LABEL B ''"")))"),"#N/A")</f>
        <v>#N/A</v>
      </c>
    </row>
    <row r="25" customFormat="false" ht="15.75" hidden="false" customHeight="true" outlineLevel="0" collapsed="false">
      <c r="A25" s="36" t="s">
        <v>74</v>
      </c>
      <c r="B25" s="36" t="s">
        <v>781</v>
      </c>
      <c r="C25" s="37" t="s">
        <v>41</v>
      </c>
      <c r="D25" s="38" t="s">
        <v>506</v>
      </c>
      <c r="E25" s="38" t="s">
        <v>54</v>
      </c>
      <c r="F25" s="38" t="s">
        <v>55</v>
      </c>
      <c r="G25" s="39" t="s">
        <v>17</v>
      </c>
      <c r="H25" s="39" t="s">
        <v>17</v>
      </c>
      <c r="I25" s="39" t="s">
        <v>17</v>
      </c>
      <c r="J25" s="39" t="str">
        <f aca="false">IF(G25="Sí", IF(H25="Sí", "DP", "SP"), IF(H25="Sí", "SD", "-"))</f>
        <v>-</v>
      </c>
      <c r="K25" s="35" t="str">
        <f aca="false">IF(IFERROR(L25,7)=7,"",RIGHT(L25,LEN(L25)-2)&amp;".")</f>
        <v>/A.</v>
      </c>
      <c r="L25" s="35" t="str">
        <f aca="false">IFERROR(__xludf.dummyfunction("CONCATENATE(ArrayFormula(""; ""&amp;QUERY(Hallazgos!A:F,""SELECT B WHERE E CONTAINS '""&amp;A25&amp;""' LABEL B ''"")))"),"#N/A")</f>
        <v>#N/A</v>
      </c>
    </row>
    <row r="26" customFormat="false" ht="15.75" hidden="false" customHeight="true" outlineLevel="0" collapsed="false">
      <c r="A26" s="36" t="s">
        <v>77</v>
      </c>
      <c r="B26" s="36" t="s">
        <v>512</v>
      </c>
      <c r="C26" s="37" t="s">
        <v>41</v>
      </c>
      <c r="D26" s="38" t="s">
        <v>506</v>
      </c>
      <c r="E26" s="38" t="s">
        <v>72</v>
      </c>
      <c r="F26" s="38" t="s">
        <v>55</v>
      </c>
      <c r="G26" s="39" t="s">
        <v>17</v>
      </c>
      <c r="H26" s="39" t="s">
        <v>17</v>
      </c>
      <c r="I26" s="39" t="s">
        <v>17</v>
      </c>
      <c r="J26" s="39" t="str">
        <f aca="false">IF(G26="Sí", IF(H26="Sí", "DP", "SP"), IF(H26="Sí", "SD", "-"))</f>
        <v>-</v>
      </c>
      <c r="K26" s="35" t="str">
        <f aca="false">IF(IFERROR(L26,7)=7,"",RIGHT(L26,LEN(L26)-2)&amp;".")</f>
        <v>/A.</v>
      </c>
      <c r="L26" s="35" t="str">
        <f aca="false">IFERROR(__xludf.dummyfunction("CONCATENATE(ArrayFormula(""; ""&amp;QUERY(Hallazgos!A:F,""SELECT B WHERE E CONTAINS '""&amp;A26&amp;""' LABEL B ''"")))"),"#N/A")</f>
        <v>#N/A</v>
      </c>
    </row>
    <row r="27" customFormat="false" ht="15.75" hidden="false" customHeight="true" outlineLevel="0" collapsed="false">
      <c r="A27" s="36" t="s">
        <v>79</v>
      </c>
      <c r="B27" s="36" t="s">
        <v>782</v>
      </c>
      <c r="C27" s="37" t="s">
        <v>41</v>
      </c>
      <c r="D27" s="38" t="s">
        <v>506</v>
      </c>
      <c r="E27" s="38" t="s">
        <v>88</v>
      </c>
      <c r="F27" s="38" t="s">
        <v>55</v>
      </c>
      <c r="G27" s="39" t="s">
        <v>17</v>
      </c>
      <c r="H27" s="39" t="s">
        <v>17</v>
      </c>
      <c r="I27" s="39" t="s">
        <v>17</v>
      </c>
      <c r="J27" s="39" t="str">
        <f aca="false">IF(G27="Sí", IF(H27="Sí", "DP", "SP"), IF(H27="Sí", "SD", "-"))</f>
        <v>-</v>
      </c>
      <c r="K27" s="35" t="str">
        <f aca="false">IF(IFERROR(L27,7)=7,"",RIGHT(L27,LEN(L27)-2)&amp;".")</f>
        <v>/A.</v>
      </c>
      <c r="L27" s="35" t="str">
        <f aca="false">IFERROR(__xludf.dummyfunction("CONCATENATE(ArrayFormula(""; ""&amp;QUERY(Hallazgos!A:F,""SELECT B WHERE E CONTAINS '""&amp;A27&amp;""' LABEL B ''"")))"),"#N/A")</f>
        <v>#N/A</v>
      </c>
    </row>
    <row r="28" customFormat="false" ht="15.75" hidden="false" customHeight="true" outlineLevel="0" collapsed="false">
      <c r="A28" s="36" t="s">
        <v>82</v>
      </c>
      <c r="B28" s="36" t="s">
        <v>783</v>
      </c>
      <c r="C28" s="37" t="s">
        <v>41</v>
      </c>
      <c r="D28" s="38" t="s">
        <v>506</v>
      </c>
      <c r="E28" s="38" t="s">
        <v>88</v>
      </c>
      <c r="F28" s="38" t="s">
        <v>55</v>
      </c>
      <c r="G28" s="39" t="s">
        <v>17</v>
      </c>
      <c r="H28" s="39" t="s">
        <v>17</v>
      </c>
      <c r="I28" s="39" t="s">
        <v>17</v>
      </c>
      <c r="J28" s="39" t="str">
        <f aca="false">IF(G28="Sí", IF(H28="Sí", "DP", "SP"), IF(H28="Sí", "SD", "-"))</f>
        <v>-</v>
      </c>
      <c r="K28" s="35" t="str">
        <f aca="false">IF(IFERROR(L28,7)=7,"",RIGHT(L28,LEN(L28)-2)&amp;".")</f>
        <v>/A.</v>
      </c>
      <c r="L28" s="35" t="str">
        <f aca="false">IFERROR(__xludf.dummyfunction("CONCATENATE(ArrayFormula(""; ""&amp;QUERY(Hallazgos!A:F,""SELECT B WHERE E CONTAINS '""&amp;A28&amp;""' LABEL B ''"")))"),"#N/A")</f>
        <v>#N/A</v>
      </c>
    </row>
    <row r="29" customFormat="false" ht="15.75" hidden="false" customHeight="true" outlineLevel="0" collapsed="false">
      <c r="A29" s="36" t="s">
        <v>84</v>
      </c>
      <c r="B29" s="36" t="s">
        <v>518</v>
      </c>
      <c r="C29" s="37" t="s">
        <v>41</v>
      </c>
      <c r="D29" s="38" t="s">
        <v>506</v>
      </c>
      <c r="E29" s="38" t="s">
        <v>88</v>
      </c>
      <c r="F29" s="38" t="s">
        <v>55</v>
      </c>
      <c r="G29" s="39" t="s">
        <v>17</v>
      </c>
      <c r="H29" s="39" t="s">
        <v>17</v>
      </c>
      <c r="I29" s="39" t="s">
        <v>17</v>
      </c>
      <c r="J29" s="39" t="str">
        <f aca="false">IF(G29="Sí", IF(H29="Sí", "DP", "SP"), IF(H29="Sí", "SD", "-"))</f>
        <v>-</v>
      </c>
      <c r="K29" s="35" t="str">
        <f aca="false">IF(IFERROR(L29,7)=7,"",RIGHT(L29,LEN(L29)-2)&amp;".")</f>
        <v>/A.</v>
      </c>
      <c r="L29" s="35" t="str">
        <f aca="false">IFERROR(__xludf.dummyfunction("CONCATENATE(ArrayFormula(""; ""&amp;QUERY(Hallazgos!A:F,""SELECT B WHERE E CONTAINS '""&amp;A29&amp;""' LABEL B ''"")))"),"#N/A")</f>
        <v>#N/A</v>
      </c>
    </row>
    <row r="30" customFormat="false" ht="15.75" hidden="false" customHeight="true" outlineLevel="0" collapsed="false">
      <c r="A30" s="36" t="s">
        <v>86</v>
      </c>
      <c r="B30" s="36" t="s">
        <v>520</v>
      </c>
      <c r="C30" s="37" t="s">
        <v>41</v>
      </c>
      <c r="D30" s="38" t="s">
        <v>506</v>
      </c>
      <c r="E30" s="38" t="s">
        <v>88</v>
      </c>
      <c r="F30" s="38" t="s">
        <v>55</v>
      </c>
      <c r="G30" s="39" t="s">
        <v>17</v>
      </c>
      <c r="H30" s="39" t="s">
        <v>17</v>
      </c>
      <c r="I30" s="39" t="s">
        <v>17</v>
      </c>
      <c r="J30" s="39" t="str">
        <f aca="false">IF(G30="Sí", IF(H30="Sí", "DP", "SP"), IF(H30="Sí", "SD", "-"))</f>
        <v>-</v>
      </c>
      <c r="K30" s="35" t="str">
        <f aca="false">IF(IFERROR(L30,7)=7,"",RIGHT(L30,LEN(L30)-2)&amp;".")</f>
        <v>/A.</v>
      </c>
      <c r="L30" s="35" t="str">
        <f aca="false">IFERROR(__xludf.dummyfunction("CONCATENATE(ArrayFormula(""; ""&amp;QUERY(Hallazgos!A:F,""SELECT B WHERE E CONTAINS '""&amp;A30&amp;""' LABEL B ''"")))"),"#N/A")</f>
        <v>#N/A</v>
      </c>
    </row>
    <row r="31" customFormat="false" ht="15.75" hidden="false" customHeight="true" outlineLevel="0" collapsed="false">
      <c r="A31" s="36" t="s">
        <v>89</v>
      </c>
      <c r="B31" s="36" t="s">
        <v>216</v>
      </c>
      <c r="C31" s="37" t="s">
        <v>41</v>
      </c>
      <c r="D31" s="38" t="s">
        <v>217</v>
      </c>
      <c r="E31" s="38" t="s">
        <v>88</v>
      </c>
      <c r="F31" s="38" t="s">
        <v>55</v>
      </c>
      <c r="G31" s="39" t="s">
        <v>17</v>
      </c>
      <c r="H31" s="39" t="s">
        <v>17</v>
      </c>
      <c r="I31" s="39" t="s">
        <v>17</v>
      </c>
      <c r="J31" s="39" t="str">
        <f aca="false">IF(G31="Sí", IF(H31="Sí", "DP", "SP"), IF(H31="Sí", "SD", "-"))</f>
        <v>-</v>
      </c>
      <c r="K31" s="35" t="str">
        <f aca="false">IF(IFERROR(L31,7)=7,"",RIGHT(L31,LEN(L31)-2)&amp;".")</f>
        <v>/A.</v>
      </c>
      <c r="L31" s="35" t="str">
        <f aca="false">IFERROR(__xludf.dummyfunction("CONCATENATE(ArrayFormula(""; ""&amp;QUERY(Hallazgos!A:F,""SELECT B WHERE E CONTAINS '""&amp;A31&amp;""' LABEL B ''"")))"),"#N/A")</f>
        <v>#N/A</v>
      </c>
    </row>
    <row r="32" customFormat="false" ht="15.75" hidden="false" customHeight="true" outlineLevel="0" collapsed="false">
      <c r="A32" s="36" t="s">
        <v>91</v>
      </c>
      <c r="B32" s="36" t="s">
        <v>784</v>
      </c>
      <c r="C32" s="37" t="s">
        <v>41</v>
      </c>
      <c r="D32" s="38" t="s">
        <v>785</v>
      </c>
      <c r="E32" s="38" t="s">
        <v>111</v>
      </c>
      <c r="F32" s="38" t="s">
        <v>55</v>
      </c>
      <c r="G32" s="39" t="s">
        <v>17</v>
      </c>
      <c r="H32" s="39" t="s">
        <v>17</v>
      </c>
      <c r="I32" s="39" t="s">
        <v>17</v>
      </c>
      <c r="J32" s="39" t="str">
        <f aca="false">IF(G32="Sí", IF(H32="Sí", "DP", "SP"), IF(H32="Sí", "SD", "-"))</f>
        <v>-</v>
      </c>
      <c r="K32" s="35" t="str">
        <f aca="false">IF(IFERROR(L32,7)=7,"",RIGHT(L32,LEN(L32)-2)&amp;".")</f>
        <v>/A.</v>
      </c>
      <c r="L32" s="35" t="str">
        <f aca="false">IFERROR(__xludf.dummyfunction("CONCATENATE(ArrayFormula(""; ""&amp;QUERY(Hallazgos!A:F,""SELECT B WHERE E CONTAINS '""&amp;A32&amp;""' LABEL B ''"")))"),"#N/A")</f>
        <v>#N/A</v>
      </c>
    </row>
    <row r="33" customFormat="false" ht="15.75" hidden="false" customHeight="true" outlineLevel="0" collapsed="false">
      <c r="A33" s="36" t="s">
        <v>96</v>
      </c>
      <c r="B33" s="36" t="s">
        <v>786</v>
      </c>
      <c r="C33" s="37" t="s">
        <v>41</v>
      </c>
      <c r="D33" s="38" t="s">
        <v>506</v>
      </c>
      <c r="E33" s="38" t="s">
        <v>81</v>
      </c>
      <c r="F33" s="38" t="s">
        <v>55</v>
      </c>
      <c r="G33" s="39" t="s">
        <v>17</v>
      </c>
      <c r="H33" s="39" t="s">
        <v>17</v>
      </c>
      <c r="I33" s="39" t="s">
        <v>17</v>
      </c>
      <c r="J33" s="39" t="str">
        <f aca="false">IF(G33="Sí", IF(H33="Sí", "DP", "SP"), IF(H33="Sí", "SD", "-"))</f>
        <v>-</v>
      </c>
      <c r="K33" s="35" t="str">
        <f aca="false">IF(IFERROR(L33,7)=7,"",RIGHT(L33,LEN(L33)-2)&amp;".")</f>
        <v>/A.</v>
      </c>
      <c r="L33" s="35" t="str">
        <f aca="false">IFERROR(__xludf.dummyfunction("CONCATENATE(ArrayFormula(""; ""&amp;QUERY(Hallazgos!A:F,""SELECT B WHERE E CONTAINS '""&amp;A33&amp;""' LABEL B ''"")))"),"#N/A")</f>
        <v>#N/A</v>
      </c>
    </row>
    <row r="34" customFormat="false" ht="15.75" hidden="false" customHeight="true" outlineLevel="0" collapsed="false">
      <c r="A34" s="40" t="s">
        <v>99</v>
      </c>
      <c r="B34" s="40" t="s">
        <v>787</v>
      </c>
      <c r="C34" s="37" t="s">
        <v>41</v>
      </c>
      <c r="D34" s="38" t="s">
        <v>506</v>
      </c>
      <c r="E34" s="38" t="s">
        <v>88</v>
      </c>
      <c r="F34" s="38" t="s">
        <v>55</v>
      </c>
      <c r="G34" s="39" t="s">
        <v>17</v>
      </c>
      <c r="H34" s="39" t="s">
        <v>17</v>
      </c>
      <c r="I34" s="39" t="s">
        <v>17</v>
      </c>
      <c r="J34" s="39" t="str">
        <f aca="false">IF(G34="Sí", IF(H34="Sí", "DP", "SP"), IF(H34="Sí", "SD", "-"))</f>
        <v>-</v>
      </c>
      <c r="K34" s="35" t="str">
        <f aca="false">IF(IFERROR(L34,7)=7,"",RIGHT(L34,LEN(L34)-2)&amp;".")</f>
        <v>/A.</v>
      </c>
      <c r="L34" s="35" t="str">
        <f aca="false">IFERROR(__xludf.dummyfunction("CONCATENATE(ArrayFormula(""; ""&amp;QUERY(Hallazgos!A:F,""SELECT B WHERE E CONTAINS '""&amp;A34&amp;""' LABEL B ''"")))"),"#N/A")</f>
        <v>#N/A</v>
      </c>
    </row>
    <row r="35" customFormat="false" ht="15.75" hidden="false" customHeight="true" outlineLevel="0" collapsed="false">
      <c r="A35" s="36" t="s">
        <v>105</v>
      </c>
      <c r="B35" s="36" t="s">
        <v>528</v>
      </c>
      <c r="C35" s="37" t="s">
        <v>41</v>
      </c>
      <c r="D35" s="38" t="s">
        <v>506</v>
      </c>
      <c r="E35" s="38" t="s">
        <v>81</v>
      </c>
      <c r="F35" s="38" t="s">
        <v>55</v>
      </c>
      <c r="G35" s="39" t="s">
        <v>17</v>
      </c>
      <c r="H35" s="39" t="s">
        <v>17</v>
      </c>
      <c r="I35" s="39" t="s">
        <v>17</v>
      </c>
      <c r="J35" s="39" t="str">
        <f aca="false">IF(G35="Sí", IF(H35="Sí", "DP", "SP"), IF(H35="Sí", "SD", "-"))</f>
        <v>-</v>
      </c>
      <c r="K35" s="35" t="str">
        <f aca="false">IF(IFERROR(L35,7)=7,"",RIGHT(L35,LEN(L35)-2)&amp;".")</f>
        <v>/A.</v>
      </c>
      <c r="L35" s="35" t="str">
        <f aca="false">IFERROR(__xludf.dummyfunction("CONCATENATE(ArrayFormula(""; ""&amp;QUERY(Hallazgos!A:F,""SELECT B WHERE E CONTAINS '""&amp;A35&amp;""' LABEL B ''"")))"),"#N/A")</f>
        <v>#N/A</v>
      </c>
    </row>
    <row r="36" customFormat="false" ht="15.75" hidden="false" customHeight="true" outlineLevel="0" collapsed="false">
      <c r="A36" s="36" t="s">
        <v>107</v>
      </c>
      <c r="B36" s="36" t="s">
        <v>788</v>
      </c>
      <c r="C36" s="37" t="s">
        <v>41</v>
      </c>
      <c r="D36" s="38" t="s">
        <v>506</v>
      </c>
      <c r="E36" s="38" t="s">
        <v>54</v>
      </c>
      <c r="F36" s="38" t="s">
        <v>55</v>
      </c>
      <c r="G36" s="39" t="s">
        <v>17</v>
      </c>
      <c r="H36" s="39" t="s">
        <v>17</v>
      </c>
      <c r="I36" s="39" t="s">
        <v>17</v>
      </c>
      <c r="J36" s="39" t="str">
        <f aca="false">IF(G36="Sí", IF(H36="Sí", "DP", "SP"), IF(H36="Sí", "SD", "-"))</f>
        <v>-</v>
      </c>
      <c r="K36" s="35" t="str">
        <f aca="false">IF(IFERROR(L36,7)=7,"",RIGHT(L36,LEN(L36)-2)&amp;".")</f>
        <v>/A.</v>
      </c>
      <c r="L36" s="35" t="str">
        <f aca="false">IFERROR(__xludf.dummyfunction("CONCATENATE(ArrayFormula(""; ""&amp;QUERY(Hallazgos!A:F,""SELECT B WHERE E CONTAINS '""&amp;A36&amp;""' LABEL B ''"")))"),"#N/A")</f>
        <v>#N/A</v>
      </c>
    </row>
    <row r="37" customFormat="false" ht="15.75" hidden="false" customHeight="true" outlineLevel="0" collapsed="false">
      <c r="A37" s="36" t="s">
        <v>109</v>
      </c>
      <c r="B37" s="36" t="s">
        <v>789</v>
      </c>
      <c r="C37" s="37" t="s">
        <v>41</v>
      </c>
      <c r="D37" s="38" t="s">
        <v>95</v>
      </c>
      <c r="E37" s="38" t="s">
        <v>98</v>
      </c>
      <c r="F37" s="38" t="s">
        <v>55</v>
      </c>
      <c r="G37" s="39" t="s">
        <v>17</v>
      </c>
      <c r="H37" s="39" t="s">
        <v>17</v>
      </c>
      <c r="I37" s="39" t="s">
        <v>17</v>
      </c>
      <c r="J37" s="39" t="str">
        <f aca="false">IF(G37="Sí", IF(H37="Sí", "DP", "SP"), IF(H37="Sí", "SD", "-"))</f>
        <v>-</v>
      </c>
      <c r="K37" s="35" t="str">
        <f aca="false">IF(IFERROR(L37,7)=7,"",RIGHT(L37,LEN(L37)-2)&amp;".")</f>
        <v>/A.</v>
      </c>
      <c r="L37" s="35" t="str">
        <f aca="false">IFERROR(__xludf.dummyfunction("CONCATENATE(ArrayFormula(""; ""&amp;QUERY(Hallazgos!A:F,""SELECT B WHERE E CONTAINS '""&amp;A37&amp;""' LABEL B ''"")))"),"#N/A")</f>
        <v>#N/A</v>
      </c>
    </row>
    <row r="38" customFormat="false" ht="15.75" hidden="false" customHeight="true" outlineLevel="0" collapsed="false">
      <c r="A38" s="36" t="s">
        <v>112</v>
      </c>
      <c r="B38" s="36" t="s">
        <v>790</v>
      </c>
      <c r="C38" s="37" t="s">
        <v>41</v>
      </c>
      <c r="D38" s="38" t="s">
        <v>791</v>
      </c>
      <c r="E38" s="38" t="s">
        <v>98</v>
      </c>
      <c r="F38" s="38" t="s">
        <v>55</v>
      </c>
      <c r="G38" s="39" t="s">
        <v>17</v>
      </c>
      <c r="H38" s="39" t="s">
        <v>17</v>
      </c>
      <c r="I38" s="39" t="s">
        <v>17</v>
      </c>
      <c r="J38" s="39" t="str">
        <f aca="false">IF(G38="Sí", IF(H38="Sí", "DP", "SP"), IF(H38="Sí", "SD", "-"))</f>
        <v>-</v>
      </c>
      <c r="K38" s="35" t="str">
        <f aca="false">IF(IFERROR(L38,7)=7,"",RIGHT(L38,LEN(L38)-2)&amp;".")</f>
        <v>/A.</v>
      </c>
      <c r="L38" s="35" t="str">
        <f aca="false">IFERROR(__xludf.dummyfunction("CONCATENATE(ArrayFormula(""; ""&amp;QUERY(Hallazgos!A:F,""SELECT B WHERE E CONTAINS '""&amp;A38&amp;""' LABEL B ''"")))"),"#N/A")</f>
        <v>#N/A</v>
      </c>
    </row>
    <row r="39" customFormat="false" ht="15.75" hidden="false" customHeight="true" outlineLevel="0" collapsed="false">
      <c r="A39" s="36" t="s">
        <v>114</v>
      </c>
      <c r="B39" s="36" t="s">
        <v>298</v>
      </c>
      <c r="C39" s="37" t="s">
        <v>41</v>
      </c>
      <c r="D39" s="38" t="s">
        <v>785</v>
      </c>
      <c r="E39" s="38" t="s">
        <v>111</v>
      </c>
      <c r="F39" s="38" t="s">
        <v>55</v>
      </c>
      <c r="G39" s="39" t="s">
        <v>17</v>
      </c>
      <c r="H39" s="39" t="s">
        <v>17</v>
      </c>
      <c r="I39" s="39" t="s">
        <v>17</v>
      </c>
      <c r="J39" s="39" t="str">
        <f aca="false">IF(G39="Sí", IF(H39="Sí", "DP", "SP"), IF(H39="Sí", "SD", "-"))</f>
        <v>-</v>
      </c>
      <c r="K39" s="35" t="str">
        <f aca="false">IF(IFERROR(L39,7)=7,"",RIGHT(L39,LEN(L39)-2)&amp;".")</f>
        <v>/A.</v>
      </c>
      <c r="L39" s="35" t="str">
        <f aca="false">IFERROR(__xludf.dummyfunction("CONCATENATE(ArrayFormula(""; ""&amp;QUERY(Hallazgos!A:F,""SELECT B WHERE E CONTAINS '""&amp;A39&amp;""' LABEL B ''"")))"),"#N/A")</f>
        <v>#N/A</v>
      </c>
    </row>
    <row r="40" customFormat="false" ht="15.75" hidden="false" customHeight="true" outlineLevel="0" collapsed="false">
      <c r="A40" s="36" t="s">
        <v>117</v>
      </c>
      <c r="B40" s="36" t="s">
        <v>792</v>
      </c>
      <c r="C40" s="37" t="s">
        <v>13</v>
      </c>
      <c r="D40" s="38" t="s">
        <v>599</v>
      </c>
      <c r="E40" s="38" t="s">
        <v>116</v>
      </c>
      <c r="F40" s="38" t="s">
        <v>55</v>
      </c>
      <c r="G40" s="39" t="s">
        <v>17</v>
      </c>
      <c r="H40" s="39" t="s">
        <v>17</v>
      </c>
      <c r="I40" s="39" t="s">
        <v>17</v>
      </c>
      <c r="J40" s="39" t="str">
        <f aca="false">IF(G40="Sí", IF(H40="Sí", "DP", "SP"), IF(H40="Sí", "SD", "-"))</f>
        <v>-</v>
      </c>
      <c r="K40" s="35" t="str">
        <f aca="false">IF(IFERROR(L40,7)=7,"",RIGHT(L40,LEN(L40)-2)&amp;".")</f>
        <v>/A.</v>
      </c>
      <c r="L40" s="35" t="str">
        <f aca="false">IFERROR(__xludf.dummyfunction("CONCATENATE(ArrayFormula(""; ""&amp;QUERY(Hallazgos!A:F,""SELECT B WHERE E CONTAINS '""&amp;A40&amp;""' LABEL B ''"")))"),"#N/A")</f>
        <v>#N/A</v>
      </c>
    </row>
    <row r="41" customFormat="false" ht="15.75" hidden="false" customHeight="true" outlineLevel="0" collapsed="false">
      <c r="A41" s="36" t="s">
        <v>119</v>
      </c>
      <c r="B41" s="36" t="s">
        <v>100</v>
      </c>
      <c r="C41" s="37" t="s">
        <v>41</v>
      </c>
      <c r="D41" s="38" t="s">
        <v>95</v>
      </c>
      <c r="E41" s="38" t="s">
        <v>98</v>
      </c>
      <c r="F41" s="38" t="s">
        <v>55</v>
      </c>
      <c r="G41" s="39" t="s">
        <v>17</v>
      </c>
      <c r="H41" s="39" t="s">
        <v>17</v>
      </c>
      <c r="I41" s="39" t="s">
        <v>17</v>
      </c>
      <c r="J41" s="39" t="str">
        <f aca="false">IF(G41="Sí", IF(H41="Sí", "DP", "SP"), IF(H41="Sí", "SD", "-"))</f>
        <v>-</v>
      </c>
      <c r="K41" s="35" t="str">
        <f aca="false">IF(IFERROR(L41,7)=7,"",RIGHT(L41,LEN(L41)-2)&amp;".")</f>
        <v>/A.</v>
      </c>
      <c r="L41" s="35" t="str">
        <f aca="false">IFERROR(__xludf.dummyfunction("CONCATENATE(ArrayFormula(""; ""&amp;QUERY(Hallazgos!A:F,""SELECT B WHERE E CONTAINS '""&amp;A41&amp;""' LABEL B ''"")))"),"#N/A")</f>
        <v>#N/A</v>
      </c>
    </row>
    <row r="42" customFormat="false" ht="15.75" hidden="false" customHeight="true" outlineLevel="0" collapsed="false">
      <c r="A42" s="36" t="s">
        <v>121</v>
      </c>
      <c r="B42" s="36" t="s">
        <v>793</v>
      </c>
      <c r="C42" s="37" t="s">
        <v>41</v>
      </c>
      <c r="D42" s="38" t="s">
        <v>399</v>
      </c>
      <c r="E42" s="38" t="s">
        <v>98</v>
      </c>
      <c r="F42" s="38" t="s">
        <v>55</v>
      </c>
      <c r="G42" s="39" t="s">
        <v>17</v>
      </c>
      <c r="H42" s="39" t="s">
        <v>17</v>
      </c>
      <c r="I42" s="39" t="s">
        <v>17</v>
      </c>
      <c r="J42" s="39" t="str">
        <f aca="false">IF(G42="Sí", IF(H42="Sí", "DP", "SP"), IF(H42="Sí", "SD", "-"))</f>
        <v>-</v>
      </c>
      <c r="K42" s="35" t="str">
        <f aca="false">IF(IFERROR(L42,7)=7,"",RIGHT(L42,LEN(L42)-2)&amp;".")</f>
        <v>/A.</v>
      </c>
      <c r="L42" s="35" t="str">
        <f aca="false">IFERROR(__xludf.dummyfunction("CONCATENATE(ArrayFormula(""; ""&amp;QUERY(Hallazgos!A:F,""SELECT B WHERE E CONTAINS '""&amp;A42&amp;""' LABEL B ''"")))"),"#N/A")</f>
        <v>#N/A</v>
      </c>
    </row>
    <row r="43" customFormat="false" ht="15.75" hidden="false" customHeight="true" outlineLevel="0" collapsed="false">
      <c r="A43" s="36" t="s">
        <v>123</v>
      </c>
      <c r="B43" s="36" t="s">
        <v>794</v>
      </c>
      <c r="C43" s="37" t="s">
        <v>41</v>
      </c>
      <c r="D43" s="38" t="s">
        <v>795</v>
      </c>
      <c r="E43" s="38" t="s">
        <v>98</v>
      </c>
      <c r="F43" s="38" t="s">
        <v>55</v>
      </c>
      <c r="G43" s="39" t="s">
        <v>17</v>
      </c>
      <c r="H43" s="39" t="s">
        <v>17</v>
      </c>
      <c r="I43" s="39" t="s">
        <v>17</v>
      </c>
      <c r="J43" s="39" t="str">
        <f aca="false">IF(G43="Sí", IF(H43="Sí", "DP", "SP"), IF(H43="Sí", "SD", "-"))</f>
        <v>-</v>
      </c>
      <c r="K43" s="35" t="str">
        <f aca="false">IF(IFERROR(L43,7)=7,"",RIGHT(L43,LEN(L43)-2)&amp;".")</f>
        <v>/A.</v>
      </c>
      <c r="L43" s="35" t="str">
        <f aca="false">IFERROR(__xludf.dummyfunction("CONCATENATE(ArrayFormula(""; ""&amp;QUERY(Hallazgos!A:F,""SELECT B WHERE E CONTAINS '""&amp;A43&amp;""' LABEL B ''"")))"),"#N/A")</f>
        <v>#N/A</v>
      </c>
    </row>
    <row r="44" customFormat="false" ht="15.75" hidden="false" customHeight="true" outlineLevel="0" collapsed="false">
      <c r="A44" s="36" t="s">
        <v>129</v>
      </c>
      <c r="B44" s="36" t="s">
        <v>796</v>
      </c>
      <c r="C44" s="37" t="s">
        <v>41</v>
      </c>
      <c r="D44" s="38" t="s">
        <v>189</v>
      </c>
      <c r="E44" s="38" t="s">
        <v>54</v>
      </c>
      <c r="F44" s="38" t="s">
        <v>55</v>
      </c>
      <c r="G44" s="39" t="s">
        <v>17</v>
      </c>
      <c r="H44" s="39" t="s">
        <v>17</v>
      </c>
      <c r="I44" s="39" t="s">
        <v>17</v>
      </c>
      <c r="J44" s="39" t="str">
        <f aca="false">IF(G44="Sí", IF(H44="Sí", "DP", "SP"), IF(H44="Sí", "SD", "-"))</f>
        <v>-</v>
      </c>
      <c r="K44" s="35" t="str">
        <f aca="false">IF(IFERROR(L44,7)=7,"",RIGHT(L44,LEN(L44)-2)&amp;".")</f>
        <v>/A.</v>
      </c>
      <c r="L44" s="35" t="str">
        <f aca="false">IFERROR(__xludf.dummyfunction("CONCATENATE(ArrayFormula(""; ""&amp;QUERY(Hallazgos!A:F,""SELECT B WHERE E CONTAINS '""&amp;A44&amp;""' LABEL B ''"")))"),"#N/A")</f>
        <v>#N/A</v>
      </c>
    </row>
    <row r="45" customFormat="false" ht="15.75" hidden="false" customHeight="true" outlineLevel="0" collapsed="false">
      <c r="A45" s="36" t="s">
        <v>133</v>
      </c>
      <c r="B45" s="36" t="s">
        <v>191</v>
      </c>
      <c r="C45" s="37" t="s">
        <v>41</v>
      </c>
      <c r="D45" s="38" t="s">
        <v>189</v>
      </c>
      <c r="E45" s="38" t="s">
        <v>192</v>
      </c>
      <c r="F45" s="38" t="s">
        <v>55</v>
      </c>
      <c r="G45" s="39" t="s">
        <v>17</v>
      </c>
      <c r="H45" s="39" t="s">
        <v>17</v>
      </c>
      <c r="I45" s="39" t="s">
        <v>17</v>
      </c>
      <c r="J45" s="39" t="str">
        <f aca="false">IF(G45="Sí", IF(H45="Sí", "DP", "SP"), IF(H45="Sí", "SD", "-"))</f>
        <v>-</v>
      </c>
      <c r="K45" s="35" t="str">
        <f aca="false">IF(IFERROR(L45,7)=7,"",RIGHT(L45,LEN(L45)-2)&amp;".")</f>
        <v>/A.</v>
      </c>
      <c r="L45" s="35" t="str">
        <f aca="false">IFERROR(__xludf.dummyfunction("CONCATENATE(ArrayFormula(""; ""&amp;QUERY(Hallazgos!A:F,""SELECT B WHERE E CONTAINS '""&amp;A45&amp;""' LABEL B ''"")))"),"#N/A")</f>
        <v>#N/A</v>
      </c>
    </row>
    <row r="46" customFormat="false" ht="15.75" hidden="false" customHeight="true" outlineLevel="0" collapsed="false">
      <c r="A46" s="36" t="s">
        <v>135</v>
      </c>
      <c r="B46" s="36" t="s">
        <v>196</v>
      </c>
      <c r="C46" s="37" t="s">
        <v>41</v>
      </c>
      <c r="D46" s="38" t="s">
        <v>189</v>
      </c>
      <c r="E46" s="38" t="s">
        <v>81</v>
      </c>
      <c r="F46" s="38" t="s">
        <v>55</v>
      </c>
      <c r="G46" s="39" t="s">
        <v>17</v>
      </c>
      <c r="H46" s="39" t="s">
        <v>17</v>
      </c>
      <c r="I46" s="39" t="s">
        <v>17</v>
      </c>
      <c r="J46" s="39" t="str">
        <f aca="false">IF(G46="Sí", IF(H46="Sí", "DP", "SP"), IF(H46="Sí", "SD", "-"))</f>
        <v>-</v>
      </c>
      <c r="K46" s="35" t="str">
        <f aca="false">IF(IFERROR(L46,7)=7,"",RIGHT(L46,LEN(L46)-2)&amp;".")</f>
        <v>/A.</v>
      </c>
      <c r="L46" s="35" t="str">
        <f aca="false">IFERROR(__xludf.dummyfunction("CONCATENATE(ArrayFormula(""; ""&amp;QUERY(Hallazgos!A:F,""SELECT B WHERE E CONTAINS '""&amp;A46&amp;""' LABEL B ''"")))"),"#N/A")</f>
        <v>#N/A</v>
      </c>
    </row>
    <row r="47" customFormat="false" ht="15.75" hidden="false" customHeight="true" outlineLevel="0" collapsed="false">
      <c r="A47" s="36" t="s">
        <v>137</v>
      </c>
      <c r="B47" s="36" t="s">
        <v>198</v>
      </c>
      <c r="C47" s="37" t="s">
        <v>41</v>
      </c>
      <c r="D47" s="38" t="s">
        <v>189</v>
      </c>
      <c r="E47" s="38" t="s">
        <v>54</v>
      </c>
      <c r="F47" s="38" t="s">
        <v>55</v>
      </c>
      <c r="G47" s="39" t="s">
        <v>17</v>
      </c>
      <c r="H47" s="39" t="s">
        <v>17</v>
      </c>
      <c r="I47" s="39" t="s">
        <v>17</v>
      </c>
      <c r="J47" s="39" t="str">
        <f aca="false">IF(G47="Sí", IF(H47="Sí", "DP", "SP"), IF(H47="Sí", "SD", "-"))</f>
        <v>-</v>
      </c>
      <c r="K47" s="35" t="str">
        <f aca="false">IF(IFERROR(L47,7)=7,"",RIGHT(L47,LEN(L47)-2)&amp;".")</f>
        <v>/A.</v>
      </c>
      <c r="L47" s="35" t="str">
        <f aca="false">IFERROR(__xludf.dummyfunction("CONCATENATE(ArrayFormula(""; ""&amp;QUERY(Hallazgos!A:F,""SELECT B WHERE E CONTAINS '""&amp;A47&amp;""' LABEL B ''"")))"),"#N/A")</f>
        <v>#N/A</v>
      </c>
    </row>
    <row r="48" customFormat="false" ht="15.75" hidden="false" customHeight="true" outlineLevel="0" collapsed="false">
      <c r="A48" s="36" t="s">
        <v>139</v>
      </c>
      <c r="B48" s="36" t="s">
        <v>200</v>
      </c>
      <c r="C48" s="37" t="s">
        <v>41</v>
      </c>
      <c r="D48" s="38" t="s">
        <v>189</v>
      </c>
      <c r="E48" s="38" t="s">
        <v>76</v>
      </c>
      <c r="F48" s="38" t="s">
        <v>55</v>
      </c>
      <c r="G48" s="39" t="s">
        <v>17</v>
      </c>
      <c r="H48" s="39" t="s">
        <v>17</v>
      </c>
      <c r="I48" s="39" t="s">
        <v>17</v>
      </c>
      <c r="J48" s="39" t="str">
        <f aca="false">IF(G48="Sí", IF(H48="Sí", "DP", "SP"), IF(H48="Sí", "SD", "-"))</f>
        <v>-</v>
      </c>
      <c r="K48" s="35" t="str">
        <f aca="false">IF(IFERROR(L48,7)=7,"",RIGHT(L48,LEN(L48)-2)&amp;".")</f>
        <v>/A.</v>
      </c>
      <c r="L48" s="35" t="str">
        <f aca="false">IFERROR(__xludf.dummyfunction("CONCATENATE(ArrayFormula(""; ""&amp;QUERY(Hallazgos!A:F,""SELECT B WHERE E CONTAINS '""&amp;A48&amp;""' LABEL B ''"")))"),"#N/A")</f>
        <v>#N/A</v>
      </c>
    </row>
    <row r="49" customFormat="false" ht="15.75" hidden="false" customHeight="true" outlineLevel="0" collapsed="false">
      <c r="A49" s="36" t="s">
        <v>141</v>
      </c>
      <c r="B49" s="36" t="s">
        <v>797</v>
      </c>
      <c r="C49" s="37" t="s">
        <v>38</v>
      </c>
      <c r="D49" s="38" t="s">
        <v>189</v>
      </c>
      <c r="E49" s="38" t="s">
        <v>54</v>
      </c>
      <c r="F49" s="38" t="s">
        <v>55</v>
      </c>
      <c r="G49" s="39" t="s">
        <v>17</v>
      </c>
      <c r="H49" s="39" t="s">
        <v>17</v>
      </c>
      <c r="I49" s="39" t="s">
        <v>17</v>
      </c>
      <c r="J49" s="39" t="str">
        <f aca="false">IF(G49="Sí", IF(H49="Sí", "DP", "SP"), IF(H49="Sí", "SD", "-"))</f>
        <v>-</v>
      </c>
      <c r="K49" s="35" t="str">
        <f aca="false">IF(IFERROR(L49,7)=7,"",RIGHT(L49,LEN(L49)-2)&amp;".")</f>
        <v>/A.</v>
      </c>
      <c r="L49" s="35" t="str">
        <f aca="false">IFERROR(__xludf.dummyfunction("CONCATENATE(ArrayFormula(""; ""&amp;QUERY(Hallazgos!A:F,""SELECT B WHERE E CONTAINS '""&amp;A49&amp;""' LABEL B ''"")))"),"#N/A")</f>
        <v>#N/A</v>
      </c>
    </row>
    <row r="50" customFormat="false" ht="15.75" hidden="false" customHeight="true" outlineLevel="0" collapsed="false">
      <c r="A50" s="36" t="s">
        <v>143</v>
      </c>
      <c r="B50" s="36" t="s">
        <v>204</v>
      </c>
      <c r="C50" s="37" t="s">
        <v>13</v>
      </c>
      <c r="D50" s="38" t="s">
        <v>189</v>
      </c>
      <c r="E50" s="38" t="s">
        <v>76</v>
      </c>
      <c r="F50" s="38" t="s">
        <v>55</v>
      </c>
      <c r="G50" s="39" t="s">
        <v>17</v>
      </c>
      <c r="H50" s="39" t="s">
        <v>17</v>
      </c>
      <c r="I50" s="39" t="s">
        <v>17</v>
      </c>
      <c r="J50" s="39" t="str">
        <f aca="false">IF(G50="Sí", IF(H50="Sí", "DP", "SP"), IF(H50="Sí", "SD", "-"))</f>
        <v>-</v>
      </c>
      <c r="K50" s="35" t="str">
        <f aca="false">IF(IFERROR(L50,7)=7,"",RIGHT(L50,LEN(L50)-2)&amp;".")</f>
        <v>/A.</v>
      </c>
      <c r="L50" s="35" t="str">
        <f aca="false">IFERROR(__xludf.dummyfunction("CONCATENATE(ArrayFormula(""; ""&amp;QUERY(Hallazgos!A:F,""SELECT B WHERE E CONTAINS '""&amp;A50&amp;""' LABEL B ''"")))"),"#N/A")</f>
        <v>#N/A</v>
      </c>
    </row>
    <row r="51" customFormat="false" ht="15.75" hidden="false" customHeight="true" outlineLevel="0" collapsed="false">
      <c r="A51" s="36" t="s">
        <v>145</v>
      </c>
      <c r="B51" s="36" t="s">
        <v>206</v>
      </c>
      <c r="C51" s="37" t="s">
        <v>41</v>
      </c>
      <c r="D51" s="38" t="s">
        <v>189</v>
      </c>
      <c r="E51" s="38" t="s">
        <v>81</v>
      </c>
      <c r="F51" s="38" t="s">
        <v>55</v>
      </c>
      <c r="G51" s="39" t="s">
        <v>17</v>
      </c>
      <c r="H51" s="39" t="s">
        <v>17</v>
      </c>
      <c r="I51" s="39" t="s">
        <v>17</v>
      </c>
      <c r="J51" s="39" t="str">
        <f aca="false">IF(G51="Sí", IF(H51="Sí", "DP", "SP"), IF(H51="Sí", "SD", "-"))</f>
        <v>-</v>
      </c>
      <c r="K51" s="35" t="str">
        <f aca="false">IF(IFERROR(L51,7)=7,"",RIGHT(L51,LEN(L51)-2)&amp;".")</f>
        <v>/A.</v>
      </c>
      <c r="L51" s="35" t="str">
        <f aca="false">IFERROR(__xludf.dummyfunction("CONCATENATE(ArrayFormula(""; ""&amp;QUERY(Hallazgos!A:F,""SELECT B WHERE E CONTAINS '""&amp;A51&amp;""' LABEL B ''"")))"),"#N/A")</f>
        <v>#N/A</v>
      </c>
    </row>
    <row r="52" customFormat="false" ht="15.75" hidden="false" customHeight="true" outlineLevel="0" collapsed="false">
      <c r="A52" s="36" t="s">
        <v>147</v>
      </c>
      <c r="B52" s="36" t="s">
        <v>401</v>
      </c>
      <c r="C52" s="37" t="s">
        <v>41</v>
      </c>
      <c r="D52" s="38" t="s">
        <v>399</v>
      </c>
      <c r="E52" s="38" t="s">
        <v>81</v>
      </c>
      <c r="F52" s="38" t="s">
        <v>55</v>
      </c>
      <c r="G52" s="39" t="s">
        <v>17</v>
      </c>
      <c r="H52" s="39" t="s">
        <v>17</v>
      </c>
      <c r="I52" s="39" t="s">
        <v>17</v>
      </c>
      <c r="J52" s="39" t="str">
        <f aca="false">IF(G52="Sí", IF(H52="Sí", "DP", "SP"), IF(H52="Sí", "SD", "-"))</f>
        <v>-</v>
      </c>
      <c r="K52" s="35" t="str">
        <f aca="false">IF(IFERROR(L52,7)=7,"",RIGHT(L52,LEN(L52)-2)&amp;".")</f>
        <v>/A.</v>
      </c>
      <c r="L52" s="35" t="str">
        <f aca="false">IFERROR(__xludf.dummyfunction("CONCATENATE(ArrayFormula(""; ""&amp;QUERY(Hallazgos!A:F,""SELECT B WHERE E CONTAINS '""&amp;A52&amp;""' LABEL B ''"")))"),"#N/A")</f>
        <v>#N/A</v>
      </c>
    </row>
    <row r="53" customFormat="false" ht="15.75" hidden="false" customHeight="true" outlineLevel="0" collapsed="false">
      <c r="A53" s="36" t="s">
        <v>149</v>
      </c>
      <c r="B53" s="36" t="s">
        <v>798</v>
      </c>
      <c r="C53" s="37" t="s">
        <v>38</v>
      </c>
      <c r="D53" s="38" t="s">
        <v>352</v>
      </c>
      <c r="E53" s="38" t="s">
        <v>15</v>
      </c>
      <c r="F53" s="38" t="s">
        <v>73</v>
      </c>
      <c r="G53" s="39" t="s">
        <v>17</v>
      </c>
      <c r="H53" s="39" t="s">
        <v>17</v>
      </c>
      <c r="I53" s="39" t="s">
        <v>17</v>
      </c>
      <c r="J53" s="39" t="str">
        <f aca="false">IF(G53="Sí", IF(H53="Sí", "DP", "SP"), IF(H53="Sí", "SD", "-"))</f>
        <v>-</v>
      </c>
      <c r="K53" s="35" t="str">
        <f aca="false">IF(IFERROR(L53,7)=7,"",RIGHT(L53,LEN(L53)-2)&amp;".")</f>
        <v>/A.</v>
      </c>
      <c r="L53" s="35" t="str">
        <f aca="false">IFERROR(__xludf.dummyfunction("CONCATENATE(ArrayFormula(""; ""&amp;QUERY(Hallazgos!A:F,""SELECT B WHERE E CONTAINS '""&amp;A53&amp;""' LABEL B ''"")))"),"#N/A")</f>
        <v>#N/A</v>
      </c>
    </row>
    <row r="54" customFormat="false" ht="15.75" hidden="false" customHeight="true" outlineLevel="0" collapsed="false">
      <c r="A54" s="36" t="s">
        <v>151</v>
      </c>
      <c r="B54" s="36" t="s">
        <v>358</v>
      </c>
      <c r="C54" s="37" t="s">
        <v>38</v>
      </c>
      <c r="D54" s="38" t="s">
        <v>352</v>
      </c>
      <c r="E54" s="38" t="s">
        <v>116</v>
      </c>
      <c r="F54" s="38" t="s">
        <v>73</v>
      </c>
      <c r="G54" s="39" t="s">
        <v>17</v>
      </c>
      <c r="H54" s="39" t="s">
        <v>17</v>
      </c>
      <c r="I54" s="39" t="s">
        <v>17</v>
      </c>
      <c r="J54" s="39" t="str">
        <f aca="false">IF(G54="Sí", IF(H54="Sí", "DP", "SP"), IF(H54="Sí", "SD", "-"))</f>
        <v>-</v>
      </c>
      <c r="K54" s="35" t="str">
        <f aca="false">IF(IFERROR(L54,7)=7,"",RIGHT(L54,LEN(L54)-2)&amp;".")</f>
        <v>/A.</v>
      </c>
      <c r="L54" s="35" t="str">
        <f aca="false">IFERROR(__xludf.dummyfunction("CONCATENATE(ArrayFormula(""; ""&amp;QUERY(Hallazgos!A:F,""SELECT B WHERE E CONTAINS '""&amp;A54&amp;""' LABEL B ''"")))"),"#N/A")</f>
        <v>#N/A</v>
      </c>
    </row>
    <row r="55" customFormat="false" ht="15.75" hidden="false" customHeight="true" outlineLevel="0" collapsed="false">
      <c r="A55" s="36" t="s">
        <v>153</v>
      </c>
      <c r="B55" s="36" t="s">
        <v>360</v>
      </c>
      <c r="C55" s="37" t="s">
        <v>41</v>
      </c>
      <c r="D55" s="38" t="s">
        <v>352</v>
      </c>
      <c r="E55" s="38" t="s">
        <v>81</v>
      </c>
      <c r="F55" s="38" t="s">
        <v>73</v>
      </c>
      <c r="G55" s="39" t="s">
        <v>17</v>
      </c>
      <c r="H55" s="39" t="s">
        <v>17</v>
      </c>
      <c r="I55" s="39" t="s">
        <v>17</v>
      </c>
      <c r="J55" s="39" t="str">
        <f aca="false">IF(G55="Sí", IF(H55="Sí", "DP", "SP"), IF(H55="Sí", "SD", "-"))</f>
        <v>-</v>
      </c>
      <c r="K55" s="35" t="str">
        <f aca="false">IF(IFERROR(L55,7)=7,"",RIGHT(L55,LEN(L55)-2)&amp;".")</f>
        <v>/A.</v>
      </c>
      <c r="L55" s="35" t="str">
        <f aca="false">IFERROR(__xludf.dummyfunction("CONCATENATE(ArrayFormula(""; ""&amp;QUERY(Hallazgos!A:F,""SELECT B WHERE E CONTAINS '""&amp;A55&amp;""' LABEL B ''"")))"),"#N/A")</f>
        <v>#N/A</v>
      </c>
    </row>
    <row r="56" customFormat="false" ht="15.75" hidden="false" customHeight="true" outlineLevel="0" collapsed="false">
      <c r="A56" s="36" t="s">
        <v>155</v>
      </c>
      <c r="B56" s="36" t="s">
        <v>362</v>
      </c>
      <c r="C56" s="37" t="s">
        <v>41</v>
      </c>
      <c r="D56" s="38" t="s">
        <v>352</v>
      </c>
      <c r="E56" s="38" t="s">
        <v>116</v>
      </c>
      <c r="F56" s="38" t="s">
        <v>73</v>
      </c>
      <c r="G56" s="39" t="s">
        <v>17</v>
      </c>
      <c r="H56" s="39" t="s">
        <v>17</v>
      </c>
      <c r="I56" s="39" t="s">
        <v>17</v>
      </c>
      <c r="J56" s="39" t="str">
        <f aca="false">IF(G56="Sí", IF(H56="Sí", "DP", "SP"), IF(H56="Sí", "SD", "-"))</f>
        <v>-</v>
      </c>
      <c r="K56" s="35" t="str">
        <f aca="false">IF(IFERROR(L56,7)=7,"",RIGHT(L56,LEN(L56)-2)&amp;".")</f>
        <v>/A.</v>
      </c>
      <c r="L56" s="35" t="str">
        <f aca="false">IFERROR(__xludf.dummyfunction("CONCATENATE(ArrayFormula(""; ""&amp;QUERY(Hallazgos!A:F,""SELECT B WHERE E CONTAINS '""&amp;A56&amp;""' LABEL B ''"")))"),"#N/A")</f>
        <v>#N/A</v>
      </c>
    </row>
    <row r="57" customFormat="false" ht="15.75" hidden="false" customHeight="true" outlineLevel="0" collapsed="false">
      <c r="A57" s="36" t="s">
        <v>157</v>
      </c>
      <c r="B57" s="36" t="s">
        <v>364</v>
      </c>
      <c r="C57" s="37" t="s">
        <v>13</v>
      </c>
      <c r="D57" s="38" t="s">
        <v>352</v>
      </c>
      <c r="E57" s="38" t="s">
        <v>116</v>
      </c>
      <c r="F57" s="38" t="s">
        <v>73</v>
      </c>
      <c r="G57" s="39" t="s">
        <v>17</v>
      </c>
      <c r="H57" s="39" t="s">
        <v>17</v>
      </c>
      <c r="I57" s="39" t="s">
        <v>17</v>
      </c>
      <c r="J57" s="39" t="str">
        <f aca="false">IF(G57="Sí", IF(H57="Sí", "DP", "SP"), IF(H57="Sí", "SD", "-"))</f>
        <v>-</v>
      </c>
      <c r="K57" s="35" t="str">
        <f aca="false">IF(IFERROR(L57,7)=7,"",RIGHT(L57,LEN(L57)-2)&amp;".")</f>
        <v>/A.</v>
      </c>
      <c r="L57" s="35" t="str">
        <f aca="false">IFERROR(__xludf.dummyfunction("CONCATENATE(ArrayFormula(""; ""&amp;QUERY(Hallazgos!A:F,""SELECT B WHERE E CONTAINS '""&amp;A57&amp;""' LABEL B ''"")))"),"#N/A")</f>
        <v>#N/A</v>
      </c>
    </row>
    <row r="58" customFormat="false" ht="15.75" hidden="false" customHeight="true" outlineLevel="0" collapsed="false">
      <c r="A58" s="40" t="s">
        <v>159</v>
      </c>
      <c r="B58" s="36" t="s">
        <v>366</v>
      </c>
      <c r="C58" s="37" t="s">
        <v>41</v>
      </c>
      <c r="D58" s="38" t="s">
        <v>352</v>
      </c>
      <c r="E58" s="38" t="s">
        <v>81</v>
      </c>
      <c r="F58" s="38" t="s">
        <v>104</v>
      </c>
      <c r="G58" s="39" t="s">
        <v>17</v>
      </c>
      <c r="H58" s="39" t="s">
        <v>17</v>
      </c>
      <c r="I58" s="39" t="s">
        <v>17</v>
      </c>
      <c r="J58" s="39" t="str">
        <f aca="false">IF(G58="Sí", IF(H58="Sí", "DP", "SP"), IF(H58="Sí", "SD", "-"))</f>
        <v>-</v>
      </c>
      <c r="K58" s="35" t="str">
        <f aca="false">IF(IFERROR(L58,7)=7,"",RIGHT(L58,LEN(L58)-2)&amp;".")</f>
        <v>/A.</v>
      </c>
      <c r="L58" s="35" t="str">
        <f aca="false">IFERROR(__xludf.dummyfunction("CONCATENATE(ArrayFormula(""; ""&amp;QUERY(Hallazgos!A:F,""SELECT B WHERE E CONTAINS '""&amp;A58&amp;""' LABEL B ''"")))"),"#N/A")</f>
        <v>#N/A</v>
      </c>
    </row>
    <row r="59" customFormat="false" ht="15.75" hidden="false" customHeight="true" outlineLevel="0" collapsed="false">
      <c r="A59" s="40" t="s">
        <v>161</v>
      </c>
      <c r="B59" s="36" t="s">
        <v>368</v>
      </c>
      <c r="C59" s="37" t="s">
        <v>41</v>
      </c>
      <c r="D59" s="38" t="s">
        <v>352</v>
      </c>
      <c r="E59" s="38" t="s">
        <v>116</v>
      </c>
      <c r="F59" s="38" t="s">
        <v>73</v>
      </c>
      <c r="G59" s="39" t="s">
        <v>17</v>
      </c>
      <c r="H59" s="39" t="s">
        <v>17</v>
      </c>
      <c r="I59" s="39" t="s">
        <v>17</v>
      </c>
      <c r="J59" s="39" t="str">
        <f aca="false">IF(G59="Sí", IF(H59="Sí", "DP", "SP"), IF(H59="Sí", "SD", "-"))</f>
        <v>-</v>
      </c>
      <c r="K59" s="35" t="str">
        <f aca="false">IF(IFERROR(L59,7)=7,"",RIGHT(L59,LEN(L59)-2)&amp;".")</f>
        <v>/A.</v>
      </c>
      <c r="L59" s="35" t="str">
        <f aca="false">IFERROR(__xludf.dummyfunction("CONCATENATE(ArrayFormula(""; ""&amp;QUERY(Hallazgos!A:F,""SELECT B WHERE E CONTAINS '""&amp;A59&amp;""' LABEL B ''"")))"),"#N/A")</f>
        <v>#N/A</v>
      </c>
    </row>
    <row r="60" customFormat="false" ht="15.75" hidden="false" customHeight="true" outlineLevel="0" collapsed="false">
      <c r="A60" s="36" t="s">
        <v>163</v>
      </c>
      <c r="B60" s="36" t="s">
        <v>799</v>
      </c>
      <c r="C60" s="37" t="s">
        <v>41</v>
      </c>
      <c r="D60" s="38" t="s">
        <v>352</v>
      </c>
      <c r="E60" s="38" t="s">
        <v>116</v>
      </c>
      <c r="F60" s="38" t="s">
        <v>73</v>
      </c>
      <c r="G60" s="39" t="s">
        <v>17</v>
      </c>
      <c r="H60" s="39" t="s">
        <v>17</v>
      </c>
      <c r="I60" s="39" t="s">
        <v>17</v>
      </c>
      <c r="J60" s="39" t="str">
        <f aca="false">IF(G60="Sí", IF(H60="Sí", "DP", "SP"), IF(H60="Sí", "SD", "-"))</f>
        <v>-</v>
      </c>
      <c r="K60" s="35" t="str">
        <f aca="false">IF(IFERROR(L60,7)=7,"",RIGHT(L60,LEN(L60)-2)&amp;".")</f>
        <v>/A.</v>
      </c>
      <c r="L60" s="35" t="str">
        <f aca="false">IFERROR(__xludf.dummyfunction("CONCATENATE(ArrayFormula(""; ""&amp;QUERY(Hallazgos!A:F,""SELECT B WHERE E CONTAINS '""&amp;A60&amp;""' LABEL B ''"")))"),"#N/A")</f>
        <v>#N/A</v>
      </c>
    </row>
    <row r="61" customFormat="false" ht="15.75" hidden="false" customHeight="true" outlineLevel="0" collapsed="false">
      <c r="A61" s="36" t="s">
        <v>165</v>
      </c>
      <c r="B61" s="36" t="s">
        <v>138</v>
      </c>
      <c r="C61" s="37" t="s">
        <v>38</v>
      </c>
      <c r="D61" s="38" t="s">
        <v>535</v>
      </c>
      <c r="E61" s="38" t="s">
        <v>76</v>
      </c>
      <c r="F61" s="38" t="s">
        <v>73</v>
      </c>
      <c r="G61" s="39" t="s">
        <v>17</v>
      </c>
      <c r="H61" s="39" t="s">
        <v>17</v>
      </c>
      <c r="I61" s="39" t="s">
        <v>17</v>
      </c>
      <c r="J61" s="39" t="str">
        <f aca="false">IF(G61="Sí", IF(H61="Sí", "DP", "SP"), IF(H61="Sí", "SD", "-"))</f>
        <v>-</v>
      </c>
      <c r="K61" s="35" t="str">
        <f aca="false">IF(IFERROR(L61,7)=7,"",RIGHT(L61,LEN(L61)-2)&amp;".")</f>
        <v>/A.</v>
      </c>
      <c r="L61" s="35" t="str">
        <f aca="false">IFERROR(__xludf.dummyfunction("CONCATENATE(ArrayFormula(""; ""&amp;QUERY(Hallazgos!A:F,""SELECT B WHERE E CONTAINS '""&amp;A61&amp;""' LABEL B ''"")))"),"#N/A")</f>
        <v>#N/A</v>
      </c>
    </row>
    <row r="62" customFormat="false" ht="15.75" hidden="false" customHeight="true" outlineLevel="0" collapsed="false">
      <c r="A62" s="36" t="s">
        <v>167</v>
      </c>
      <c r="B62" s="36" t="s">
        <v>800</v>
      </c>
      <c r="C62" s="37" t="s">
        <v>41</v>
      </c>
      <c r="D62" s="38" t="s">
        <v>103</v>
      </c>
      <c r="E62" s="38" t="s">
        <v>116</v>
      </c>
      <c r="F62" s="38" t="s">
        <v>73</v>
      </c>
      <c r="G62" s="39" t="s">
        <v>17</v>
      </c>
      <c r="H62" s="39" t="s">
        <v>17</v>
      </c>
      <c r="I62" s="39" t="s">
        <v>17</v>
      </c>
      <c r="J62" s="39" t="str">
        <f aca="false">IF(G62="Sí", IF(H62="Sí", "DP", "SP"), IF(H62="Sí", "SD", "-"))</f>
        <v>-</v>
      </c>
      <c r="K62" s="35" t="str">
        <f aca="false">IF(IFERROR(L62,7)=7,"",RIGHT(L62,LEN(L62)-2)&amp;".")</f>
        <v>/A.</v>
      </c>
      <c r="L62" s="35" t="str">
        <f aca="false">IFERROR(__xludf.dummyfunction("CONCATENATE(ArrayFormula(""; ""&amp;QUERY(Hallazgos!A:F,""SELECT B WHERE E CONTAINS '""&amp;A62&amp;""' LABEL B ''"")))"),"#N/A")</f>
        <v>#N/A</v>
      </c>
    </row>
    <row r="63" customFormat="false" ht="15.75" hidden="false" customHeight="true" outlineLevel="0" collapsed="false">
      <c r="A63" s="40" t="s">
        <v>169</v>
      </c>
      <c r="B63" s="36" t="s">
        <v>122</v>
      </c>
      <c r="C63" s="37" t="s">
        <v>41</v>
      </c>
      <c r="D63" s="38" t="s">
        <v>103</v>
      </c>
      <c r="E63" s="38" t="s">
        <v>116</v>
      </c>
      <c r="F63" s="38" t="s">
        <v>73</v>
      </c>
      <c r="G63" s="39" t="s">
        <v>17</v>
      </c>
      <c r="H63" s="39" t="s">
        <v>17</v>
      </c>
      <c r="I63" s="39" t="s">
        <v>17</v>
      </c>
      <c r="J63" s="39" t="str">
        <f aca="false">IF(G63="Sí", IF(H63="Sí", "DP", "SP"), IF(H63="Sí", "SD", "-"))</f>
        <v>-</v>
      </c>
      <c r="K63" s="35" t="str">
        <f aca="false">IF(IFERROR(L63,7)=7,"",RIGHT(L63,LEN(L63)-2)&amp;".")</f>
        <v>/A.</v>
      </c>
      <c r="L63" s="35" t="str">
        <f aca="false">IFERROR(__xludf.dummyfunction("CONCATENATE(ArrayFormula(""; ""&amp;QUERY(Hallazgos!A:F,""SELECT B WHERE E CONTAINS '""&amp;A63&amp;""' LABEL B ''"")))"),"#N/A")</f>
        <v>#N/A</v>
      </c>
    </row>
    <row r="64" customFormat="false" ht="15.75" hidden="false" customHeight="true" outlineLevel="0" collapsed="false">
      <c r="A64" s="36" t="s">
        <v>171</v>
      </c>
      <c r="B64" s="36" t="s">
        <v>372</v>
      </c>
      <c r="C64" s="37" t="s">
        <v>41</v>
      </c>
      <c r="D64" s="38" t="s">
        <v>352</v>
      </c>
      <c r="E64" s="38" t="s">
        <v>132</v>
      </c>
      <c r="F64" s="38" t="s">
        <v>73</v>
      </c>
      <c r="G64" s="39" t="s">
        <v>17</v>
      </c>
      <c r="H64" s="39" t="s">
        <v>17</v>
      </c>
      <c r="I64" s="39" t="s">
        <v>17</v>
      </c>
      <c r="J64" s="39" t="str">
        <f aca="false">IF(G64="Sí", IF(H64="Sí", "DP", "SP"), IF(H64="Sí", "SD", "-"))</f>
        <v>-</v>
      </c>
      <c r="K64" s="35" t="str">
        <f aca="false">IF(IFERROR(L64,7)=7,"",RIGHT(L64,LEN(L64)-2)&amp;".")</f>
        <v>/A.</v>
      </c>
      <c r="L64" s="35" t="str">
        <f aca="false">IFERROR(__xludf.dummyfunction("CONCATENATE(ArrayFormula(""; ""&amp;QUERY(Hallazgos!A:F,""SELECT B WHERE E CONTAINS '""&amp;A64&amp;""' LABEL B ''"")))"),"#N/A")</f>
        <v>#N/A</v>
      </c>
    </row>
    <row r="65" customFormat="false" ht="15.75" hidden="false" customHeight="true" outlineLevel="0" collapsed="false">
      <c r="A65" s="36" t="s">
        <v>173</v>
      </c>
      <c r="B65" s="36" t="s">
        <v>374</v>
      </c>
      <c r="C65" s="37" t="s">
        <v>41</v>
      </c>
      <c r="D65" s="38" t="s">
        <v>352</v>
      </c>
      <c r="E65" s="38" t="s">
        <v>132</v>
      </c>
      <c r="F65" s="38" t="s">
        <v>73</v>
      </c>
      <c r="G65" s="39" t="s">
        <v>17</v>
      </c>
      <c r="H65" s="39" t="s">
        <v>17</v>
      </c>
      <c r="I65" s="39" t="s">
        <v>17</v>
      </c>
      <c r="J65" s="39" t="str">
        <f aca="false">IF(G65="Sí", IF(H65="Sí", "DP", "SP"), IF(H65="Sí", "SD", "-"))</f>
        <v>-</v>
      </c>
      <c r="K65" s="35" t="str">
        <f aca="false">IF(IFERROR(L65,7)=7,"",RIGHT(L65,LEN(L65)-2)&amp;".")</f>
        <v>/A.</v>
      </c>
      <c r="L65" s="35" t="str">
        <f aca="false">IFERROR(__xludf.dummyfunction("CONCATENATE(ArrayFormula(""; ""&amp;QUERY(Hallazgos!A:F,""SELECT B WHERE E CONTAINS '""&amp;A65&amp;""' LABEL B ''"")))"),"#N/A")</f>
        <v>#N/A</v>
      </c>
    </row>
    <row r="66" customFormat="false" ht="15.75" hidden="false" customHeight="true" outlineLevel="0" collapsed="false">
      <c r="A66" s="36" t="s">
        <v>175</v>
      </c>
      <c r="B66" s="36" t="s">
        <v>376</v>
      </c>
      <c r="C66" s="37" t="s">
        <v>41</v>
      </c>
      <c r="D66" s="38" t="s">
        <v>352</v>
      </c>
      <c r="E66" s="38" t="s">
        <v>181</v>
      </c>
      <c r="F66" s="38" t="s">
        <v>73</v>
      </c>
      <c r="G66" s="39" t="s">
        <v>17</v>
      </c>
      <c r="H66" s="39" t="s">
        <v>17</v>
      </c>
      <c r="I66" s="39" t="s">
        <v>17</v>
      </c>
      <c r="J66" s="39" t="str">
        <f aca="false">IF(G66="Sí", IF(H66="Sí", "DP", "SP"), IF(H66="Sí", "SD", "-"))</f>
        <v>-</v>
      </c>
      <c r="K66" s="35" t="str">
        <f aca="false">IF(IFERROR(L66,7)=7,"",RIGHT(L66,LEN(L66)-2)&amp;".")</f>
        <v>/A.</v>
      </c>
      <c r="L66" s="35" t="str">
        <f aca="false">IFERROR(__xludf.dummyfunction("CONCATENATE(ArrayFormula(""; ""&amp;QUERY(Hallazgos!A:F,""SELECT B WHERE E CONTAINS '""&amp;A66&amp;""' LABEL B ''"")))"),"#N/A")</f>
        <v>#N/A</v>
      </c>
    </row>
    <row r="67" customFormat="false" ht="15.75" hidden="false" customHeight="true" outlineLevel="0" collapsed="false">
      <c r="A67" s="36" t="s">
        <v>177</v>
      </c>
      <c r="B67" s="36" t="s">
        <v>801</v>
      </c>
      <c r="C67" s="37" t="s">
        <v>41</v>
      </c>
      <c r="D67" s="38" t="s">
        <v>352</v>
      </c>
      <c r="E67" s="38" t="s">
        <v>181</v>
      </c>
      <c r="F67" s="38" t="s">
        <v>73</v>
      </c>
      <c r="G67" s="39" t="s">
        <v>17</v>
      </c>
      <c r="H67" s="39" t="s">
        <v>17</v>
      </c>
      <c r="I67" s="39" t="s">
        <v>17</v>
      </c>
      <c r="J67" s="39" t="str">
        <f aca="false">IF(G67="Sí", IF(H67="Sí", "DP", "SP"), IF(H67="Sí", "SD", "-"))</f>
        <v>-</v>
      </c>
      <c r="K67" s="35" t="str">
        <f aca="false">IF(IFERROR(L67,7)=7,"",RIGHT(L67,LEN(L67)-2)&amp;".")</f>
        <v>/A.</v>
      </c>
      <c r="L67" s="35" t="str">
        <f aca="false">IFERROR(__xludf.dummyfunction("CONCATENATE(ArrayFormula(""; ""&amp;QUERY(Hallazgos!A:F,""SELECT B WHERE E CONTAINS '""&amp;A67&amp;""' LABEL B ''"")))"),"#N/A")</f>
        <v>#N/A</v>
      </c>
    </row>
    <row r="68" customFormat="false" ht="15.75" hidden="false" customHeight="true" outlineLevel="0" collapsed="false">
      <c r="A68" s="36" t="s">
        <v>179</v>
      </c>
      <c r="B68" s="36" t="s">
        <v>378</v>
      </c>
      <c r="C68" s="37" t="s">
        <v>41</v>
      </c>
      <c r="D68" s="38" t="s">
        <v>352</v>
      </c>
      <c r="E68" s="38" t="s">
        <v>132</v>
      </c>
      <c r="F68" s="38" t="s">
        <v>73</v>
      </c>
      <c r="G68" s="39" t="s">
        <v>17</v>
      </c>
      <c r="H68" s="39" t="s">
        <v>17</v>
      </c>
      <c r="I68" s="39" t="s">
        <v>17</v>
      </c>
      <c r="J68" s="39" t="str">
        <f aca="false">IF(G68="Sí", IF(H68="Sí", "DP", "SP"), IF(H68="Sí", "SD", "-"))</f>
        <v>-</v>
      </c>
      <c r="K68" s="35" t="str">
        <f aca="false">IF(IFERROR(L68,7)=7,"",RIGHT(L68,LEN(L68)-2)&amp;".")</f>
        <v>/A.</v>
      </c>
      <c r="L68" s="35" t="str">
        <f aca="false">IFERROR(__xludf.dummyfunction("CONCATENATE(ArrayFormula(""; ""&amp;QUERY(Hallazgos!A:F,""SELECT B WHERE E CONTAINS '""&amp;A68&amp;""' LABEL B ''"")))"),"#N/A")</f>
        <v>#N/A</v>
      </c>
    </row>
    <row r="69" customFormat="false" ht="15.75" hidden="false" customHeight="true" outlineLevel="0" collapsed="false">
      <c r="A69" s="36" t="s">
        <v>182</v>
      </c>
      <c r="B69" s="36" t="s">
        <v>802</v>
      </c>
      <c r="C69" s="37" t="s">
        <v>41</v>
      </c>
      <c r="D69" s="38" t="s">
        <v>352</v>
      </c>
      <c r="E69" s="38" t="s">
        <v>181</v>
      </c>
      <c r="F69" s="38" t="s">
        <v>73</v>
      </c>
      <c r="G69" s="39" t="s">
        <v>17</v>
      </c>
      <c r="H69" s="39" t="s">
        <v>17</v>
      </c>
      <c r="I69" s="39" t="s">
        <v>17</v>
      </c>
      <c r="J69" s="39" t="str">
        <f aca="false">IF(G69="Sí", IF(H69="Sí", "DP", "SP"), IF(H69="Sí", "SD", "-"))</f>
        <v>-</v>
      </c>
      <c r="K69" s="35" t="str">
        <f aca="false">IF(IFERROR(L69,7)=7,"",RIGHT(L69,LEN(L69)-2)&amp;".")</f>
        <v>/A.</v>
      </c>
      <c r="L69" s="35" t="str">
        <f aca="false">IFERROR(__xludf.dummyfunction("CONCATENATE(ArrayFormula(""; ""&amp;QUERY(Hallazgos!A:F,""SELECT B WHERE E CONTAINS '""&amp;A69&amp;""' LABEL B ''"")))"),"#N/A")</f>
        <v>#N/A</v>
      </c>
    </row>
    <row r="70" customFormat="false" ht="15.75" hidden="false" customHeight="true" outlineLevel="0" collapsed="false">
      <c r="A70" s="36" t="s">
        <v>185</v>
      </c>
      <c r="B70" s="36" t="s">
        <v>382</v>
      </c>
      <c r="C70" s="37" t="s">
        <v>41</v>
      </c>
      <c r="D70" s="38" t="s">
        <v>352</v>
      </c>
      <c r="E70" s="38" t="s">
        <v>132</v>
      </c>
      <c r="F70" s="38" t="s">
        <v>73</v>
      </c>
      <c r="G70" s="39" t="s">
        <v>17</v>
      </c>
      <c r="H70" s="39" t="s">
        <v>17</v>
      </c>
      <c r="I70" s="39" t="s">
        <v>17</v>
      </c>
      <c r="J70" s="39" t="str">
        <f aca="false">IF(G70="Sí", IF(H70="Sí", "DP", "SP"), IF(H70="Sí", "SD", "-"))</f>
        <v>-</v>
      </c>
      <c r="K70" s="35" t="str">
        <f aca="false">IF(IFERROR(L70,7)=7,"",RIGHT(L70,LEN(L70)-2)&amp;".")</f>
        <v>/A.</v>
      </c>
      <c r="L70" s="35" t="str">
        <f aca="false">IFERROR(__xludf.dummyfunction("CONCATENATE(ArrayFormula(""; ""&amp;QUERY(Hallazgos!A:F,""SELECT B WHERE E CONTAINS '""&amp;A70&amp;""' LABEL B ''"")))"),"#N/A")</f>
        <v>#N/A</v>
      </c>
    </row>
    <row r="71" customFormat="false" ht="15.75" hidden="false" customHeight="true" outlineLevel="0" collapsed="false">
      <c r="A71" s="36" t="s">
        <v>190</v>
      </c>
      <c r="B71" s="36" t="s">
        <v>384</v>
      </c>
      <c r="C71" s="37" t="s">
        <v>41</v>
      </c>
      <c r="D71" s="38" t="s">
        <v>352</v>
      </c>
      <c r="E71" s="38" t="s">
        <v>116</v>
      </c>
      <c r="F71" s="38" t="s">
        <v>73</v>
      </c>
      <c r="G71" s="39" t="s">
        <v>17</v>
      </c>
      <c r="H71" s="39" t="s">
        <v>17</v>
      </c>
      <c r="I71" s="39" t="s">
        <v>17</v>
      </c>
      <c r="J71" s="39" t="str">
        <f aca="false">IF(G71="Sí", IF(H71="Sí", "DP", "SP"), IF(H71="Sí", "SD", "-"))</f>
        <v>-</v>
      </c>
      <c r="K71" s="35" t="str">
        <f aca="false">IF(IFERROR(L71,7)=7,"",RIGHT(L71,LEN(L71)-2)&amp;".")</f>
        <v>/A.</v>
      </c>
      <c r="L71" s="35" t="str">
        <f aca="false">IFERROR(__xludf.dummyfunction("CONCATENATE(ArrayFormula(""; ""&amp;QUERY(Hallazgos!A:F,""SELECT B WHERE E CONTAINS '""&amp;A71&amp;""' LABEL B ''"")))"),"#N/A")</f>
        <v>#N/A</v>
      </c>
    </row>
    <row r="72" customFormat="false" ht="15.75" hidden="false" customHeight="true" outlineLevel="0" collapsed="false">
      <c r="A72" s="36" t="s">
        <v>193</v>
      </c>
      <c r="B72" s="36" t="s">
        <v>803</v>
      </c>
      <c r="C72" s="37" t="s">
        <v>41</v>
      </c>
      <c r="D72" s="38" t="s">
        <v>352</v>
      </c>
      <c r="E72" s="38" t="s">
        <v>132</v>
      </c>
      <c r="F72" s="38" t="s">
        <v>73</v>
      </c>
      <c r="G72" s="39" t="s">
        <v>17</v>
      </c>
      <c r="H72" s="39" t="s">
        <v>17</v>
      </c>
      <c r="I72" s="39" t="s">
        <v>17</v>
      </c>
      <c r="J72" s="39" t="str">
        <f aca="false">IF(G72="Sí", IF(H72="Sí", "DP", "SP"), IF(H72="Sí", "SD", "-"))</f>
        <v>-</v>
      </c>
      <c r="K72" s="35" t="str">
        <f aca="false">IF(IFERROR(L72,7)=7,"",RIGHT(L72,LEN(L72)-2)&amp;".")</f>
        <v>/A.</v>
      </c>
      <c r="L72" s="35" t="str">
        <f aca="false">IFERROR(__xludf.dummyfunction("CONCATENATE(ArrayFormula(""; ""&amp;QUERY(Hallazgos!A:F,""SELECT B WHERE E CONTAINS '""&amp;A72&amp;""' LABEL B ''"")))"),"#N/A")</f>
        <v>#N/A</v>
      </c>
    </row>
    <row r="73" customFormat="false" ht="15.75" hidden="false" customHeight="true" outlineLevel="0" collapsed="false">
      <c r="A73" s="36" t="s">
        <v>195</v>
      </c>
      <c r="B73" s="36" t="s">
        <v>388</v>
      </c>
      <c r="C73" s="37" t="s">
        <v>41</v>
      </c>
      <c r="D73" s="38" t="s">
        <v>352</v>
      </c>
      <c r="E73" s="38" t="s">
        <v>81</v>
      </c>
      <c r="F73" s="38" t="s">
        <v>104</v>
      </c>
      <c r="G73" s="39" t="s">
        <v>17</v>
      </c>
      <c r="H73" s="39" t="s">
        <v>17</v>
      </c>
      <c r="I73" s="39" t="s">
        <v>17</v>
      </c>
      <c r="J73" s="39" t="str">
        <f aca="false">IF(G73="Sí", IF(H73="Sí", "DP", "SP"), IF(H73="Sí", "SD", "-"))</f>
        <v>-</v>
      </c>
      <c r="K73" s="35" t="str">
        <f aca="false">IF(IFERROR(L73,7)=7,"",RIGHT(L73,LEN(L73)-2)&amp;".")</f>
        <v>/A.</v>
      </c>
      <c r="L73" s="35" t="str">
        <f aca="false">IFERROR(__xludf.dummyfunction("CONCATENATE(ArrayFormula(""; ""&amp;QUERY(Hallazgos!A:F,""SELECT B WHERE E CONTAINS '""&amp;A73&amp;""' LABEL B ''"")))"),"#N/A")</f>
        <v>#N/A</v>
      </c>
    </row>
    <row r="74" customFormat="false" ht="15.75" hidden="false" customHeight="true" outlineLevel="0" collapsed="false">
      <c r="A74" s="36" t="s">
        <v>197</v>
      </c>
      <c r="B74" s="36" t="s">
        <v>186</v>
      </c>
      <c r="C74" s="37" t="s">
        <v>13</v>
      </c>
      <c r="D74" s="38" t="s">
        <v>804</v>
      </c>
      <c r="E74" s="38" t="s">
        <v>111</v>
      </c>
      <c r="F74" s="38" t="s">
        <v>55</v>
      </c>
      <c r="G74" s="39" t="s">
        <v>17</v>
      </c>
      <c r="H74" s="39" t="s">
        <v>17</v>
      </c>
      <c r="I74" s="39" t="s">
        <v>17</v>
      </c>
      <c r="J74" s="39" t="str">
        <f aca="false">IF(G74="Sí", IF(H74="Sí", "DP", "SP"), IF(H74="Sí", "SD", "-"))</f>
        <v>-</v>
      </c>
      <c r="K74" s="35" t="str">
        <f aca="false">IF(IFERROR(L74,7)=7,"",RIGHT(L74,LEN(L74)-2)&amp;".")</f>
        <v>/A.</v>
      </c>
      <c r="L74" s="35" t="str">
        <f aca="false">IFERROR(__xludf.dummyfunction("CONCATENATE(ArrayFormula(""; ""&amp;QUERY(Hallazgos!A:F,""SELECT B WHERE E CONTAINS '""&amp;A74&amp;""' LABEL B ''"")))"),"#N/A")</f>
        <v>#N/A</v>
      </c>
    </row>
    <row r="75" customFormat="false" ht="15.75" hidden="false" customHeight="true" outlineLevel="0" collapsed="false">
      <c r="A75" s="36" t="s">
        <v>199</v>
      </c>
      <c r="B75" s="36" t="s">
        <v>273</v>
      </c>
      <c r="C75" s="37" t="s">
        <v>13</v>
      </c>
      <c r="D75" s="38" t="s">
        <v>274</v>
      </c>
      <c r="E75" s="38" t="s">
        <v>116</v>
      </c>
      <c r="F75" s="38" t="s">
        <v>55</v>
      </c>
      <c r="G75" s="39" t="s">
        <v>17</v>
      </c>
      <c r="H75" s="39" t="s">
        <v>17</v>
      </c>
      <c r="I75" s="39" t="s">
        <v>17</v>
      </c>
      <c r="J75" s="39" t="str">
        <f aca="false">IF(G75="Sí", IF(H75="Sí", "DP", "SP"), IF(H75="Sí", "SD", "-"))</f>
        <v>-</v>
      </c>
      <c r="K75" s="35" t="str">
        <f aca="false">IF(IFERROR(L75,7)=7,"",RIGHT(L75,LEN(L75)-2)&amp;".")</f>
        <v>/A.</v>
      </c>
      <c r="L75" s="35" t="str">
        <f aca="false">IFERROR(__xludf.dummyfunction("CONCATENATE(ArrayFormula(""; ""&amp;QUERY(Hallazgos!A:F,""SELECT B WHERE E CONTAINS '""&amp;A75&amp;""' LABEL B ''"")))"),"#N/A")</f>
        <v>#N/A</v>
      </c>
    </row>
    <row r="76" customFormat="false" ht="15.75" hidden="false" customHeight="true" outlineLevel="0" collapsed="false">
      <c r="A76" s="36" t="s">
        <v>201</v>
      </c>
      <c r="B76" s="36" t="s">
        <v>805</v>
      </c>
      <c r="C76" s="37" t="s">
        <v>13</v>
      </c>
      <c r="D76" s="38" t="s">
        <v>274</v>
      </c>
      <c r="E76" s="38" t="s">
        <v>116</v>
      </c>
      <c r="F76" s="38" t="s">
        <v>55</v>
      </c>
      <c r="G76" s="39" t="s">
        <v>17</v>
      </c>
      <c r="H76" s="39" t="s">
        <v>17</v>
      </c>
      <c r="I76" s="39" t="s">
        <v>17</v>
      </c>
      <c r="J76" s="39" t="str">
        <f aca="false">IF(G76="Sí", IF(H76="Sí", "DP", "SP"), IF(H76="Sí", "SD", "-"))</f>
        <v>-</v>
      </c>
      <c r="K76" s="35" t="str">
        <f aca="false">IF(IFERROR(L76,7)=7,"",RIGHT(L76,LEN(L76)-2)&amp;".")</f>
        <v>/A.</v>
      </c>
      <c r="L76" s="35" t="str">
        <f aca="false">IFERROR(__xludf.dummyfunction("CONCATENATE(ArrayFormula(""; ""&amp;QUERY(Hallazgos!A:F,""SELECT B WHERE E CONTAINS '""&amp;A76&amp;""' LABEL B ''"")))"),"#N/A")</f>
        <v>#N/A</v>
      </c>
    </row>
    <row r="77" customFormat="false" ht="15.75" hidden="false" customHeight="true" outlineLevel="0" collapsed="false">
      <c r="A77" s="36" t="s">
        <v>203</v>
      </c>
      <c r="B77" s="36" t="s">
        <v>806</v>
      </c>
      <c r="C77" s="37" t="s">
        <v>13</v>
      </c>
      <c r="D77" s="38" t="s">
        <v>274</v>
      </c>
      <c r="E77" s="38" t="s">
        <v>116</v>
      </c>
      <c r="F77" s="38" t="s">
        <v>55</v>
      </c>
      <c r="G77" s="39" t="s">
        <v>17</v>
      </c>
      <c r="H77" s="39" t="s">
        <v>17</v>
      </c>
      <c r="I77" s="39" t="s">
        <v>17</v>
      </c>
      <c r="J77" s="39" t="str">
        <f aca="false">IF(G77="Sí", IF(H77="Sí", "DP", "SP"), IF(H77="Sí", "SD", "-"))</f>
        <v>-</v>
      </c>
      <c r="K77" s="35" t="str">
        <f aca="false">IF(IFERROR(L77,7)=7,"",RIGHT(L77,LEN(L77)-2)&amp;".")</f>
        <v>/A.</v>
      </c>
      <c r="L77" s="35" t="str">
        <f aca="false">IFERROR(__xludf.dummyfunction("CONCATENATE(ArrayFormula(""; ""&amp;QUERY(Hallazgos!A:F,""SELECT B WHERE E CONTAINS '""&amp;A77&amp;""' LABEL B ''"")))"),"#N/A")</f>
        <v>#N/A</v>
      </c>
    </row>
    <row r="78" customFormat="false" ht="15.75" hidden="false" customHeight="true" outlineLevel="0" collapsed="false">
      <c r="A78" s="36" t="s">
        <v>205</v>
      </c>
      <c r="B78" s="36" t="s">
        <v>280</v>
      </c>
      <c r="C78" s="37" t="s">
        <v>13</v>
      </c>
      <c r="D78" s="38" t="s">
        <v>274</v>
      </c>
      <c r="E78" s="38" t="s">
        <v>116</v>
      </c>
      <c r="F78" s="38" t="s">
        <v>55</v>
      </c>
      <c r="G78" s="39" t="s">
        <v>17</v>
      </c>
      <c r="H78" s="39" t="s">
        <v>17</v>
      </c>
      <c r="I78" s="39" t="s">
        <v>17</v>
      </c>
      <c r="J78" s="39" t="str">
        <f aca="false">IF(G78="Sí", IF(H78="Sí", "DP", "SP"), IF(H78="Sí", "SD", "-"))</f>
        <v>-</v>
      </c>
      <c r="K78" s="35" t="str">
        <f aca="false">IF(IFERROR(L78,7)=7,"",RIGHT(L78,LEN(L78)-2)&amp;".")</f>
        <v>/A.</v>
      </c>
      <c r="L78" s="35" t="str">
        <f aca="false">IFERROR(__xludf.dummyfunction("CONCATENATE(ArrayFormula(""; ""&amp;QUERY(Hallazgos!A:F,""SELECT B WHERE E CONTAINS '""&amp;A78&amp;""' LABEL B ''"")))"),"#N/A")</f>
        <v>#N/A</v>
      </c>
    </row>
    <row r="79" customFormat="false" ht="15.75" hidden="false" customHeight="true" outlineLevel="0" collapsed="false">
      <c r="A79" s="36" t="s">
        <v>207</v>
      </c>
      <c r="B79" s="36" t="s">
        <v>807</v>
      </c>
      <c r="C79" s="37" t="s">
        <v>41</v>
      </c>
      <c r="D79" s="38" t="s">
        <v>274</v>
      </c>
      <c r="E79" s="38" t="s">
        <v>81</v>
      </c>
      <c r="F79" s="38" t="s">
        <v>55</v>
      </c>
      <c r="G79" s="39" t="s">
        <v>17</v>
      </c>
      <c r="H79" s="39" t="s">
        <v>17</v>
      </c>
      <c r="I79" s="39" t="s">
        <v>17</v>
      </c>
      <c r="J79" s="39" t="str">
        <f aca="false">IF(G79="Sí", IF(H79="Sí", "DP", "SP"), IF(H79="Sí", "SD", "-"))</f>
        <v>-</v>
      </c>
      <c r="K79" s="35" t="str">
        <f aca="false">IF(IFERROR(L79,7)=7,"",RIGHT(L79,LEN(L79)-2)&amp;".")</f>
        <v>/A.</v>
      </c>
      <c r="L79" s="35" t="str">
        <f aca="false">IFERROR(__xludf.dummyfunction("CONCATENATE(ArrayFormula(""; ""&amp;QUERY(Hallazgos!A:F,""SELECT B WHERE E CONTAINS '""&amp;A79&amp;""' LABEL B ''"")))"),"#N/A")</f>
        <v>#N/A</v>
      </c>
    </row>
    <row r="80" customFormat="false" ht="15.75" hidden="false" customHeight="true" outlineLevel="0" collapsed="false">
      <c r="A80" s="36" t="s">
        <v>209</v>
      </c>
      <c r="B80" s="36" t="s">
        <v>284</v>
      </c>
      <c r="C80" s="37" t="s">
        <v>41</v>
      </c>
      <c r="D80" s="38" t="s">
        <v>274</v>
      </c>
      <c r="E80" s="38" t="s">
        <v>285</v>
      </c>
      <c r="F80" s="38" t="s">
        <v>55</v>
      </c>
      <c r="G80" s="39" t="s">
        <v>17</v>
      </c>
      <c r="H80" s="39" t="s">
        <v>17</v>
      </c>
      <c r="I80" s="39" t="s">
        <v>17</v>
      </c>
      <c r="J80" s="39" t="str">
        <f aca="false">IF(G80="Sí", IF(H80="Sí", "DP", "SP"), IF(H80="Sí", "SD", "-"))</f>
        <v>-</v>
      </c>
      <c r="K80" s="35" t="str">
        <f aca="false">IF(IFERROR(L80,7)=7,"",RIGHT(L80,LEN(L80)-2)&amp;".")</f>
        <v>/A.</v>
      </c>
      <c r="L80" s="35" t="str">
        <f aca="false">IFERROR(__xludf.dummyfunction("CONCATENATE(ArrayFormula(""; ""&amp;QUERY(Hallazgos!A:F,""SELECT B WHERE E CONTAINS '""&amp;A80&amp;""' LABEL B ''"")))"),"#N/A")</f>
        <v>#N/A</v>
      </c>
    </row>
    <row r="81" customFormat="false" ht="15.75" hidden="false" customHeight="true" outlineLevel="0" collapsed="false">
      <c r="A81" s="36" t="s">
        <v>211</v>
      </c>
      <c r="B81" s="36" t="s">
        <v>300</v>
      </c>
      <c r="C81" s="37" t="s">
        <v>13</v>
      </c>
      <c r="D81" s="38" t="s">
        <v>785</v>
      </c>
      <c r="E81" s="38" t="s">
        <v>81</v>
      </c>
      <c r="F81" s="38" t="s">
        <v>55</v>
      </c>
      <c r="G81" s="39" t="s">
        <v>17</v>
      </c>
      <c r="H81" s="39" t="s">
        <v>17</v>
      </c>
      <c r="I81" s="39" t="s">
        <v>17</v>
      </c>
      <c r="J81" s="39" t="str">
        <f aca="false">IF(G81="Sí", IF(H81="Sí", "DP", "SP"), IF(H81="Sí", "SD", "-"))</f>
        <v>-</v>
      </c>
      <c r="K81" s="35" t="str">
        <f aca="false">IF(IFERROR(L81,7)=7,"",RIGHT(L81,LEN(L81)-2)&amp;".")</f>
        <v>/A.</v>
      </c>
      <c r="L81" s="35" t="str">
        <f aca="false">IFERROR(__xludf.dummyfunction("CONCATENATE(ArrayFormula(""; ""&amp;QUERY(Hallazgos!A:F,""SELECT B WHERE E CONTAINS '""&amp;A81&amp;""' LABEL B ''"")))"),"#N/A")</f>
        <v>#N/A</v>
      </c>
    </row>
    <row r="82" customFormat="false" ht="15.75" hidden="false" customHeight="true" outlineLevel="0" collapsed="false">
      <c r="A82" s="36" t="s">
        <v>213</v>
      </c>
      <c r="B82" s="36" t="s">
        <v>302</v>
      </c>
      <c r="C82" s="37" t="s">
        <v>41</v>
      </c>
      <c r="D82" s="38" t="s">
        <v>785</v>
      </c>
      <c r="E82" s="38" t="s">
        <v>76</v>
      </c>
      <c r="F82" s="38" t="s">
        <v>55</v>
      </c>
      <c r="G82" s="39" t="s">
        <v>17</v>
      </c>
      <c r="H82" s="39" t="s">
        <v>17</v>
      </c>
      <c r="I82" s="39" t="s">
        <v>17</v>
      </c>
      <c r="J82" s="39" t="str">
        <f aca="false">IF(G82="Sí", IF(H82="Sí", "DP", "SP"), IF(H82="Sí", "SD", "-"))</f>
        <v>-</v>
      </c>
      <c r="K82" s="35" t="str">
        <f aca="false">IF(IFERROR(L82,7)=7,"",RIGHT(L82,LEN(L82)-2)&amp;".")</f>
        <v>/A.</v>
      </c>
      <c r="L82" s="35" t="str">
        <f aca="false">IFERROR(__xludf.dummyfunction("CONCATENATE(ArrayFormula(""; ""&amp;QUERY(Hallazgos!A:F,""SELECT B WHERE E CONTAINS '""&amp;A82&amp;""' LABEL B ''"")))"),"#N/A")</f>
        <v>#N/A</v>
      </c>
    </row>
    <row r="83" customFormat="false" ht="15.75" hidden="false" customHeight="true" outlineLevel="0" collapsed="false">
      <c r="A83" s="36" t="s">
        <v>215</v>
      </c>
      <c r="B83" s="36" t="s">
        <v>808</v>
      </c>
      <c r="C83" s="37" t="s">
        <v>41</v>
      </c>
      <c r="D83" s="38" t="s">
        <v>785</v>
      </c>
      <c r="E83" s="38" t="s">
        <v>81</v>
      </c>
      <c r="F83" s="38" t="s">
        <v>55</v>
      </c>
      <c r="G83" s="39" t="s">
        <v>17</v>
      </c>
      <c r="H83" s="39" t="s">
        <v>17</v>
      </c>
      <c r="I83" s="39" t="s">
        <v>17</v>
      </c>
      <c r="J83" s="39" t="str">
        <f aca="false">IF(G83="Sí", IF(H83="Sí", "DP", "SP"), IF(H83="Sí", "SD", "-"))</f>
        <v>-</v>
      </c>
      <c r="K83" s="35" t="str">
        <f aca="false">IF(IFERROR(L83,7)=7,"",RIGHT(L83,LEN(L83)-2)&amp;".")</f>
        <v>/A.</v>
      </c>
      <c r="L83" s="35" t="str">
        <f aca="false">IFERROR(__xludf.dummyfunction("CONCATENATE(ArrayFormula(""; ""&amp;QUERY(Hallazgos!A:F,""SELECT B WHERE E CONTAINS '""&amp;A83&amp;""' LABEL B ''"")))"),"#N/A")</f>
        <v>#N/A</v>
      </c>
    </row>
    <row r="84" customFormat="false" ht="15.75" hidden="false" customHeight="true" outlineLevel="0" collapsed="false">
      <c r="A84" s="36" t="s">
        <v>218</v>
      </c>
      <c r="B84" s="36" t="s">
        <v>809</v>
      </c>
      <c r="C84" s="37" t="s">
        <v>41</v>
      </c>
      <c r="D84" s="38" t="s">
        <v>785</v>
      </c>
      <c r="E84" s="38" t="s">
        <v>81</v>
      </c>
      <c r="F84" s="38" t="s">
        <v>55</v>
      </c>
      <c r="G84" s="39" t="s">
        <v>17</v>
      </c>
      <c r="H84" s="39" t="s">
        <v>17</v>
      </c>
      <c r="I84" s="39" t="s">
        <v>17</v>
      </c>
      <c r="J84" s="39" t="str">
        <f aca="false">IF(G84="Sí", IF(H84="Sí", "DP", "SP"), IF(H84="Sí", "SD", "-"))</f>
        <v>-</v>
      </c>
      <c r="K84" s="35" t="str">
        <f aca="false">IF(IFERROR(L84,7)=7,"",RIGHT(L84,LEN(L84)-2)&amp;".")</f>
        <v>/A.</v>
      </c>
      <c r="L84" s="35" t="str">
        <f aca="false">IFERROR(__xludf.dummyfunction("CONCATENATE(ArrayFormula(""; ""&amp;QUERY(Hallazgos!A:F,""SELECT B WHERE E CONTAINS '""&amp;A84&amp;""' LABEL B ''"")))"),"#N/A")</f>
        <v>#N/A</v>
      </c>
    </row>
    <row r="85" customFormat="false" ht="15.75" hidden="false" customHeight="true" outlineLevel="0" collapsed="false">
      <c r="A85" s="36" t="s">
        <v>220</v>
      </c>
      <c r="B85" s="36" t="s">
        <v>810</v>
      </c>
      <c r="C85" s="37" t="s">
        <v>41</v>
      </c>
      <c r="D85" s="38" t="s">
        <v>785</v>
      </c>
      <c r="E85" s="38" t="s">
        <v>81</v>
      </c>
      <c r="F85" s="38" t="s">
        <v>55</v>
      </c>
      <c r="G85" s="39" t="s">
        <v>17</v>
      </c>
      <c r="H85" s="39" t="s">
        <v>17</v>
      </c>
      <c r="I85" s="39" t="s">
        <v>17</v>
      </c>
      <c r="J85" s="39" t="str">
        <f aca="false">IF(G85="Sí", IF(H85="Sí", "DP", "SP"), IF(H85="Sí", "SD", "-"))</f>
        <v>-</v>
      </c>
      <c r="K85" s="35" t="str">
        <f aca="false">IF(IFERROR(L85,7)=7,"",RIGHT(L85,LEN(L85)-2)&amp;".")</f>
        <v>/A.</v>
      </c>
      <c r="L85" s="35" t="str">
        <f aca="false">IFERROR(__xludf.dummyfunction("CONCATENATE(ArrayFormula(""; ""&amp;QUERY(Hallazgos!A:F,""SELECT B WHERE E CONTAINS '""&amp;A85&amp;""' LABEL B ''"")))"),"#N/A")</f>
        <v>#N/A</v>
      </c>
    </row>
    <row r="86" customFormat="false" ht="15.75" hidden="false" customHeight="true" outlineLevel="0" collapsed="false">
      <c r="A86" s="36" t="s">
        <v>224</v>
      </c>
      <c r="B86" s="36" t="s">
        <v>811</v>
      </c>
      <c r="C86" s="37" t="s">
        <v>13</v>
      </c>
      <c r="D86" s="38" t="s">
        <v>785</v>
      </c>
      <c r="E86" s="38" t="s">
        <v>15</v>
      </c>
      <c r="F86" s="38" t="s">
        <v>55</v>
      </c>
      <c r="G86" s="39" t="s">
        <v>17</v>
      </c>
      <c r="H86" s="39" t="s">
        <v>17</v>
      </c>
      <c r="I86" s="39" t="s">
        <v>17</v>
      </c>
      <c r="J86" s="39" t="str">
        <f aca="false">IF(G86="Sí", IF(H86="Sí", "DP", "SP"), IF(H86="Sí", "SD", "-"))</f>
        <v>-</v>
      </c>
      <c r="K86" s="35" t="str">
        <f aca="false">IF(IFERROR(L86,7)=7,"",RIGHT(L86,LEN(L86)-2)&amp;".")</f>
        <v>/A.</v>
      </c>
      <c r="L86" s="35" t="str">
        <f aca="false">IFERROR(__xludf.dummyfunction("CONCATENATE(ArrayFormula(""; ""&amp;QUERY(Hallazgos!A:F,""SELECT B WHERE E CONTAINS '""&amp;A86&amp;""' LABEL B ''"")))"),"#N/A")</f>
        <v>#N/A</v>
      </c>
    </row>
    <row r="87" customFormat="false" ht="15.75" hidden="false" customHeight="true" outlineLevel="0" collapsed="false">
      <c r="A87" s="36" t="s">
        <v>226</v>
      </c>
      <c r="B87" s="36" t="s">
        <v>812</v>
      </c>
      <c r="C87" s="37" t="s">
        <v>13</v>
      </c>
      <c r="D87" s="38" t="s">
        <v>785</v>
      </c>
      <c r="E87" s="38" t="s">
        <v>15</v>
      </c>
      <c r="F87" s="38" t="s">
        <v>55</v>
      </c>
      <c r="G87" s="39" t="s">
        <v>17</v>
      </c>
      <c r="H87" s="39" t="s">
        <v>17</v>
      </c>
      <c r="I87" s="39" t="s">
        <v>17</v>
      </c>
      <c r="J87" s="39" t="str">
        <f aca="false">IF(G87="Sí", IF(H87="Sí", "DP", "SP"), IF(H87="Sí", "SD", "-"))</f>
        <v>-</v>
      </c>
      <c r="K87" s="35" t="str">
        <f aca="false">IF(IFERROR(L87,7)=7,"",RIGHT(L87,LEN(L87)-2)&amp;".")</f>
        <v>/A.</v>
      </c>
      <c r="L87" s="35" t="str">
        <f aca="false">IFERROR(__xludf.dummyfunction("CONCATENATE(ArrayFormula(""; ""&amp;QUERY(Hallazgos!A:F,""SELECT B WHERE E CONTAINS '""&amp;A87&amp;""' LABEL B ''"")))"),"#N/A")</f>
        <v>#N/A</v>
      </c>
    </row>
    <row r="88" customFormat="false" ht="15.75" hidden="false" customHeight="true" outlineLevel="0" collapsed="false">
      <c r="A88" s="36" t="s">
        <v>228</v>
      </c>
      <c r="B88" s="36" t="s">
        <v>813</v>
      </c>
      <c r="C88" s="37" t="s">
        <v>13</v>
      </c>
      <c r="D88" s="38" t="s">
        <v>785</v>
      </c>
      <c r="E88" s="38" t="s">
        <v>15</v>
      </c>
      <c r="F88" s="38" t="s">
        <v>55</v>
      </c>
      <c r="G88" s="39" t="s">
        <v>17</v>
      </c>
      <c r="H88" s="39" t="s">
        <v>17</v>
      </c>
      <c r="I88" s="39" t="s">
        <v>17</v>
      </c>
      <c r="J88" s="39" t="str">
        <f aca="false">IF(G88="Sí", IF(H88="Sí", "DP", "SP"), IF(H88="Sí", "SD", "-"))</f>
        <v>-</v>
      </c>
      <c r="K88" s="35" t="str">
        <f aca="false">IF(IFERROR(L88,7)=7,"",RIGHT(L88,LEN(L88)-2)&amp;".")</f>
        <v>/A.</v>
      </c>
      <c r="L88" s="35" t="str">
        <f aca="false">IFERROR(__xludf.dummyfunction("CONCATENATE(ArrayFormula(""; ""&amp;QUERY(Hallazgos!A:F,""SELECT B WHERE E CONTAINS '""&amp;A88&amp;""' LABEL B ''"")))"),"#N/A")</f>
        <v>#N/A</v>
      </c>
    </row>
    <row r="89" customFormat="false" ht="15.75" hidden="false" customHeight="true" outlineLevel="0" collapsed="false">
      <c r="A89" s="36" t="s">
        <v>231</v>
      </c>
      <c r="B89" s="36" t="s">
        <v>814</v>
      </c>
      <c r="C89" s="37" t="s">
        <v>13</v>
      </c>
      <c r="D89" s="38" t="s">
        <v>785</v>
      </c>
      <c r="E89" s="38" t="s">
        <v>15</v>
      </c>
      <c r="F89" s="38" t="s">
        <v>55</v>
      </c>
      <c r="G89" s="39" t="s">
        <v>17</v>
      </c>
      <c r="H89" s="39" t="s">
        <v>17</v>
      </c>
      <c r="I89" s="39" t="s">
        <v>17</v>
      </c>
      <c r="J89" s="39" t="str">
        <f aca="false">IF(G89="Sí", IF(H89="Sí", "DP", "SP"), IF(H89="Sí", "SD", "-"))</f>
        <v>-</v>
      </c>
      <c r="K89" s="35" t="str">
        <f aca="false">IF(IFERROR(L89,7)=7,"",RIGHT(L89,LEN(L89)-2)&amp;".")</f>
        <v>/A.</v>
      </c>
      <c r="L89" s="35" t="str">
        <f aca="false">IFERROR(__xludf.dummyfunction("CONCATENATE(ArrayFormula(""; ""&amp;QUERY(Hallazgos!A:F,""SELECT B WHERE E CONTAINS '""&amp;A89&amp;""' LABEL B ''"")))"),"#N/A")</f>
        <v>#N/A</v>
      </c>
    </row>
    <row r="90" customFormat="false" ht="15.75" hidden="false" customHeight="true" outlineLevel="0" collapsed="false">
      <c r="A90" s="36" t="s">
        <v>233</v>
      </c>
      <c r="B90" s="36" t="s">
        <v>815</v>
      </c>
      <c r="C90" s="37" t="s">
        <v>13</v>
      </c>
      <c r="D90" s="38" t="s">
        <v>785</v>
      </c>
      <c r="E90" s="38" t="s">
        <v>15</v>
      </c>
      <c r="F90" s="38" t="s">
        <v>55</v>
      </c>
      <c r="G90" s="39" t="s">
        <v>17</v>
      </c>
      <c r="H90" s="39" t="s">
        <v>17</v>
      </c>
      <c r="I90" s="39" t="s">
        <v>17</v>
      </c>
      <c r="J90" s="39" t="str">
        <f aca="false">IF(G90="Sí", IF(H90="Sí", "DP", "SP"), IF(H90="Sí", "SD", "-"))</f>
        <v>-</v>
      </c>
      <c r="K90" s="35" t="str">
        <f aca="false">IF(IFERROR(L90,7)=7,"",RIGHT(L90,LEN(L90)-2)&amp;".")</f>
        <v>/A.</v>
      </c>
      <c r="L90" s="35" t="str">
        <f aca="false">IFERROR(__xludf.dummyfunction("CONCATENATE(ArrayFormula(""; ""&amp;QUERY(Hallazgos!A:F,""SELECT B WHERE E CONTAINS '""&amp;A90&amp;""' LABEL B ''"")))"),"#N/A")</f>
        <v>#N/A</v>
      </c>
    </row>
    <row r="91" customFormat="false" ht="15.75" hidden="false" customHeight="true" outlineLevel="0" collapsed="false">
      <c r="A91" s="36" t="s">
        <v>237</v>
      </c>
      <c r="B91" s="36" t="s">
        <v>816</v>
      </c>
      <c r="C91" s="37" t="s">
        <v>38</v>
      </c>
      <c r="D91" s="38" t="s">
        <v>294</v>
      </c>
      <c r="E91" s="38" t="s">
        <v>81</v>
      </c>
      <c r="F91" s="38" t="s">
        <v>104</v>
      </c>
      <c r="G91" s="39" t="s">
        <v>17</v>
      </c>
      <c r="H91" s="39" t="s">
        <v>17</v>
      </c>
      <c r="I91" s="39" t="s">
        <v>17</v>
      </c>
      <c r="J91" s="39" t="str">
        <f aca="false">IF(G91="Sí", IF(H91="Sí", "DP", "SP"), IF(H91="Sí", "SD", "-"))</f>
        <v>-</v>
      </c>
      <c r="K91" s="35" t="str">
        <f aca="false">IF(IFERROR(L91,7)=7,"",RIGHT(L91,LEN(L91)-2)&amp;".")</f>
        <v>/A.</v>
      </c>
      <c r="L91" s="35" t="str">
        <f aca="false">IFERROR(__xludf.dummyfunction("CONCATENATE(ArrayFormula(""; ""&amp;QUERY(Hallazgos!A:F,""SELECT B WHERE E CONTAINS '""&amp;A91&amp;""' LABEL B ''"")))"),"#N/A")</f>
        <v>#N/A</v>
      </c>
    </row>
    <row r="92" customFormat="false" ht="15.75" hidden="false" customHeight="true" outlineLevel="0" collapsed="false">
      <c r="A92" s="36" t="s">
        <v>240</v>
      </c>
      <c r="B92" s="36" t="s">
        <v>314</v>
      </c>
      <c r="C92" s="37" t="s">
        <v>13</v>
      </c>
      <c r="D92" s="38" t="s">
        <v>785</v>
      </c>
      <c r="E92" s="38" t="s">
        <v>15</v>
      </c>
      <c r="F92" s="38" t="s">
        <v>55</v>
      </c>
      <c r="G92" s="39" t="s">
        <v>17</v>
      </c>
      <c r="H92" s="39" t="s">
        <v>17</v>
      </c>
      <c r="I92" s="39" t="s">
        <v>17</v>
      </c>
      <c r="J92" s="39" t="str">
        <f aca="false">IF(G92="Sí", IF(H92="Sí", "DP", "SP"), IF(H92="Sí", "SD", "-"))</f>
        <v>-</v>
      </c>
      <c r="K92" s="35" t="str">
        <f aca="false">IF(IFERROR(L92,7)=7,"",RIGHT(L92,LEN(L92)-2)&amp;".")</f>
        <v>/A.</v>
      </c>
      <c r="L92" s="35" t="str">
        <f aca="false">IFERROR(__xludf.dummyfunction("CONCATENATE(ArrayFormula(""; ""&amp;QUERY(Hallazgos!A:F,""SELECT B WHERE E CONTAINS '""&amp;A92&amp;""' LABEL B ''"")))"),"#N/A")</f>
        <v>#N/A</v>
      </c>
    </row>
    <row r="93" customFormat="false" ht="15.75" hidden="false" customHeight="true" outlineLevel="0" collapsed="false">
      <c r="A93" s="36" t="s">
        <v>242</v>
      </c>
      <c r="B93" s="36" t="s">
        <v>817</v>
      </c>
      <c r="C93" s="37" t="s">
        <v>41</v>
      </c>
      <c r="D93" s="38" t="s">
        <v>785</v>
      </c>
      <c r="E93" s="38" t="s">
        <v>81</v>
      </c>
      <c r="F93" s="38" t="s">
        <v>55</v>
      </c>
      <c r="G93" s="39" t="s">
        <v>17</v>
      </c>
      <c r="H93" s="39" t="s">
        <v>17</v>
      </c>
      <c r="I93" s="39" t="s">
        <v>17</v>
      </c>
      <c r="J93" s="39" t="str">
        <f aca="false">IF(G93="Sí", IF(H93="Sí", "DP", "SP"), IF(H93="Sí", "SD", "-"))</f>
        <v>-</v>
      </c>
      <c r="K93" s="35" t="str">
        <f aca="false">IF(IFERROR(L93,7)=7,"",RIGHT(L93,LEN(L93)-2)&amp;".")</f>
        <v>/A.</v>
      </c>
      <c r="L93" s="35" t="str">
        <f aca="false">IFERROR(__xludf.dummyfunction("CONCATENATE(ArrayFormula(""; ""&amp;QUERY(Hallazgos!A:F,""SELECT B WHERE E CONTAINS '""&amp;A93&amp;""' LABEL B ''"")))"),"#N/A")</f>
        <v>#N/A</v>
      </c>
    </row>
    <row r="94" customFormat="false" ht="15.75" hidden="false" customHeight="true" outlineLevel="0" collapsed="false">
      <c r="A94" s="36" t="s">
        <v>244</v>
      </c>
      <c r="B94" s="36" t="s">
        <v>818</v>
      </c>
      <c r="C94" s="37" t="s">
        <v>13</v>
      </c>
      <c r="D94" s="38" t="s">
        <v>785</v>
      </c>
      <c r="E94" s="38" t="s">
        <v>15</v>
      </c>
      <c r="F94" s="38" t="s">
        <v>55</v>
      </c>
      <c r="G94" s="39" t="s">
        <v>17</v>
      </c>
      <c r="H94" s="39" t="s">
        <v>17</v>
      </c>
      <c r="I94" s="39" t="s">
        <v>17</v>
      </c>
      <c r="J94" s="39" t="str">
        <f aca="false">IF(G94="Sí", IF(H94="Sí", "DP", "SP"), IF(H94="Sí", "SD", "-"))</f>
        <v>-</v>
      </c>
      <c r="K94" s="35" t="str">
        <f aca="false">IF(IFERROR(L94,7)=7,"",RIGHT(L94,LEN(L94)-2)&amp;".")</f>
        <v>/A.</v>
      </c>
      <c r="L94" s="35" t="str">
        <f aca="false">IFERROR(__xludf.dummyfunction("CONCATENATE(ArrayFormula(""; ""&amp;QUERY(Hallazgos!A:F,""SELECT B WHERE E CONTAINS '""&amp;A94&amp;""' LABEL B ''"")))"),"#N/A")</f>
        <v>#N/A</v>
      </c>
    </row>
    <row r="95" customFormat="false" ht="15.75" hidden="false" customHeight="true" outlineLevel="0" collapsed="false">
      <c r="A95" s="36" t="s">
        <v>246</v>
      </c>
      <c r="B95" s="36" t="s">
        <v>318</v>
      </c>
      <c r="C95" s="37" t="s">
        <v>41</v>
      </c>
      <c r="D95" s="38" t="s">
        <v>785</v>
      </c>
      <c r="E95" s="38" t="s">
        <v>88</v>
      </c>
      <c r="F95" s="38" t="s">
        <v>55</v>
      </c>
      <c r="G95" s="39" t="s">
        <v>17</v>
      </c>
      <c r="H95" s="39" t="s">
        <v>17</v>
      </c>
      <c r="I95" s="39" t="s">
        <v>17</v>
      </c>
      <c r="J95" s="39" t="str">
        <f aca="false">IF(G95="Sí", IF(H95="Sí", "DP", "SP"), IF(H95="Sí", "SD", "-"))</f>
        <v>-</v>
      </c>
      <c r="K95" s="35" t="str">
        <f aca="false">IF(IFERROR(L95,7)=7,"",RIGHT(L95,LEN(L95)-2)&amp;".")</f>
        <v>/A.</v>
      </c>
      <c r="L95" s="35" t="str">
        <f aca="false">IFERROR(__xludf.dummyfunction("CONCATENATE(ArrayFormula(""; ""&amp;QUERY(Hallazgos!A:F,""SELECT B WHERE E CONTAINS '""&amp;A95&amp;""' LABEL B ''"")))"),"#N/A")</f>
        <v>#N/A</v>
      </c>
    </row>
    <row r="96" customFormat="false" ht="15.75" hidden="false" customHeight="true" outlineLevel="0" collapsed="false">
      <c r="A96" s="36" t="s">
        <v>248</v>
      </c>
      <c r="B96" s="36" t="s">
        <v>320</v>
      </c>
      <c r="C96" s="37" t="s">
        <v>41</v>
      </c>
      <c r="D96" s="38" t="s">
        <v>785</v>
      </c>
      <c r="E96" s="38" t="s">
        <v>88</v>
      </c>
      <c r="F96" s="38" t="s">
        <v>55</v>
      </c>
      <c r="G96" s="39" t="s">
        <v>17</v>
      </c>
      <c r="H96" s="39" t="s">
        <v>17</v>
      </c>
      <c r="I96" s="39" t="s">
        <v>17</v>
      </c>
      <c r="J96" s="39" t="str">
        <f aca="false">IF(G96="Sí", IF(H96="Sí", "DP", "SP"), IF(H96="Sí", "SD", "-"))</f>
        <v>-</v>
      </c>
      <c r="K96" s="35" t="str">
        <f aca="false">IF(IFERROR(L96,7)=7,"",RIGHT(L96,LEN(L96)-2)&amp;".")</f>
        <v>/A.</v>
      </c>
      <c r="L96" s="35" t="str">
        <f aca="false">IFERROR(__xludf.dummyfunction("CONCATENATE(ArrayFormula(""; ""&amp;QUERY(Hallazgos!A:F,""SELECT B WHERE E CONTAINS '""&amp;A96&amp;""' LABEL B ''"")))"),"#N/A")</f>
        <v>#N/A</v>
      </c>
    </row>
    <row r="97" customFormat="false" ht="15.75" hidden="false" customHeight="true" outlineLevel="0" collapsed="false">
      <c r="A97" s="36" t="s">
        <v>250</v>
      </c>
      <c r="B97" s="36" t="s">
        <v>819</v>
      </c>
      <c r="C97" s="37" t="s">
        <v>41</v>
      </c>
      <c r="D97" s="38" t="s">
        <v>785</v>
      </c>
      <c r="E97" s="38" t="s">
        <v>88</v>
      </c>
      <c r="F97" s="38" t="s">
        <v>55</v>
      </c>
      <c r="G97" s="39" t="s">
        <v>17</v>
      </c>
      <c r="H97" s="39" t="s">
        <v>17</v>
      </c>
      <c r="I97" s="39" t="s">
        <v>17</v>
      </c>
      <c r="J97" s="39" t="str">
        <f aca="false">IF(G97="Sí", IF(H97="Sí", "DP", "SP"), IF(H97="Sí", "SD", "-"))</f>
        <v>-</v>
      </c>
      <c r="K97" s="35" t="str">
        <f aca="false">IF(IFERROR(L97,7)=7,"",RIGHT(L97,LEN(L97)-2)&amp;".")</f>
        <v>/A.</v>
      </c>
      <c r="L97" s="35" t="str">
        <f aca="false">IFERROR(__xludf.dummyfunction("CONCATENATE(ArrayFormula(""; ""&amp;QUERY(Hallazgos!A:F,""SELECT B WHERE E CONTAINS '""&amp;A97&amp;""' LABEL B ''"")))"),"#N/A")</f>
        <v>#N/A</v>
      </c>
    </row>
    <row r="98" customFormat="false" ht="15.75" hidden="false" customHeight="true" outlineLevel="0" collapsed="false">
      <c r="A98" s="36" t="s">
        <v>252</v>
      </c>
      <c r="B98" s="36" t="s">
        <v>820</v>
      </c>
      <c r="C98" s="37" t="s">
        <v>13</v>
      </c>
      <c r="D98" s="38" t="s">
        <v>785</v>
      </c>
      <c r="E98" s="38" t="s">
        <v>15</v>
      </c>
      <c r="F98" s="38" t="s">
        <v>55</v>
      </c>
      <c r="G98" s="39" t="s">
        <v>17</v>
      </c>
      <c r="H98" s="39" t="s">
        <v>17</v>
      </c>
      <c r="I98" s="39" t="s">
        <v>17</v>
      </c>
      <c r="J98" s="39" t="str">
        <f aca="false">IF(G98="Sí", IF(H98="Sí", "DP", "SP"), IF(H98="Sí", "SD", "-"))</f>
        <v>-</v>
      </c>
      <c r="K98" s="35" t="str">
        <f aca="false">IF(IFERROR(L98,7)=7,"",RIGHT(L98,LEN(L98)-2)&amp;".")</f>
        <v>/A.</v>
      </c>
      <c r="L98" s="35" t="str">
        <f aca="false">IFERROR(__xludf.dummyfunction("CONCATENATE(ArrayFormula(""; ""&amp;QUERY(Hallazgos!A:F,""SELECT B WHERE E CONTAINS '""&amp;A98&amp;""' LABEL B ''"")))"),"#N/A")</f>
        <v>#N/A</v>
      </c>
    </row>
    <row r="99" customFormat="false" ht="15.75" hidden="false" customHeight="true" outlineLevel="0" collapsed="false">
      <c r="A99" s="36" t="s">
        <v>254</v>
      </c>
      <c r="B99" s="36" t="s">
        <v>821</v>
      </c>
      <c r="C99" s="37" t="s">
        <v>13</v>
      </c>
      <c r="D99" s="38" t="s">
        <v>785</v>
      </c>
      <c r="E99" s="38" t="s">
        <v>15</v>
      </c>
      <c r="F99" s="38" t="s">
        <v>55</v>
      </c>
      <c r="G99" s="39" t="s">
        <v>17</v>
      </c>
      <c r="H99" s="39" t="s">
        <v>17</v>
      </c>
      <c r="I99" s="39" t="s">
        <v>17</v>
      </c>
      <c r="J99" s="39" t="str">
        <f aca="false">IF(G99="Sí", IF(H99="Sí", "DP", "SP"), IF(H99="Sí", "SD", "-"))</f>
        <v>-</v>
      </c>
      <c r="K99" s="35" t="str">
        <f aca="false">IF(IFERROR(L99,7)=7,"",RIGHT(L99,LEN(L99)-2)&amp;".")</f>
        <v>/A.</v>
      </c>
      <c r="L99" s="35" t="str">
        <f aca="false">IFERROR(__xludf.dummyfunction("CONCATENATE(ArrayFormula(""; ""&amp;QUERY(Hallazgos!A:F,""SELECT B WHERE E CONTAINS '""&amp;A99&amp;""' LABEL B ''"")))"),"#N/A")</f>
        <v>#N/A</v>
      </c>
    </row>
    <row r="100" customFormat="false" ht="15.75" hidden="false" customHeight="true" outlineLevel="0" collapsed="false">
      <c r="A100" s="36" t="s">
        <v>256</v>
      </c>
      <c r="B100" s="36" t="s">
        <v>332</v>
      </c>
      <c r="C100" s="37" t="s">
        <v>41</v>
      </c>
      <c r="D100" s="38" t="s">
        <v>294</v>
      </c>
      <c r="E100" s="38" t="s">
        <v>88</v>
      </c>
      <c r="F100" s="38" t="s">
        <v>55</v>
      </c>
      <c r="G100" s="39" t="s">
        <v>17</v>
      </c>
      <c r="H100" s="39" t="s">
        <v>17</v>
      </c>
      <c r="I100" s="39" t="s">
        <v>17</v>
      </c>
      <c r="J100" s="39" t="str">
        <f aca="false">IF(G100="Sí", IF(H100="Sí", "DP", "SP"), IF(H100="Sí", "SD", "-"))</f>
        <v>-</v>
      </c>
      <c r="K100" s="35" t="str">
        <f aca="false">IF(IFERROR(L100,7)=7,"",RIGHT(L100,LEN(L100)-2)&amp;".")</f>
        <v>/A.</v>
      </c>
      <c r="L100" s="35" t="str">
        <f aca="false">IFERROR(__xludf.dummyfunction("CONCATENATE(ArrayFormula(""; ""&amp;QUERY(Hallazgos!A:F,""SELECT B WHERE E CONTAINS '""&amp;A100&amp;""' LABEL B ''"")))"),"#N/A")</f>
        <v>#N/A</v>
      </c>
    </row>
    <row r="101" customFormat="false" ht="15.75" hidden="false" customHeight="true" outlineLevel="0" collapsed="false">
      <c r="A101" s="36" t="s">
        <v>258</v>
      </c>
      <c r="B101" s="36" t="s">
        <v>822</v>
      </c>
      <c r="C101" s="37" t="s">
        <v>41</v>
      </c>
      <c r="D101" s="38" t="s">
        <v>785</v>
      </c>
      <c r="E101" s="38" t="s">
        <v>88</v>
      </c>
      <c r="F101" s="38" t="s">
        <v>55</v>
      </c>
      <c r="G101" s="39" t="s">
        <v>17</v>
      </c>
      <c r="H101" s="39" t="s">
        <v>17</v>
      </c>
      <c r="I101" s="39" t="s">
        <v>17</v>
      </c>
      <c r="J101" s="39" t="str">
        <f aca="false">IF(G101="Sí", IF(H101="Sí", "DP", "SP"), IF(H101="Sí", "SD", "-"))</f>
        <v>-</v>
      </c>
      <c r="K101" s="35" t="str">
        <f aca="false">IF(IFERROR(L101,7)=7,"",RIGHT(L101,LEN(L101)-2)&amp;".")</f>
        <v>/A.</v>
      </c>
      <c r="L101" s="35" t="str">
        <f aca="false">IFERROR(__xludf.dummyfunction("CONCATENATE(ArrayFormula(""; ""&amp;QUERY(Hallazgos!A:F,""SELECT B WHERE E CONTAINS '""&amp;A101&amp;""' LABEL B ''"")))"),"#N/A")</f>
        <v>#N/A</v>
      </c>
    </row>
    <row r="102" customFormat="false" ht="15.75" hidden="false" customHeight="true" outlineLevel="0" collapsed="false">
      <c r="A102" s="36" t="s">
        <v>260</v>
      </c>
      <c r="B102" s="36" t="s">
        <v>823</v>
      </c>
      <c r="C102" s="37" t="s">
        <v>41</v>
      </c>
      <c r="D102" s="38" t="s">
        <v>337</v>
      </c>
      <c r="E102" s="38" t="s">
        <v>15</v>
      </c>
      <c r="F102" s="38" t="s">
        <v>73</v>
      </c>
      <c r="G102" s="39" t="s">
        <v>17</v>
      </c>
      <c r="H102" s="39" t="s">
        <v>17</v>
      </c>
      <c r="I102" s="39" t="s">
        <v>17</v>
      </c>
      <c r="J102" s="39" t="str">
        <f aca="false">IF(G102="Sí", IF(H102="Sí", "DP", "SP"), IF(H102="Sí", "SD", "-"))</f>
        <v>-</v>
      </c>
      <c r="K102" s="35" t="str">
        <f aca="false">IF(IFERROR(L102,7)=7,"",RIGHT(L102,LEN(L102)-2)&amp;".")</f>
        <v>/A.</v>
      </c>
      <c r="L102" s="35" t="str">
        <f aca="false">IFERROR(__xludf.dummyfunction("CONCATENATE(ArrayFormula(""; ""&amp;QUERY(Hallazgos!A:F,""SELECT B WHERE E CONTAINS '""&amp;A102&amp;""' LABEL B ''"")))"),"#N/A")</f>
        <v>#N/A</v>
      </c>
    </row>
    <row r="103" customFormat="false" ht="15.75" hidden="false" customHeight="true" outlineLevel="0" collapsed="false">
      <c r="A103" s="36" t="s">
        <v>262</v>
      </c>
      <c r="B103" s="36" t="s">
        <v>824</v>
      </c>
      <c r="C103" s="37" t="s">
        <v>38</v>
      </c>
      <c r="D103" s="38" t="s">
        <v>217</v>
      </c>
      <c r="E103" s="38" t="s">
        <v>81</v>
      </c>
      <c r="F103" s="38" t="s">
        <v>55</v>
      </c>
      <c r="G103" s="39" t="s">
        <v>17</v>
      </c>
      <c r="H103" s="39" t="s">
        <v>17</v>
      </c>
      <c r="I103" s="39" t="s">
        <v>17</v>
      </c>
      <c r="J103" s="39" t="str">
        <f aca="false">IF(G103="Sí", IF(H103="Sí", "DP", "SP"), IF(H103="Sí", "SD", "-"))</f>
        <v>-</v>
      </c>
      <c r="K103" s="35" t="str">
        <f aca="false">IF(IFERROR(L103,7)=7,"",RIGHT(L103,LEN(L103)-2)&amp;".")</f>
        <v>/A.</v>
      </c>
      <c r="L103" s="35" t="str">
        <f aca="false">IFERROR(__xludf.dummyfunction("CONCATENATE(ArrayFormula(""; ""&amp;QUERY(Hallazgos!A:F,""SELECT B WHERE E CONTAINS '""&amp;A103&amp;""' LABEL B ''"")))"),"#N/A")</f>
        <v>#N/A</v>
      </c>
    </row>
    <row r="104" customFormat="false" ht="15.75" hidden="false" customHeight="true" outlineLevel="0" collapsed="false">
      <c r="A104" s="36" t="s">
        <v>264</v>
      </c>
      <c r="B104" s="36" t="s">
        <v>221</v>
      </c>
      <c r="C104" s="37" t="s">
        <v>41</v>
      </c>
      <c r="D104" s="38" t="s">
        <v>217</v>
      </c>
      <c r="E104" s="38" t="s">
        <v>88</v>
      </c>
      <c r="F104" s="38" t="s">
        <v>55</v>
      </c>
      <c r="G104" s="39" t="s">
        <v>17</v>
      </c>
      <c r="H104" s="39" t="s">
        <v>17</v>
      </c>
      <c r="I104" s="39" t="s">
        <v>17</v>
      </c>
      <c r="J104" s="39" t="str">
        <f aca="false">IF(G104="Sí", IF(H104="Sí", "DP", "SP"), IF(H104="Sí", "SD", "-"))</f>
        <v>-</v>
      </c>
      <c r="K104" s="35" t="str">
        <f aca="false">IF(IFERROR(L104,7)=7,"",RIGHT(L104,LEN(L104)-2)&amp;".")</f>
        <v>/A.</v>
      </c>
      <c r="L104" s="35" t="str">
        <f aca="false">IFERROR(__xludf.dummyfunction("CONCATENATE(ArrayFormula(""; ""&amp;QUERY(Hallazgos!A:F,""SELECT B WHERE E CONTAINS '""&amp;A104&amp;""' LABEL B ''"")))"),"#N/A")</f>
        <v>#N/A</v>
      </c>
    </row>
    <row r="105" customFormat="false" ht="15.75" hidden="false" customHeight="true" outlineLevel="0" collapsed="false">
      <c r="A105" s="36" t="s">
        <v>266</v>
      </c>
      <c r="B105" s="36" t="s">
        <v>825</v>
      </c>
      <c r="C105" s="37" t="s">
        <v>41</v>
      </c>
      <c r="D105" s="38" t="s">
        <v>217</v>
      </c>
      <c r="E105" s="38" t="s">
        <v>88</v>
      </c>
      <c r="F105" s="38" t="s">
        <v>55</v>
      </c>
      <c r="G105" s="39" t="s">
        <v>17</v>
      </c>
      <c r="H105" s="39" t="s">
        <v>17</v>
      </c>
      <c r="I105" s="39" t="s">
        <v>17</v>
      </c>
      <c r="J105" s="39" t="str">
        <f aca="false">IF(G105="Sí", IF(H105="Sí", "DP", "SP"), IF(H105="Sí", "SD", "-"))</f>
        <v>-</v>
      </c>
      <c r="K105" s="35" t="str">
        <f aca="false">IF(IFERROR(L105,7)=7,"",RIGHT(L105,LEN(L105)-2)&amp;".")</f>
        <v>/A.</v>
      </c>
      <c r="L105" s="35" t="str">
        <f aca="false">IFERROR(__xludf.dummyfunction("CONCATENATE(ArrayFormula(""; ""&amp;QUERY(Hallazgos!A:F,""SELECT B WHERE E CONTAINS '""&amp;A105&amp;""' LABEL B ''"")))"),"#N/A")</f>
        <v>#N/A</v>
      </c>
    </row>
    <row r="106" customFormat="false" ht="15.75" hidden="false" customHeight="true" outlineLevel="0" collapsed="false">
      <c r="A106" s="36" t="s">
        <v>268</v>
      </c>
      <c r="B106" s="36" t="s">
        <v>826</v>
      </c>
      <c r="C106" s="37" t="s">
        <v>41</v>
      </c>
      <c r="D106" s="38" t="s">
        <v>217</v>
      </c>
      <c r="E106" s="38" t="s">
        <v>88</v>
      </c>
      <c r="F106" s="38" t="s">
        <v>55</v>
      </c>
      <c r="G106" s="39" t="s">
        <v>17</v>
      </c>
      <c r="H106" s="39" t="s">
        <v>17</v>
      </c>
      <c r="I106" s="39" t="s">
        <v>17</v>
      </c>
      <c r="J106" s="39" t="str">
        <f aca="false">IF(G106="Sí", IF(H106="Sí", "DP", "SP"), IF(H106="Sí", "SD", "-"))</f>
        <v>-</v>
      </c>
      <c r="K106" s="35" t="str">
        <f aca="false">IF(IFERROR(L106,7)=7,"",RIGHT(L106,LEN(L106)-2)&amp;".")</f>
        <v>/A.</v>
      </c>
      <c r="L106" s="35" t="str">
        <f aca="false">IFERROR(__xludf.dummyfunction("CONCATENATE(ArrayFormula(""; ""&amp;QUERY(Hallazgos!A:F,""SELECT B WHERE E CONTAINS '""&amp;A106&amp;""' LABEL B ''"")))"),"#N/A")</f>
        <v>#N/A</v>
      </c>
    </row>
    <row r="107" customFormat="false" ht="15.75" hidden="false" customHeight="true" outlineLevel="0" collapsed="false">
      <c r="A107" s="36" t="s">
        <v>270</v>
      </c>
      <c r="B107" s="36" t="s">
        <v>827</v>
      </c>
      <c r="C107" s="37" t="s">
        <v>41</v>
      </c>
      <c r="D107" s="38" t="s">
        <v>217</v>
      </c>
      <c r="E107" s="38" t="s">
        <v>88</v>
      </c>
      <c r="F107" s="38" t="s">
        <v>55</v>
      </c>
      <c r="G107" s="39" t="s">
        <v>17</v>
      </c>
      <c r="H107" s="39" t="s">
        <v>17</v>
      </c>
      <c r="I107" s="39" t="s">
        <v>17</v>
      </c>
      <c r="J107" s="39" t="str">
        <f aca="false">IF(G107="Sí", IF(H107="Sí", "DP", "SP"), IF(H107="Sí", "SD", "-"))</f>
        <v>-</v>
      </c>
      <c r="K107" s="35" t="str">
        <f aca="false">IF(IFERROR(L107,7)=7,"",RIGHT(L107,LEN(L107)-2)&amp;".")</f>
        <v>/A.</v>
      </c>
      <c r="L107" s="35" t="str">
        <f aca="false">IFERROR(__xludf.dummyfunction("CONCATENATE(ArrayFormula(""; ""&amp;QUERY(Hallazgos!A:F,""SELECT B WHERE E CONTAINS '""&amp;A107&amp;""' LABEL B ''"")))"),"#N/A")</f>
        <v>#N/A</v>
      </c>
    </row>
    <row r="108" customFormat="false" ht="15.75" hidden="false" customHeight="true" outlineLevel="0" collapsed="false">
      <c r="A108" s="36" t="s">
        <v>272</v>
      </c>
      <c r="B108" s="36" t="s">
        <v>343</v>
      </c>
      <c r="C108" s="37" t="s">
        <v>41</v>
      </c>
      <c r="D108" s="38" t="s">
        <v>337</v>
      </c>
      <c r="E108" s="38" t="s">
        <v>81</v>
      </c>
      <c r="F108" s="38" t="s">
        <v>55</v>
      </c>
      <c r="G108" s="39" t="s">
        <v>17</v>
      </c>
      <c r="H108" s="39" t="s">
        <v>17</v>
      </c>
      <c r="I108" s="39" t="s">
        <v>17</v>
      </c>
      <c r="J108" s="39" t="str">
        <f aca="false">IF(G108="Sí", IF(H108="Sí", "DP", "SP"), IF(H108="Sí", "SD", "-"))</f>
        <v>-</v>
      </c>
      <c r="K108" s="35" t="str">
        <f aca="false">IF(IFERROR(L108,7)=7,"",RIGHT(L108,LEN(L108)-2)&amp;".")</f>
        <v>/A.</v>
      </c>
      <c r="L108" s="35" t="str">
        <f aca="false">IFERROR(__xludf.dummyfunction("CONCATENATE(ArrayFormula(""; ""&amp;QUERY(Hallazgos!A:F,""SELECT B WHERE E CONTAINS '""&amp;A108&amp;""' LABEL B ''"")))"),"#N/A")</f>
        <v>#N/A</v>
      </c>
    </row>
    <row r="109" customFormat="false" ht="15.75" hidden="false" customHeight="true" outlineLevel="0" collapsed="false">
      <c r="A109" s="36" t="s">
        <v>275</v>
      </c>
      <c r="B109" s="36" t="s">
        <v>828</v>
      </c>
      <c r="C109" s="37" t="s">
        <v>41</v>
      </c>
      <c r="D109" s="38" t="s">
        <v>337</v>
      </c>
      <c r="E109" s="38" t="s">
        <v>81</v>
      </c>
      <c r="F109" s="38" t="s">
        <v>55</v>
      </c>
      <c r="G109" s="39" t="s">
        <v>17</v>
      </c>
      <c r="H109" s="39" t="s">
        <v>17</v>
      </c>
      <c r="I109" s="39" t="s">
        <v>17</v>
      </c>
      <c r="J109" s="39" t="str">
        <f aca="false">IF(G109="Sí", IF(H109="Sí", "DP", "SP"), IF(H109="Sí", "SD", "-"))</f>
        <v>-</v>
      </c>
      <c r="K109" s="35" t="str">
        <f aca="false">IF(IFERROR(L109,7)=7,"",RIGHT(L109,LEN(L109)-2)&amp;".")</f>
        <v>/A.</v>
      </c>
      <c r="L109" s="35" t="str">
        <f aca="false">IFERROR(__xludf.dummyfunction("CONCATENATE(ArrayFormula(""; ""&amp;QUERY(Hallazgos!A:F,""SELECT B WHERE E CONTAINS '""&amp;A109&amp;""' LABEL B ''"")))"),"#N/A")</f>
        <v>#N/A</v>
      </c>
    </row>
    <row r="110" customFormat="false" ht="15.75" hidden="false" customHeight="true" outlineLevel="0" collapsed="false">
      <c r="A110" s="36" t="s">
        <v>277</v>
      </c>
      <c r="B110" s="36" t="s">
        <v>829</v>
      </c>
      <c r="C110" s="37" t="s">
        <v>41</v>
      </c>
      <c r="D110" s="38" t="s">
        <v>337</v>
      </c>
      <c r="E110" s="38" t="s">
        <v>76</v>
      </c>
      <c r="F110" s="38" t="s">
        <v>55</v>
      </c>
      <c r="G110" s="39" t="s">
        <v>17</v>
      </c>
      <c r="H110" s="39" t="s">
        <v>17</v>
      </c>
      <c r="I110" s="39" t="s">
        <v>17</v>
      </c>
      <c r="J110" s="39" t="str">
        <f aca="false">IF(G110="Sí", IF(H110="Sí", "DP", "SP"), IF(H110="Sí", "SD", "-"))</f>
        <v>-</v>
      </c>
      <c r="K110" s="35" t="str">
        <f aca="false">IF(IFERROR(L110,7)=7,"",RIGHT(L110,LEN(L110)-2)&amp;".")</f>
        <v>/A.</v>
      </c>
      <c r="L110" s="35" t="str">
        <f aca="false">IFERROR(__xludf.dummyfunction("CONCATENATE(ArrayFormula(""; ""&amp;QUERY(Hallazgos!A:F,""SELECT B WHERE E CONTAINS '""&amp;A110&amp;""' LABEL B ''"")))"),"#N/A")</f>
        <v>#N/A</v>
      </c>
    </row>
    <row r="111" customFormat="false" ht="15.75" hidden="false" customHeight="true" outlineLevel="0" collapsed="false">
      <c r="A111" s="36" t="s">
        <v>279</v>
      </c>
      <c r="B111" s="36" t="s">
        <v>349</v>
      </c>
      <c r="C111" s="37" t="s">
        <v>41</v>
      </c>
      <c r="D111" s="38" t="s">
        <v>337</v>
      </c>
      <c r="E111" s="38" t="s">
        <v>54</v>
      </c>
      <c r="F111" s="38" t="s">
        <v>55</v>
      </c>
      <c r="G111" s="39" t="s">
        <v>17</v>
      </c>
      <c r="H111" s="39" t="s">
        <v>17</v>
      </c>
      <c r="I111" s="39" t="s">
        <v>17</v>
      </c>
      <c r="J111" s="39" t="str">
        <f aca="false">IF(G111="Sí", IF(H111="Sí", "DP", "SP"), IF(H111="Sí", "SD", "-"))</f>
        <v>-</v>
      </c>
      <c r="K111" s="35" t="str">
        <f aca="false">IF(IFERROR(L111,7)=7,"",RIGHT(L111,LEN(L111)-2)&amp;".")</f>
        <v>/A.</v>
      </c>
      <c r="L111" s="35" t="str">
        <f aca="false">IFERROR(__xludf.dummyfunction("CONCATENATE(ArrayFormula(""; ""&amp;QUERY(Hallazgos!A:F,""SELECT B WHERE E CONTAINS '""&amp;A111&amp;""' LABEL B ''"")))"),"#N/A")</f>
        <v>#N/A</v>
      </c>
    </row>
    <row r="112" customFormat="false" ht="15.75" hidden="false" customHeight="true" outlineLevel="0" collapsed="false">
      <c r="A112" s="36" t="s">
        <v>281</v>
      </c>
      <c r="B112" s="36" t="s">
        <v>403</v>
      </c>
      <c r="C112" s="37" t="s">
        <v>41</v>
      </c>
      <c r="D112" s="38" t="s">
        <v>399</v>
      </c>
      <c r="E112" s="38" t="s">
        <v>88</v>
      </c>
      <c r="F112" s="38" t="s">
        <v>55</v>
      </c>
      <c r="G112" s="39" t="s">
        <v>17</v>
      </c>
      <c r="H112" s="39" t="s">
        <v>17</v>
      </c>
      <c r="I112" s="39" t="s">
        <v>17</v>
      </c>
      <c r="J112" s="39" t="str">
        <f aca="false">IF(G112="Sí", IF(H112="Sí", "DP", "SP"), IF(H112="Sí", "SD", "-"))</f>
        <v>-</v>
      </c>
      <c r="K112" s="35" t="str">
        <f aca="false">IF(IFERROR(L112,7)=7,"",RIGHT(L112,LEN(L112)-2)&amp;".")</f>
        <v>/A.</v>
      </c>
      <c r="L112" s="35" t="str">
        <f aca="false">IFERROR(__xludf.dummyfunction("CONCATENATE(ArrayFormula(""; ""&amp;QUERY(Hallazgos!A:F,""SELECT B WHERE E CONTAINS '""&amp;A112&amp;""' LABEL B ''"")))"),"#N/A")</f>
        <v>#N/A</v>
      </c>
    </row>
    <row r="113" customFormat="false" ht="15.75" hidden="false" customHeight="true" outlineLevel="0" collapsed="false">
      <c r="A113" s="36" t="s">
        <v>283</v>
      </c>
      <c r="B113" s="36" t="s">
        <v>500</v>
      </c>
      <c r="C113" s="37" t="s">
        <v>41</v>
      </c>
      <c r="D113" s="38" t="s">
        <v>501</v>
      </c>
      <c r="E113" s="38" t="s">
        <v>15</v>
      </c>
      <c r="F113" s="38" t="s">
        <v>73</v>
      </c>
      <c r="G113" s="39" t="s">
        <v>17</v>
      </c>
      <c r="H113" s="39" t="s">
        <v>17</v>
      </c>
      <c r="I113" s="39" t="s">
        <v>17</v>
      </c>
      <c r="J113" s="39" t="str">
        <f aca="false">IF(G113="Sí", IF(H113="Sí", "DP", "SP"), IF(H113="Sí", "SD", "-"))</f>
        <v>-</v>
      </c>
      <c r="K113" s="35" t="str">
        <f aca="false">IF(IFERROR(L113,7)=7,"",RIGHT(L113,LEN(L113)-2)&amp;".")</f>
        <v>/A.</v>
      </c>
      <c r="L113" s="35" t="str">
        <f aca="false">IFERROR(__xludf.dummyfunction("CONCATENATE(ArrayFormula(""; ""&amp;QUERY(Hallazgos!A:F,""SELECT B WHERE E CONTAINS '""&amp;A113&amp;""' LABEL B ''"")))"),"#N/A")</f>
        <v>#N/A</v>
      </c>
    </row>
    <row r="114" customFormat="false" ht="15.75" hidden="false" customHeight="true" outlineLevel="0" collapsed="false">
      <c r="A114" s="36" t="s">
        <v>286</v>
      </c>
      <c r="B114" s="36" t="s">
        <v>503</v>
      </c>
      <c r="C114" s="37" t="s">
        <v>41</v>
      </c>
      <c r="D114" s="38" t="s">
        <v>501</v>
      </c>
      <c r="E114" s="38" t="s">
        <v>15</v>
      </c>
      <c r="F114" s="38" t="s">
        <v>73</v>
      </c>
      <c r="G114" s="39" t="s">
        <v>17</v>
      </c>
      <c r="H114" s="39" t="s">
        <v>17</v>
      </c>
      <c r="I114" s="39" t="s">
        <v>17</v>
      </c>
      <c r="J114" s="39" t="str">
        <f aca="false">IF(G114="Sí", IF(H114="Sí", "DP", "SP"), IF(H114="Sí", "SD", "-"))</f>
        <v>-</v>
      </c>
      <c r="K114" s="35" t="str">
        <f aca="false">IF(IFERROR(L114,7)=7,"",RIGHT(L114,LEN(L114)-2)&amp;".")</f>
        <v>/A.</v>
      </c>
      <c r="L114" s="35" t="str">
        <f aca="false">IFERROR(__xludf.dummyfunction("CONCATENATE(ArrayFormula(""; ""&amp;QUERY(Hallazgos!A:F,""SELECT B WHERE E CONTAINS '""&amp;A114&amp;""' LABEL B ''"")))"),"#N/A")</f>
        <v>#N/A</v>
      </c>
    </row>
    <row r="115" customFormat="false" ht="15.75" hidden="false" customHeight="true" outlineLevel="0" collapsed="false">
      <c r="A115" s="36" t="s">
        <v>288</v>
      </c>
      <c r="B115" s="36" t="s">
        <v>830</v>
      </c>
      <c r="C115" s="37" t="s">
        <v>41</v>
      </c>
      <c r="D115" s="38" t="s">
        <v>831</v>
      </c>
      <c r="E115" s="38" t="s">
        <v>81</v>
      </c>
      <c r="F115" s="38" t="s">
        <v>55</v>
      </c>
      <c r="G115" s="39" t="s">
        <v>17</v>
      </c>
      <c r="H115" s="39" t="s">
        <v>17</v>
      </c>
      <c r="I115" s="39" t="s">
        <v>17</v>
      </c>
      <c r="J115" s="39" t="str">
        <f aca="false">IF(G115="Sí", IF(H115="Sí", "DP", "SP"), IF(H115="Sí", "SD", "-"))</f>
        <v>-</v>
      </c>
      <c r="K115" s="35" t="str">
        <f aca="false">IF(IFERROR(L115,7)=7,"",RIGHT(L115,LEN(L115)-2)&amp;".")</f>
        <v>/A.</v>
      </c>
      <c r="L115" s="35" t="str">
        <f aca="false">IFERROR(__xludf.dummyfunction("CONCATENATE(ArrayFormula(""; ""&amp;QUERY(Hallazgos!A:F,""SELECT B WHERE E CONTAINS '""&amp;A115&amp;""' LABEL B ''"")))"),"#N/A")</f>
        <v>#N/A</v>
      </c>
    </row>
    <row r="116" customFormat="false" ht="15.75" hidden="false" customHeight="true" outlineLevel="0" collapsed="false">
      <c r="A116" s="36" t="s">
        <v>290</v>
      </c>
      <c r="B116" s="36" t="s">
        <v>832</v>
      </c>
      <c r="C116" s="37" t="s">
        <v>41</v>
      </c>
      <c r="D116" s="38" t="s">
        <v>831</v>
      </c>
      <c r="E116" s="38" t="s">
        <v>406</v>
      </c>
      <c r="F116" s="38" t="s">
        <v>55</v>
      </c>
      <c r="G116" s="39" t="s">
        <v>17</v>
      </c>
      <c r="H116" s="39" t="s">
        <v>17</v>
      </c>
      <c r="I116" s="39" t="s">
        <v>17</v>
      </c>
      <c r="J116" s="39" t="str">
        <f aca="false">IF(G116="Sí", IF(H116="Sí", "DP", "SP"), IF(H116="Sí", "SD", "-"))</f>
        <v>-</v>
      </c>
      <c r="K116" s="35" t="str">
        <f aca="false">IF(IFERROR(L116,7)=7,"",RIGHT(L116,LEN(L116)-2)&amp;".")</f>
        <v>/A.</v>
      </c>
      <c r="L116" s="35" t="str">
        <f aca="false">IFERROR(__xludf.dummyfunction("CONCATENATE(ArrayFormula(""; ""&amp;QUERY(Hallazgos!A:F,""SELECT B WHERE E CONTAINS '""&amp;A116&amp;""' LABEL B ''"")))"),"#N/A")</f>
        <v>#N/A</v>
      </c>
    </row>
    <row r="117" customFormat="false" ht="15.75" hidden="false" customHeight="true" outlineLevel="0" collapsed="false">
      <c r="A117" s="36" t="s">
        <v>292</v>
      </c>
      <c r="B117" s="36" t="s">
        <v>833</v>
      </c>
      <c r="C117" s="37" t="s">
        <v>13</v>
      </c>
      <c r="D117" s="38" t="s">
        <v>399</v>
      </c>
      <c r="E117" s="38" t="s">
        <v>406</v>
      </c>
      <c r="F117" s="38" t="s">
        <v>55</v>
      </c>
      <c r="G117" s="39" t="s">
        <v>17</v>
      </c>
      <c r="H117" s="39" t="s">
        <v>17</v>
      </c>
      <c r="I117" s="39" t="s">
        <v>17</v>
      </c>
      <c r="J117" s="39" t="str">
        <f aca="false">IF(G117="Sí", IF(H117="Sí", "DP", "SP"), IF(H117="Sí", "SD", "-"))</f>
        <v>-</v>
      </c>
      <c r="K117" s="35" t="str">
        <f aca="false">IF(IFERROR(L117,7)=7,"",RIGHT(L117,LEN(L117)-2)&amp;".")</f>
        <v>/A.</v>
      </c>
      <c r="L117" s="35" t="str">
        <f aca="false">IFERROR(__xludf.dummyfunction("CONCATENATE(ArrayFormula(""; ""&amp;QUERY(Hallazgos!A:F,""SELECT B WHERE E CONTAINS '""&amp;A117&amp;""' LABEL B ''"")))"),"#N/A")</f>
        <v>#N/A</v>
      </c>
    </row>
    <row r="118" customFormat="false" ht="15.75" hidden="false" customHeight="true" outlineLevel="0" collapsed="false">
      <c r="A118" s="36" t="s">
        <v>295</v>
      </c>
      <c r="B118" s="36" t="s">
        <v>834</v>
      </c>
      <c r="C118" s="37" t="s">
        <v>13</v>
      </c>
      <c r="D118" s="38" t="s">
        <v>399</v>
      </c>
      <c r="E118" s="38" t="s">
        <v>81</v>
      </c>
      <c r="F118" s="38" t="s">
        <v>55</v>
      </c>
      <c r="G118" s="39" t="s">
        <v>17</v>
      </c>
      <c r="H118" s="39" t="s">
        <v>17</v>
      </c>
      <c r="I118" s="39" t="s">
        <v>17</v>
      </c>
      <c r="J118" s="39" t="str">
        <f aca="false">IF(G118="Sí", IF(H118="Sí", "DP", "SP"), IF(H118="Sí", "SD", "-"))</f>
        <v>-</v>
      </c>
      <c r="K118" s="35" t="str">
        <f aca="false">IF(IFERROR(L118,7)=7,"",RIGHT(L118,LEN(L118)-2)&amp;".")</f>
        <v>/A.</v>
      </c>
      <c r="L118" s="35" t="str">
        <f aca="false">IFERROR(__xludf.dummyfunction("CONCATENATE(ArrayFormula(""; ""&amp;QUERY(Hallazgos!A:F,""SELECT B WHERE E CONTAINS '""&amp;A118&amp;""' LABEL B ''"")))"),"#N/A")</f>
        <v>#N/A</v>
      </c>
    </row>
    <row r="119" customFormat="false" ht="15.75" hidden="false" customHeight="true" outlineLevel="0" collapsed="false">
      <c r="A119" s="36" t="s">
        <v>297</v>
      </c>
      <c r="B119" s="36" t="s">
        <v>835</v>
      </c>
      <c r="C119" s="37" t="s">
        <v>13</v>
      </c>
      <c r="D119" s="38" t="s">
        <v>399</v>
      </c>
      <c r="E119" s="38" t="s">
        <v>81</v>
      </c>
      <c r="F119" s="38" t="s">
        <v>55</v>
      </c>
      <c r="G119" s="39" t="s">
        <v>17</v>
      </c>
      <c r="H119" s="39" t="s">
        <v>17</v>
      </c>
      <c r="I119" s="39" t="s">
        <v>17</v>
      </c>
      <c r="J119" s="39" t="str">
        <f aca="false">IF(G119="Sí", IF(H119="Sí", "DP", "SP"), IF(H119="Sí", "SD", "-"))</f>
        <v>-</v>
      </c>
      <c r="K119" s="35" t="str">
        <f aca="false">IF(IFERROR(L119,7)=7,"",RIGHT(L119,LEN(L119)-2)&amp;".")</f>
        <v>/A.</v>
      </c>
      <c r="L119" s="35" t="str">
        <f aca="false">IFERROR(__xludf.dummyfunction("CONCATENATE(ArrayFormula(""; ""&amp;QUERY(Hallazgos!A:F,""SELECT B WHERE E CONTAINS '""&amp;A119&amp;""' LABEL B ''"")))"),"#N/A")</f>
        <v>#N/A</v>
      </c>
    </row>
    <row r="120" customFormat="false" ht="15.75" hidden="false" customHeight="true" outlineLevel="0" collapsed="false">
      <c r="A120" s="36" t="s">
        <v>299</v>
      </c>
      <c r="B120" s="36" t="s">
        <v>412</v>
      </c>
      <c r="C120" s="37" t="s">
        <v>13</v>
      </c>
      <c r="D120" s="38" t="s">
        <v>399</v>
      </c>
      <c r="E120" s="38" t="s">
        <v>406</v>
      </c>
      <c r="F120" s="38" t="s">
        <v>55</v>
      </c>
      <c r="G120" s="39" t="s">
        <v>17</v>
      </c>
      <c r="H120" s="39" t="s">
        <v>17</v>
      </c>
      <c r="I120" s="39" t="s">
        <v>17</v>
      </c>
      <c r="J120" s="39" t="str">
        <f aca="false">IF(G120="Sí", IF(H120="Sí", "DP", "SP"), IF(H120="Sí", "SD", "-"))</f>
        <v>-</v>
      </c>
      <c r="K120" s="35" t="str">
        <f aca="false">IF(IFERROR(L120,7)=7,"",RIGHT(L120,LEN(L120)-2)&amp;".")</f>
        <v>/A.</v>
      </c>
      <c r="L120" s="35" t="str">
        <f aca="false">IFERROR(__xludf.dummyfunction("CONCATENATE(ArrayFormula(""; ""&amp;QUERY(Hallazgos!A:F,""SELECT B WHERE E CONTAINS '""&amp;A120&amp;""' LABEL B ''"")))"),"#N/A")</f>
        <v>#N/A</v>
      </c>
    </row>
    <row r="121" customFormat="false" ht="15.75" hidden="false" customHeight="true" outlineLevel="0" collapsed="false">
      <c r="A121" s="36" t="s">
        <v>303</v>
      </c>
      <c r="B121" s="36" t="s">
        <v>414</v>
      </c>
      <c r="C121" s="37" t="s">
        <v>41</v>
      </c>
      <c r="D121" s="38" t="s">
        <v>399</v>
      </c>
      <c r="E121" s="38" t="s">
        <v>81</v>
      </c>
      <c r="F121" s="38" t="s">
        <v>55</v>
      </c>
      <c r="G121" s="39" t="s">
        <v>17</v>
      </c>
      <c r="H121" s="39" t="s">
        <v>17</v>
      </c>
      <c r="I121" s="39" t="s">
        <v>17</v>
      </c>
      <c r="J121" s="39" t="str">
        <f aca="false">IF(G121="Sí", IF(H121="Sí", "DP", "SP"), IF(H121="Sí", "SD", "-"))</f>
        <v>-</v>
      </c>
      <c r="K121" s="35" t="str">
        <f aca="false">IF(IFERROR(L121,7)=7,"",RIGHT(L121,LEN(L121)-2)&amp;".")</f>
        <v>/A.</v>
      </c>
      <c r="L121" s="35" t="str">
        <f aca="false">IFERROR(__xludf.dummyfunction("CONCATENATE(ArrayFormula(""; ""&amp;QUERY(Hallazgos!A:F,""SELECT B WHERE E CONTAINS '""&amp;A121&amp;""' LABEL B ''"")))"),"#N/A")</f>
        <v>#N/A</v>
      </c>
    </row>
    <row r="122" customFormat="false" ht="15.75" hidden="false" customHeight="true" outlineLevel="0" collapsed="false">
      <c r="A122" s="36" t="s">
        <v>309</v>
      </c>
      <c r="B122" s="36" t="s">
        <v>418</v>
      </c>
      <c r="C122" s="37" t="s">
        <v>13</v>
      </c>
      <c r="D122" s="38" t="s">
        <v>399</v>
      </c>
      <c r="E122" s="38" t="s">
        <v>81</v>
      </c>
      <c r="F122" s="38" t="s">
        <v>55</v>
      </c>
      <c r="G122" s="39" t="s">
        <v>17</v>
      </c>
      <c r="H122" s="39" t="s">
        <v>17</v>
      </c>
      <c r="I122" s="39" t="s">
        <v>17</v>
      </c>
      <c r="J122" s="39" t="str">
        <f aca="false">IF(G122="Sí", IF(H122="Sí", "DP", "SP"), IF(H122="Sí", "SD", "-"))</f>
        <v>-</v>
      </c>
      <c r="K122" s="35" t="str">
        <f aca="false">IF(IFERROR(L122,7)=7,"",RIGHT(L122,LEN(L122)-2)&amp;".")</f>
        <v>/A.</v>
      </c>
      <c r="L122" s="35" t="str">
        <f aca="false">IFERROR(__xludf.dummyfunction("CONCATENATE(ArrayFormula(""; ""&amp;QUERY(Hallazgos!A:F,""SELECT B WHERE E CONTAINS '""&amp;A122&amp;""' LABEL B ''"")))"),"#N/A")</f>
        <v>#N/A</v>
      </c>
    </row>
    <row r="123" customFormat="false" ht="15.75" hidden="false" customHeight="true" outlineLevel="0" collapsed="false">
      <c r="A123" s="36" t="s">
        <v>311</v>
      </c>
      <c r="B123" s="36" t="s">
        <v>420</v>
      </c>
      <c r="C123" s="37" t="s">
        <v>13</v>
      </c>
      <c r="D123" s="38" t="s">
        <v>399</v>
      </c>
      <c r="E123" s="38" t="s">
        <v>81</v>
      </c>
      <c r="F123" s="38" t="s">
        <v>55</v>
      </c>
      <c r="G123" s="39" t="s">
        <v>17</v>
      </c>
      <c r="H123" s="39" t="s">
        <v>17</v>
      </c>
      <c r="I123" s="39" t="s">
        <v>17</v>
      </c>
      <c r="J123" s="39" t="str">
        <f aca="false">IF(G123="Sí", IF(H123="Sí", "DP", "SP"), IF(H123="Sí", "SD", "-"))</f>
        <v>-</v>
      </c>
      <c r="K123" s="35" t="str">
        <f aca="false">IF(IFERROR(L123,7)=7,"",RIGHT(L123,LEN(L123)-2)&amp;".")</f>
        <v>/A.</v>
      </c>
      <c r="L123" s="35" t="str">
        <f aca="false">IFERROR(__xludf.dummyfunction("CONCATENATE(ArrayFormula(""; ""&amp;QUERY(Hallazgos!A:F,""SELECT B WHERE E CONTAINS '""&amp;A123&amp;""' LABEL B ''"")))"),"#N/A")</f>
        <v>#N/A</v>
      </c>
    </row>
    <row r="124" customFormat="false" ht="15.75" hidden="false" customHeight="true" outlineLevel="0" collapsed="false">
      <c r="A124" s="36" t="s">
        <v>313</v>
      </c>
      <c r="B124" s="36" t="s">
        <v>390</v>
      </c>
      <c r="C124" s="37" t="s">
        <v>41</v>
      </c>
      <c r="D124" s="38" t="s">
        <v>352</v>
      </c>
      <c r="E124" s="38" t="s">
        <v>81</v>
      </c>
      <c r="F124" s="38" t="s">
        <v>73</v>
      </c>
      <c r="G124" s="39" t="s">
        <v>17</v>
      </c>
      <c r="H124" s="39" t="s">
        <v>17</v>
      </c>
      <c r="I124" s="39" t="s">
        <v>17</v>
      </c>
      <c r="J124" s="39" t="str">
        <f aca="false">IF(G124="Sí", IF(H124="Sí", "DP", "SP"), IF(H124="Sí", "SD", "-"))</f>
        <v>-</v>
      </c>
      <c r="K124" s="35" t="str">
        <f aca="false">IF(IFERROR(L124,7)=7,"",RIGHT(L124,LEN(L124)-2)&amp;".")</f>
        <v>/A.</v>
      </c>
      <c r="L124" s="35" t="str">
        <f aca="false">IFERROR(__xludf.dummyfunction("CONCATENATE(ArrayFormula(""; ""&amp;QUERY(Hallazgos!A:F,""SELECT B WHERE E CONTAINS '""&amp;A124&amp;""' LABEL B ''"")))"),"#N/A")</f>
        <v>#N/A</v>
      </c>
    </row>
    <row r="125" customFormat="false" ht="15.75" hidden="false" customHeight="true" outlineLevel="0" collapsed="false">
      <c r="A125" s="36" t="s">
        <v>315</v>
      </c>
      <c r="B125" s="36" t="s">
        <v>836</v>
      </c>
      <c r="C125" s="37" t="s">
        <v>41</v>
      </c>
      <c r="D125" s="38" t="s">
        <v>837</v>
      </c>
      <c r="E125" s="38" t="s">
        <v>184</v>
      </c>
      <c r="F125" s="38" t="s">
        <v>55</v>
      </c>
      <c r="G125" s="39" t="s">
        <v>17</v>
      </c>
      <c r="H125" s="39" t="s">
        <v>17</v>
      </c>
      <c r="I125" s="39" t="s">
        <v>17</v>
      </c>
      <c r="J125" s="39" t="str">
        <f aca="false">IF(G125="Sí", IF(H125="Sí", "DP", "SP"), IF(H125="Sí", "SD", "-"))</f>
        <v>-</v>
      </c>
      <c r="K125" s="35" t="str">
        <f aca="false">IF(IFERROR(L125,7)=7,"",RIGHT(L125,LEN(L125)-2)&amp;".")</f>
        <v>/A.</v>
      </c>
      <c r="L125" s="35" t="str">
        <f aca="false">IFERROR(__xludf.dummyfunction("CONCATENATE(ArrayFormula(""; ""&amp;QUERY(Hallazgos!A:F,""SELECT B WHERE E CONTAINS '""&amp;A125&amp;""' LABEL B ''"")))"),"#N/A")</f>
        <v>#N/A</v>
      </c>
    </row>
    <row r="126" customFormat="false" ht="15.75" hidden="false" customHeight="true" outlineLevel="0" collapsed="false">
      <c r="A126" s="36" t="s">
        <v>317</v>
      </c>
      <c r="B126" s="36" t="s">
        <v>838</v>
      </c>
      <c r="C126" s="37" t="s">
        <v>41</v>
      </c>
      <c r="D126" s="38" t="s">
        <v>352</v>
      </c>
      <c r="E126" s="38" t="s">
        <v>116</v>
      </c>
      <c r="F126" s="38" t="s">
        <v>49</v>
      </c>
      <c r="G126" s="39" t="s">
        <v>17</v>
      </c>
      <c r="H126" s="39" t="s">
        <v>17</v>
      </c>
      <c r="I126" s="39" t="s">
        <v>17</v>
      </c>
      <c r="J126" s="39" t="str">
        <f aca="false">IF(G126="Sí", IF(H126="Sí", "DP", "SP"), IF(H126="Sí", "SD", "-"))</f>
        <v>-</v>
      </c>
      <c r="K126" s="35" t="str">
        <f aca="false">IF(IFERROR(L126,7)=7,"",RIGHT(L126,LEN(L126)-2)&amp;".")</f>
        <v>/A.</v>
      </c>
      <c r="L126" s="35" t="str">
        <f aca="false">IFERROR(__xludf.dummyfunction("CONCATENATE(ArrayFormula(""; ""&amp;QUERY(Hallazgos!A:F,""SELECT B WHERE E CONTAINS '""&amp;A126&amp;""' LABEL B ''"")))"),"#N/A")</f>
        <v>#N/A</v>
      </c>
    </row>
    <row r="127" customFormat="false" ht="15.75" hidden="false" customHeight="true" outlineLevel="0" collapsed="false">
      <c r="A127" s="36" t="s">
        <v>321</v>
      </c>
      <c r="B127" s="36" t="s">
        <v>839</v>
      </c>
      <c r="C127" s="37" t="s">
        <v>38</v>
      </c>
      <c r="D127" s="38" t="s">
        <v>535</v>
      </c>
      <c r="E127" s="38" t="s">
        <v>15</v>
      </c>
      <c r="F127" s="38" t="s">
        <v>44</v>
      </c>
      <c r="G127" s="39" t="s">
        <v>17</v>
      </c>
      <c r="H127" s="39" t="s">
        <v>17</v>
      </c>
      <c r="I127" s="39" t="s">
        <v>17</v>
      </c>
      <c r="J127" s="39" t="str">
        <f aca="false">IF(G127="Sí", IF(H127="Sí", "DP", "SP"), IF(H127="Sí", "SD", "-"))</f>
        <v>-</v>
      </c>
      <c r="K127" s="35" t="str">
        <f aca="false">IF(IFERROR(L127,7)=7,"",RIGHT(L127,LEN(L127)-2)&amp;".")</f>
        <v>/A.</v>
      </c>
      <c r="L127" s="35" t="str">
        <f aca="false">IFERROR(__xludf.dummyfunction("CONCATENATE(ArrayFormula(""; ""&amp;QUERY(Hallazgos!A:F,""SELECT B WHERE E CONTAINS '""&amp;A127&amp;""' LABEL B ''"")))"),"#N/A")</f>
        <v>#N/A</v>
      </c>
    </row>
    <row r="128" customFormat="false" ht="15.75" hidden="false" customHeight="true" outlineLevel="0" collapsed="false">
      <c r="A128" s="36" t="s">
        <v>323</v>
      </c>
      <c r="B128" s="36" t="s">
        <v>46</v>
      </c>
      <c r="C128" s="37" t="s">
        <v>13</v>
      </c>
      <c r="D128" s="38" t="s">
        <v>14</v>
      </c>
      <c r="E128" s="38" t="s">
        <v>15</v>
      </c>
      <c r="F128" s="38" t="s">
        <v>44</v>
      </c>
      <c r="G128" s="39" t="s">
        <v>17</v>
      </c>
      <c r="H128" s="39" t="s">
        <v>17</v>
      </c>
      <c r="I128" s="39" t="s">
        <v>17</v>
      </c>
      <c r="J128" s="39" t="str">
        <f aca="false">IF(G128="Sí", IF(H128="Sí", "DP", "SP"), IF(H128="Sí", "SD", "-"))</f>
        <v>-</v>
      </c>
      <c r="K128" s="35" t="str">
        <f aca="false">IF(IFERROR(L128,7)=7,"",RIGHT(L128,LEN(L128)-2)&amp;".")</f>
        <v>/A.</v>
      </c>
      <c r="L128" s="35" t="str">
        <f aca="false">IFERROR(__xludf.dummyfunction("CONCATENATE(ArrayFormula(""; ""&amp;QUERY(Hallazgos!A:F,""SELECT B WHERE E CONTAINS '""&amp;A128&amp;""' LABEL B ''"")))"),"#N/A")</f>
        <v>#N/A</v>
      </c>
    </row>
    <row r="129" customFormat="false" ht="15.75" hidden="false" customHeight="true" outlineLevel="0" collapsed="false">
      <c r="A129" s="36" t="s">
        <v>325</v>
      </c>
      <c r="B129" s="36" t="s">
        <v>840</v>
      </c>
      <c r="C129" s="37" t="s">
        <v>38</v>
      </c>
      <c r="D129" s="38" t="s">
        <v>230</v>
      </c>
      <c r="E129" s="38" t="s">
        <v>88</v>
      </c>
      <c r="F129" s="38" t="s">
        <v>44</v>
      </c>
      <c r="G129" s="39" t="s">
        <v>17</v>
      </c>
      <c r="H129" s="39" t="s">
        <v>17</v>
      </c>
      <c r="I129" s="39" t="s">
        <v>17</v>
      </c>
      <c r="J129" s="39" t="str">
        <f aca="false">IF(G129="Sí", IF(H129="Sí", "DP", "SP"), IF(H129="Sí", "SD", "-"))</f>
        <v>-</v>
      </c>
      <c r="K129" s="35" t="str">
        <f aca="false">IF(IFERROR(L129,7)=7,"",RIGHT(L129,LEN(L129)-2)&amp;".")</f>
        <v>/A.</v>
      </c>
      <c r="L129" s="35" t="str">
        <f aca="false">IFERROR(__xludf.dummyfunction("CONCATENATE(ArrayFormula(""; ""&amp;QUERY(Hallazgos!A:F,""SELECT B WHERE E CONTAINS '""&amp;A129&amp;""' LABEL B ''"")))"),"#N/A")</f>
        <v>#N/A</v>
      </c>
    </row>
    <row r="130" customFormat="false" ht="15.75" hidden="false" customHeight="true" outlineLevel="0" collapsed="false">
      <c r="A130" s="36" t="s">
        <v>327</v>
      </c>
      <c r="B130" s="36" t="s">
        <v>841</v>
      </c>
      <c r="C130" s="37" t="s">
        <v>38</v>
      </c>
      <c r="D130" s="38" t="s">
        <v>230</v>
      </c>
      <c r="E130" s="38" t="s">
        <v>98</v>
      </c>
      <c r="F130" s="38" t="s">
        <v>44</v>
      </c>
      <c r="G130" s="39" t="s">
        <v>17</v>
      </c>
      <c r="H130" s="39" t="s">
        <v>17</v>
      </c>
      <c r="I130" s="39" t="s">
        <v>17</v>
      </c>
      <c r="J130" s="39" t="str">
        <f aca="false">IF(G130="Sí", IF(H130="Sí", "DP", "SP"), IF(H130="Sí", "SD", "-"))</f>
        <v>-</v>
      </c>
      <c r="K130" s="35" t="str">
        <f aca="false">IF(IFERROR(L130,7)=7,"",RIGHT(L130,LEN(L130)-2)&amp;".")</f>
        <v>/A.</v>
      </c>
      <c r="L130" s="35" t="str">
        <f aca="false">IFERROR(__xludf.dummyfunction("CONCATENATE(ArrayFormula(""; ""&amp;QUERY(Hallazgos!A:F,""SELECT B WHERE E CONTAINS '""&amp;A130&amp;""' LABEL B ''"")))"),"#N/A")</f>
        <v>#N/A</v>
      </c>
    </row>
    <row r="131" customFormat="false" ht="15.75" hidden="false" customHeight="true" outlineLevel="0" collapsed="false">
      <c r="A131" s="36" t="s">
        <v>329</v>
      </c>
      <c r="B131" s="36" t="s">
        <v>236</v>
      </c>
      <c r="C131" s="37" t="s">
        <v>13</v>
      </c>
      <c r="D131" s="38" t="s">
        <v>230</v>
      </c>
      <c r="E131" s="38" t="s">
        <v>15</v>
      </c>
      <c r="F131" s="38" t="s">
        <v>44</v>
      </c>
      <c r="G131" s="39" t="s">
        <v>17</v>
      </c>
      <c r="H131" s="39" t="s">
        <v>17</v>
      </c>
      <c r="I131" s="39" t="s">
        <v>17</v>
      </c>
      <c r="J131" s="39" t="str">
        <f aca="false">IF(G131="Sí", IF(H131="Sí", "DP", "SP"), IF(H131="Sí", "SD", "-"))</f>
        <v>-</v>
      </c>
      <c r="K131" s="35" t="str">
        <f aca="false">IF(IFERROR(L131,7)=7,"",RIGHT(L131,LEN(L131)-2)&amp;".")</f>
        <v>/A.</v>
      </c>
      <c r="L131" s="35" t="str">
        <f aca="false">IFERROR(__xludf.dummyfunction("CONCATENATE(ArrayFormula(""; ""&amp;QUERY(Hallazgos!A:F,""SELECT B WHERE E CONTAINS '""&amp;A131&amp;""' LABEL B ''"")))"),"#N/A")</f>
        <v>#N/A</v>
      </c>
    </row>
    <row r="132" customFormat="false" ht="15.75" hidden="false" customHeight="true" outlineLevel="0" collapsed="false">
      <c r="A132" s="36" t="s">
        <v>333</v>
      </c>
      <c r="B132" s="36" t="s">
        <v>842</v>
      </c>
      <c r="C132" s="37" t="s">
        <v>38</v>
      </c>
      <c r="D132" s="38" t="s">
        <v>535</v>
      </c>
      <c r="E132" s="38" t="s">
        <v>15</v>
      </c>
      <c r="F132" s="38" t="s">
        <v>44</v>
      </c>
      <c r="G132" s="39" t="s">
        <v>17</v>
      </c>
      <c r="H132" s="39" t="s">
        <v>17</v>
      </c>
      <c r="I132" s="39" t="s">
        <v>17</v>
      </c>
      <c r="J132" s="39" t="str">
        <f aca="false">IF(G132="Sí", IF(H132="Sí", "DP", "SP"), IF(H132="Sí", "SD", "-"))</f>
        <v>-</v>
      </c>
      <c r="K132" s="35" t="str">
        <f aca="false">IF(IFERROR(L132,7)=7,"",RIGHT(L132,LEN(L132)-2)&amp;".")</f>
        <v>/A.</v>
      </c>
      <c r="L132" s="35" t="str">
        <f aca="false">IFERROR(__xludf.dummyfunction("CONCATENATE(ArrayFormula(""; ""&amp;QUERY(Hallazgos!A:F,""SELECT B WHERE E CONTAINS '""&amp;A132&amp;""' LABEL B ''"")))"),"#N/A")</f>
        <v>#N/A</v>
      </c>
    </row>
    <row r="133" customFormat="false" ht="15.75" hidden="false" customHeight="true" outlineLevel="0" collapsed="false">
      <c r="A133" s="36" t="s">
        <v>335</v>
      </c>
      <c r="B133" s="36" t="s">
        <v>843</v>
      </c>
      <c r="C133" s="37" t="s">
        <v>38</v>
      </c>
      <c r="D133" s="38" t="s">
        <v>535</v>
      </c>
      <c r="E133" s="38" t="s">
        <v>15</v>
      </c>
      <c r="F133" s="38" t="s">
        <v>44</v>
      </c>
      <c r="G133" s="39" t="s">
        <v>17</v>
      </c>
      <c r="H133" s="39" t="s">
        <v>17</v>
      </c>
      <c r="I133" s="39" t="s">
        <v>17</v>
      </c>
      <c r="J133" s="39" t="str">
        <f aca="false">IF(G133="Sí", IF(H133="Sí", "DP", "SP"), IF(H133="Sí", "SD", "-"))</f>
        <v>-</v>
      </c>
      <c r="K133" s="35" t="str">
        <f aca="false">IF(IFERROR(L133,7)=7,"",RIGHT(L133,LEN(L133)-2)&amp;".")</f>
        <v>/A.</v>
      </c>
      <c r="L133" s="35" t="str">
        <f aca="false">IFERROR(__xludf.dummyfunction("CONCATENATE(ArrayFormula(""; ""&amp;QUERY(Hallazgos!A:F,""SELECT B WHERE E CONTAINS '""&amp;A133&amp;""' LABEL B ''"")))"),"#N/A")</f>
        <v>#N/A</v>
      </c>
    </row>
    <row r="134" customFormat="false" ht="15.75" hidden="false" customHeight="true" outlineLevel="0" collapsed="false">
      <c r="A134" s="36" t="s">
        <v>338</v>
      </c>
      <c r="B134" s="36" t="s">
        <v>146</v>
      </c>
      <c r="C134" s="37" t="s">
        <v>38</v>
      </c>
      <c r="D134" s="38" t="s">
        <v>535</v>
      </c>
      <c r="E134" s="38" t="s">
        <v>15</v>
      </c>
      <c r="F134" s="38" t="s">
        <v>44</v>
      </c>
      <c r="G134" s="39" t="s">
        <v>17</v>
      </c>
      <c r="H134" s="39" t="s">
        <v>17</v>
      </c>
      <c r="I134" s="39" t="s">
        <v>17</v>
      </c>
      <c r="J134" s="39" t="str">
        <f aca="false">IF(G134="Sí", IF(H134="Sí", "DP", "SP"), IF(H134="Sí", "SD", "-"))</f>
        <v>-</v>
      </c>
      <c r="K134" s="35" t="str">
        <f aca="false">IF(IFERROR(L134,7)=7,"",RIGHT(L134,LEN(L134)-2)&amp;".")</f>
        <v>/A.</v>
      </c>
      <c r="L134" s="35" t="str">
        <f aca="false">IFERROR(__xludf.dummyfunction("CONCATENATE(ArrayFormula(""; ""&amp;QUERY(Hallazgos!A:F,""SELECT B WHERE E CONTAINS '""&amp;A134&amp;""' LABEL B ''"")))"),"#N/A")</f>
        <v>#N/A</v>
      </c>
    </row>
    <row r="135" customFormat="false" ht="15.75" hidden="false" customHeight="true" outlineLevel="0" collapsed="false">
      <c r="A135" s="36" t="s">
        <v>340</v>
      </c>
      <c r="B135" s="36" t="s">
        <v>844</v>
      </c>
      <c r="C135" s="37" t="s">
        <v>38</v>
      </c>
      <c r="D135" s="38" t="s">
        <v>535</v>
      </c>
      <c r="E135" s="38" t="s">
        <v>15</v>
      </c>
      <c r="F135" s="38" t="s">
        <v>44</v>
      </c>
      <c r="G135" s="39" t="s">
        <v>17</v>
      </c>
      <c r="H135" s="39" t="s">
        <v>17</v>
      </c>
      <c r="I135" s="39" t="s">
        <v>17</v>
      </c>
      <c r="J135" s="39" t="str">
        <f aca="false">IF(G135="Sí", IF(H135="Sí", "DP", "SP"), IF(H135="Sí", "SD", "-"))</f>
        <v>-</v>
      </c>
      <c r="K135" s="35" t="str">
        <f aca="false">IF(IFERROR(L135,7)=7,"",RIGHT(L135,LEN(L135)-2)&amp;".")</f>
        <v>/A.</v>
      </c>
      <c r="L135" s="35" t="str">
        <f aca="false">IFERROR(__xludf.dummyfunction("CONCATENATE(ArrayFormula(""; ""&amp;QUERY(Hallazgos!A:F,""SELECT B WHERE E CONTAINS '""&amp;A135&amp;""' LABEL B ''"")))"),"#N/A")</f>
        <v>#N/A</v>
      </c>
    </row>
    <row r="136" customFormat="false" ht="15.75" hidden="false" customHeight="true" outlineLevel="0" collapsed="false">
      <c r="A136" s="36" t="s">
        <v>342</v>
      </c>
      <c r="B136" s="36" t="s">
        <v>845</v>
      </c>
      <c r="C136" s="37" t="s">
        <v>41</v>
      </c>
      <c r="D136" s="38" t="s">
        <v>535</v>
      </c>
      <c r="E136" s="38" t="s">
        <v>15</v>
      </c>
      <c r="F136" s="38" t="s">
        <v>44</v>
      </c>
      <c r="G136" s="39" t="s">
        <v>17</v>
      </c>
      <c r="H136" s="39" t="s">
        <v>17</v>
      </c>
      <c r="I136" s="39" t="s">
        <v>17</v>
      </c>
      <c r="J136" s="39" t="str">
        <f aca="false">IF(G136="Sí", IF(H136="Sí", "DP", "SP"), IF(H136="Sí", "SD", "-"))</f>
        <v>-</v>
      </c>
      <c r="K136" s="35" t="str">
        <f aca="false">IF(IFERROR(L136,7)=7,"",RIGHT(L136,LEN(L136)-2)&amp;".")</f>
        <v>/A.</v>
      </c>
      <c r="L136" s="35" t="str">
        <f aca="false">IFERROR(__xludf.dummyfunction("CONCATENATE(ArrayFormula(""; ""&amp;QUERY(Hallazgos!A:F,""SELECT B WHERE E CONTAINS '""&amp;A136&amp;""' LABEL B ''"")))"),"#N/A")</f>
        <v>#N/A</v>
      </c>
    </row>
    <row r="137" customFormat="false" ht="15.75" hidden="false" customHeight="true" outlineLevel="0" collapsed="false">
      <c r="A137" s="36" t="s">
        <v>344</v>
      </c>
      <c r="B137" s="36" t="s">
        <v>846</v>
      </c>
      <c r="C137" s="37" t="s">
        <v>38</v>
      </c>
      <c r="D137" s="38" t="s">
        <v>535</v>
      </c>
      <c r="E137" s="38" t="s">
        <v>15</v>
      </c>
      <c r="F137" s="38" t="s">
        <v>44</v>
      </c>
      <c r="G137" s="39" t="s">
        <v>17</v>
      </c>
      <c r="H137" s="39" t="s">
        <v>17</v>
      </c>
      <c r="I137" s="39" t="s">
        <v>17</v>
      </c>
      <c r="J137" s="39" t="str">
        <f aca="false">IF(G137="Sí", IF(H137="Sí", "DP", "SP"), IF(H137="Sí", "SD", "-"))</f>
        <v>-</v>
      </c>
      <c r="K137" s="35" t="str">
        <f aca="false">IF(IFERROR(L137,7)=7,"",RIGHT(L137,LEN(L137)-2)&amp;".")</f>
        <v>/A.</v>
      </c>
      <c r="L137" s="35" t="str">
        <f aca="false">IFERROR(__xludf.dummyfunction("CONCATENATE(ArrayFormula(""; ""&amp;QUERY(Hallazgos!A:F,""SELECT B WHERE E CONTAINS '""&amp;A137&amp;""' LABEL B ''"")))"),"#N/A")</f>
        <v>#N/A</v>
      </c>
    </row>
    <row r="138" customFormat="false" ht="15.75" hidden="false" customHeight="true" outlineLevel="0" collapsed="false">
      <c r="A138" s="36" t="s">
        <v>346</v>
      </c>
      <c r="B138" s="36" t="s">
        <v>154</v>
      </c>
      <c r="C138" s="37" t="s">
        <v>38</v>
      </c>
      <c r="D138" s="38" t="s">
        <v>535</v>
      </c>
      <c r="E138" s="38" t="s">
        <v>15</v>
      </c>
      <c r="F138" s="38" t="s">
        <v>44</v>
      </c>
      <c r="G138" s="39" t="s">
        <v>17</v>
      </c>
      <c r="H138" s="39" t="s">
        <v>17</v>
      </c>
      <c r="I138" s="39" t="s">
        <v>17</v>
      </c>
      <c r="J138" s="39" t="str">
        <f aca="false">IF(G138="Sí", IF(H138="Sí", "DP", "SP"), IF(H138="Sí", "SD", "-"))</f>
        <v>-</v>
      </c>
      <c r="K138" s="35" t="str">
        <f aca="false">IF(IFERROR(L138,7)=7,"",RIGHT(L138,LEN(L138)-2)&amp;".")</f>
        <v>/A.</v>
      </c>
      <c r="L138" s="35" t="str">
        <f aca="false">IFERROR(__xludf.dummyfunction("CONCATENATE(ArrayFormula(""; ""&amp;QUERY(Hallazgos!A:F,""SELECT B WHERE E CONTAINS '""&amp;A138&amp;""' LABEL B ''"")))"),"#N/A")</f>
        <v>#N/A</v>
      </c>
    </row>
    <row r="139" customFormat="false" ht="15.75" hidden="false" customHeight="true" outlineLevel="0" collapsed="false">
      <c r="A139" s="36" t="s">
        <v>353</v>
      </c>
      <c r="B139" s="36" t="s">
        <v>451</v>
      </c>
      <c r="C139" s="37" t="s">
        <v>13</v>
      </c>
      <c r="D139" s="38" t="s">
        <v>847</v>
      </c>
      <c r="E139" s="38" t="s">
        <v>76</v>
      </c>
      <c r="F139" s="38" t="s">
        <v>55</v>
      </c>
      <c r="G139" s="39" t="s">
        <v>17</v>
      </c>
      <c r="H139" s="39" t="s">
        <v>17</v>
      </c>
      <c r="I139" s="39" t="s">
        <v>17</v>
      </c>
      <c r="J139" s="39" t="str">
        <f aca="false">IF(G139="Sí", IF(H139="Sí", "DP", "SP"), IF(H139="Sí", "SD", "-"))</f>
        <v>-</v>
      </c>
      <c r="K139" s="35" t="str">
        <f aca="false">IF(IFERROR(L139,7)=7,"",RIGHT(L139,LEN(L139)-2)&amp;".")</f>
        <v>/A.</v>
      </c>
      <c r="L139" s="35" t="str">
        <f aca="false">IFERROR(__xludf.dummyfunction("CONCATENATE(ArrayFormula(""; ""&amp;QUERY(Hallazgos!A:F,""SELECT B WHERE E CONTAINS '""&amp;A139&amp;""' LABEL B ''"")))"),"#N/A")</f>
        <v>#N/A</v>
      </c>
    </row>
    <row r="140" customFormat="false" ht="15.75" hidden="false" customHeight="true" outlineLevel="0" collapsed="false">
      <c r="A140" s="36" t="s">
        <v>355</v>
      </c>
      <c r="B140" s="36" t="s">
        <v>454</v>
      </c>
      <c r="C140" s="37" t="s">
        <v>13</v>
      </c>
      <c r="D140" s="38" t="s">
        <v>847</v>
      </c>
      <c r="E140" s="38" t="s">
        <v>76</v>
      </c>
      <c r="F140" s="38" t="s">
        <v>55</v>
      </c>
      <c r="G140" s="39" t="s">
        <v>17</v>
      </c>
      <c r="H140" s="39" t="s">
        <v>17</v>
      </c>
      <c r="I140" s="39" t="s">
        <v>17</v>
      </c>
      <c r="J140" s="39" t="str">
        <f aca="false">IF(G140="Sí", IF(H140="Sí", "DP", "SP"), IF(H140="Sí", "SD", "-"))</f>
        <v>-</v>
      </c>
      <c r="K140" s="35" t="str">
        <f aca="false">IF(IFERROR(L140,7)=7,"",RIGHT(L140,LEN(L140)-2)&amp;".")</f>
        <v>/A.</v>
      </c>
      <c r="L140" s="35" t="str">
        <f aca="false">IFERROR(__xludf.dummyfunction("CONCATENATE(ArrayFormula(""; ""&amp;QUERY(Hallazgos!A:F,""SELECT B WHERE E CONTAINS '""&amp;A140&amp;""' LABEL B ''"")))"),"#N/A")</f>
        <v>#N/A</v>
      </c>
    </row>
    <row r="141" customFormat="false" ht="15.75" hidden="false" customHeight="true" outlineLevel="0" collapsed="false">
      <c r="A141" s="36" t="s">
        <v>357</v>
      </c>
      <c r="B141" s="36" t="s">
        <v>848</v>
      </c>
      <c r="C141" s="37" t="s">
        <v>13</v>
      </c>
      <c r="D141" s="38" t="s">
        <v>847</v>
      </c>
      <c r="E141" s="38" t="s">
        <v>81</v>
      </c>
      <c r="F141" s="38" t="s">
        <v>55</v>
      </c>
      <c r="G141" s="39" t="s">
        <v>17</v>
      </c>
      <c r="H141" s="39" t="s">
        <v>17</v>
      </c>
      <c r="I141" s="39" t="s">
        <v>17</v>
      </c>
      <c r="J141" s="39" t="str">
        <f aca="false">IF(G141="Sí", IF(H141="Sí", "DP", "SP"), IF(H141="Sí", "SD", "-"))</f>
        <v>-</v>
      </c>
      <c r="K141" s="35" t="str">
        <f aca="false">IF(IFERROR(L141,7)=7,"",RIGHT(L141,LEN(L141)-2)&amp;".")</f>
        <v>/A.</v>
      </c>
      <c r="L141" s="35" t="str">
        <f aca="false">IFERROR(__xludf.dummyfunction("CONCATENATE(ArrayFormula(""; ""&amp;QUERY(Hallazgos!A:F,""SELECT B WHERE E CONTAINS '""&amp;A141&amp;""' LABEL B ''"")))"),"#N/A")</f>
        <v>#N/A</v>
      </c>
    </row>
    <row r="142" customFormat="false" ht="15.75" hidden="false" customHeight="true" outlineLevel="0" collapsed="false">
      <c r="A142" s="36" t="s">
        <v>363</v>
      </c>
      <c r="B142" s="36" t="s">
        <v>555</v>
      </c>
      <c r="C142" s="37" t="s">
        <v>13</v>
      </c>
      <c r="D142" s="38" t="s">
        <v>570</v>
      </c>
      <c r="E142" s="38" t="s">
        <v>81</v>
      </c>
      <c r="F142" s="38" t="s">
        <v>55</v>
      </c>
      <c r="G142" s="39" t="s">
        <v>17</v>
      </c>
      <c r="H142" s="39" t="s">
        <v>17</v>
      </c>
      <c r="I142" s="39" t="s">
        <v>17</v>
      </c>
      <c r="J142" s="39" t="str">
        <f aca="false">IF(G142="Sí", IF(H142="Sí", "DP", "SP"), IF(H142="Sí", "SD", "-"))</f>
        <v>-</v>
      </c>
      <c r="K142" s="35" t="str">
        <f aca="false">IF(IFERROR(L142,7)=7,"",RIGHT(L142,LEN(L142)-2)&amp;".")</f>
        <v>/A.</v>
      </c>
      <c r="L142" s="35" t="str">
        <f aca="false">IFERROR(__xludf.dummyfunction("CONCATENATE(ArrayFormula(""; ""&amp;QUERY(Hallazgos!A:F,""SELECT B WHERE E CONTAINS '""&amp;A142&amp;""' LABEL B ''"")))"),"#N/A")</f>
        <v>#N/A</v>
      </c>
    </row>
    <row r="143" customFormat="false" ht="15.75" hidden="false" customHeight="true" outlineLevel="0" collapsed="false">
      <c r="A143" s="40" t="s">
        <v>365</v>
      </c>
      <c r="B143" s="40" t="s">
        <v>849</v>
      </c>
      <c r="C143" s="37" t="s">
        <v>13</v>
      </c>
      <c r="D143" s="38" t="s">
        <v>553</v>
      </c>
      <c r="E143" s="38" t="s">
        <v>81</v>
      </c>
      <c r="F143" s="38" t="s">
        <v>55</v>
      </c>
      <c r="G143" s="39" t="s">
        <v>17</v>
      </c>
      <c r="H143" s="39" t="s">
        <v>17</v>
      </c>
      <c r="I143" s="39" t="s">
        <v>17</v>
      </c>
      <c r="J143" s="39" t="str">
        <f aca="false">IF(G143="Sí", IF(H143="Sí", "DP", "SP"), IF(H143="Sí", "SD", "-"))</f>
        <v>-</v>
      </c>
      <c r="K143" s="35" t="str">
        <f aca="false">IF(IFERROR(L143,7)=7,"",RIGHT(L143,LEN(L143)-2)&amp;".")</f>
        <v>/A.</v>
      </c>
      <c r="L143" s="35" t="str">
        <f aca="false">IFERROR(__xludf.dummyfunction("CONCATENATE(ArrayFormula(""; ""&amp;QUERY(Hallazgos!A:F,""SELECT B WHERE E CONTAINS '""&amp;A143&amp;""' LABEL B ''"")))"),"#N/A")</f>
        <v>#N/A</v>
      </c>
    </row>
    <row r="144" customFormat="false" ht="15.75" hidden="false" customHeight="true" outlineLevel="0" collapsed="false">
      <c r="A144" s="36" t="s">
        <v>367</v>
      </c>
      <c r="B144" s="36" t="s">
        <v>850</v>
      </c>
      <c r="C144" s="37" t="s">
        <v>13</v>
      </c>
      <c r="D144" s="38" t="s">
        <v>553</v>
      </c>
      <c r="E144" s="38" t="s">
        <v>98</v>
      </c>
      <c r="F144" s="38" t="s">
        <v>55</v>
      </c>
      <c r="G144" s="39" t="s">
        <v>17</v>
      </c>
      <c r="H144" s="39" t="s">
        <v>17</v>
      </c>
      <c r="I144" s="39" t="s">
        <v>17</v>
      </c>
      <c r="J144" s="39" t="str">
        <f aca="false">IF(G144="Sí", IF(H144="Sí", "DP", "SP"), IF(H144="Sí", "SD", "-"))</f>
        <v>-</v>
      </c>
      <c r="K144" s="35" t="str">
        <f aca="false">IF(IFERROR(L144,7)=7,"",RIGHT(L144,LEN(L144)-2)&amp;".")</f>
        <v>/A.</v>
      </c>
      <c r="L144" s="35" t="str">
        <f aca="false">IFERROR(__xludf.dummyfunction("CONCATENATE(ArrayFormula(""; ""&amp;QUERY(Hallazgos!A:F,""SELECT B WHERE E CONTAINS '""&amp;A144&amp;""' LABEL B ''"")))"),"#N/A")</f>
        <v>#N/A</v>
      </c>
    </row>
    <row r="145" customFormat="false" ht="15.75" hidden="false" customHeight="true" outlineLevel="0" collapsed="false">
      <c r="A145" s="36" t="s">
        <v>369</v>
      </c>
      <c r="B145" s="36" t="s">
        <v>561</v>
      </c>
      <c r="C145" s="37" t="s">
        <v>13</v>
      </c>
      <c r="D145" s="38" t="s">
        <v>553</v>
      </c>
      <c r="E145" s="38" t="s">
        <v>72</v>
      </c>
      <c r="F145" s="38" t="s">
        <v>55</v>
      </c>
      <c r="G145" s="39" t="s">
        <v>17</v>
      </c>
      <c r="H145" s="39" t="s">
        <v>17</v>
      </c>
      <c r="I145" s="39" t="s">
        <v>17</v>
      </c>
      <c r="J145" s="39" t="str">
        <f aca="false">IF(G145="Sí", IF(H145="Sí", "DP", "SP"), IF(H145="Sí", "SD", "-"))</f>
        <v>-</v>
      </c>
      <c r="K145" s="35" t="str">
        <f aca="false">IF(IFERROR(L145,7)=7,"",RIGHT(L145,LEN(L145)-2)&amp;".")</f>
        <v>/A.</v>
      </c>
      <c r="L145" s="35" t="str">
        <f aca="false">IFERROR(__xludf.dummyfunction("CONCATENATE(ArrayFormula(""; ""&amp;QUERY(Hallazgos!A:F,""SELECT B WHERE E CONTAINS '""&amp;A145&amp;""' LABEL B ''"")))"),"#N/A")</f>
        <v>#N/A</v>
      </c>
    </row>
    <row r="146" customFormat="false" ht="15.75" hidden="false" customHeight="true" outlineLevel="0" collapsed="false">
      <c r="A146" s="36" t="s">
        <v>371</v>
      </c>
      <c r="B146" s="36" t="s">
        <v>563</v>
      </c>
      <c r="C146" s="37" t="s">
        <v>13</v>
      </c>
      <c r="D146" s="38" t="s">
        <v>553</v>
      </c>
      <c r="E146" s="38" t="s">
        <v>15</v>
      </c>
      <c r="F146" s="38" t="s">
        <v>55</v>
      </c>
      <c r="G146" s="39" t="s">
        <v>17</v>
      </c>
      <c r="H146" s="39" t="s">
        <v>17</v>
      </c>
      <c r="I146" s="39" t="s">
        <v>17</v>
      </c>
      <c r="J146" s="39" t="str">
        <f aca="false">IF(G146="Sí", IF(H146="Sí", "DP", "SP"), IF(H146="Sí", "SD", "-"))</f>
        <v>-</v>
      </c>
      <c r="K146" s="35" t="str">
        <f aca="false">IF(IFERROR(L146,7)=7,"",RIGHT(L146,LEN(L146)-2)&amp;".")</f>
        <v>/A.</v>
      </c>
      <c r="L146" s="35" t="str">
        <f aca="false">IFERROR(__xludf.dummyfunction("CONCATENATE(ArrayFormula(""; ""&amp;QUERY(Hallazgos!A:F,""SELECT B WHERE E CONTAINS '""&amp;A146&amp;""' LABEL B ''"")))"),"#N/A")</f>
        <v>#N/A</v>
      </c>
    </row>
    <row r="147" customFormat="false" ht="15.75" hidden="false" customHeight="true" outlineLevel="0" collapsed="false">
      <c r="A147" s="36" t="s">
        <v>373</v>
      </c>
      <c r="B147" s="36" t="s">
        <v>851</v>
      </c>
      <c r="C147" s="37" t="s">
        <v>13</v>
      </c>
      <c r="D147" s="38" t="s">
        <v>570</v>
      </c>
      <c r="E147" s="38" t="s">
        <v>88</v>
      </c>
      <c r="F147" s="38" t="s">
        <v>55</v>
      </c>
      <c r="G147" s="39" t="s">
        <v>17</v>
      </c>
      <c r="H147" s="39" t="s">
        <v>17</v>
      </c>
      <c r="I147" s="39" t="s">
        <v>17</v>
      </c>
      <c r="J147" s="39" t="str">
        <f aca="false">IF(G147="Sí", IF(H147="Sí", "DP", "SP"), IF(H147="Sí", "SD", "-"))</f>
        <v>-</v>
      </c>
      <c r="K147" s="35" t="str">
        <f aca="false">IF(IFERROR(L147,7)=7,"",RIGHT(L147,LEN(L147)-2)&amp;".")</f>
        <v>/A.</v>
      </c>
      <c r="L147" s="35" t="str">
        <f aca="false">IFERROR(__xludf.dummyfunction("CONCATENATE(ArrayFormula(""; ""&amp;QUERY(Hallazgos!A:F,""SELECT B WHERE E CONTAINS '""&amp;A147&amp;""' LABEL B ''"")))"),"#N/A")</f>
        <v>#N/A</v>
      </c>
    </row>
    <row r="148" customFormat="false" ht="15.75" hidden="false" customHeight="true" outlineLevel="0" collapsed="false">
      <c r="A148" s="36" t="s">
        <v>852</v>
      </c>
      <c r="B148" s="36" t="s">
        <v>567</v>
      </c>
      <c r="C148" s="37" t="s">
        <v>13</v>
      </c>
      <c r="D148" s="38" t="s">
        <v>553</v>
      </c>
      <c r="E148" s="38" t="s">
        <v>81</v>
      </c>
      <c r="F148" s="38" t="s">
        <v>55</v>
      </c>
      <c r="G148" s="39" t="s">
        <v>17</v>
      </c>
      <c r="H148" s="39" t="s">
        <v>17</v>
      </c>
      <c r="I148" s="39" t="s">
        <v>17</v>
      </c>
      <c r="J148" s="39" t="str">
        <f aca="false">IF(G148="Sí", IF(H148="Sí", "DP", "SP"), IF(H148="Sí", "SD", "-"))</f>
        <v>-</v>
      </c>
      <c r="K148" s="35" t="str">
        <f aca="false">IF(IFERROR(L148,7)=7,"",RIGHT(L148,LEN(L148)-2)&amp;".")</f>
        <v>/A.</v>
      </c>
      <c r="L148" s="35" t="str">
        <f aca="false">IFERROR(__xludf.dummyfunction("CONCATENATE(ArrayFormula(""; ""&amp;QUERY(Hallazgos!A:F,""SELECT B WHERE E CONTAINS '""&amp;A148&amp;""' LABEL B ''"")))"),"#N/A")</f>
        <v>#N/A</v>
      </c>
    </row>
    <row r="149" customFormat="false" ht="15.75" hidden="false" customHeight="true" outlineLevel="0" collapsed="false">
      <c r="A149" s="36" t="s">
        <v>377</v>
      </c>
      <c r="B149" s="36" t="s">
        <v>853</v>
      </c>
      <c r="C149" s="37" t="s">
        <v>13</v>
      </c>
      <c r="D149" s="38" t="s">
        <v>461</v>
      </c>
      <c r="E149" s="38" t="s">
        <v>81</v>
      </c>
      <c r="F149" s="38" t="s">
        <v>55</v>
      </c>
      <c r="G149" s="39" t="s">
        <v>17</v>
      </c>
      <c r="H149" s="39" t="s">
        <v>17</v>
      </c>
      <c r="I149" s="39" t="s">
        <v>17</v>
      </c>
      <c r="J149" s="39" t="str">
        <f aca="false">IF(G149="Sí", IF(H149="Sí", "DP", "SP"), IF(H149="Sí", "SD", "-"))</f>
        <v>-</v>
      </c>
      <c r="K149" s="35" t="str">
        <f aca="false">IF(IFERROR(L149,7)=7,"",RIGHT(L149,LEN(L149)-2)&amp;".")</f>
        <v>/A.</v>
      </c>
      <c r="L149" s="35" t="str">
        <f aca="false">IFERROR(__xludf.dummyfunction("CONCATENATE(ArrayFormula(""; ""&amp;QUERY(Hallazgos!A:F,""SELECT B WHERE E CONTAINS '""&amp;A149&amp;""' LABEL B ''"")))"),"#N/A")</f>
        <v>#N/A</v>
      </c>
    </row>
    <row r="150" customFormat="false" ht="15.75" hidden="false" customHeight="true" outlineLevel="0" collapsed="false">
      <c r="A150" s="36" t="s">
        <v>381</v>
      </c>
      <c r="B150" s="36" t="s">
        <v>854</v>
      </c>
      <c r="C150" s="37" t="s">
        <v>13</v>
      </c>
      <c r="D150" s="38" t="s">
        <v>461</v>
      </c>
      <c r="E150" s="38" t="s">
        <v>81</v>
      </c>
      <c r="F150" s="38" t="s">
        <v>55</v>
      </c>
      <c r="G150" s="39" t="s">
        <v>17</v>
      </c>
      <c r="H150" s="39" t="s">
        <v>17</v>
      </c>
      <c r="I150" s="39" t="s">
        <v>17</v>
      </c>
      <c r="J150" s="39" t="str">
        <f aca="false">IF(G150="Sí", IF(H150="Sí", "DP", "SP"), IF(H150="Sí", "SD", "-"))</f>
        <v>-</v>
      </c>
      <c r="K150" s="35" t="str">
        <f aca="false">IF(IFERROR(L150,7)=7,"",RIGHT(L150,LEN(L150)-2)&amp;".")</f>
        <v>/A.</v>
      </c>
      <c r="L150" s="35" t="str">
        <f aca="false">IFERROR(__xludf.dummyfunction("CONCATENATE(ArrayFormula(""; ""&amp;QUERY(Hallazgos!A:F,""SELECT B WHERE E CONTAINS '""&amp;A150&amp;""' LABEL B ''"")))"),"#N/A")</f>
        <v>#N/A</v>
      </c>
    </row>
    <row r="151" customFormat="false" ht="15.75" hidden="false" customHeight="true" outlineLevel="0" collapsed="false">
      <c r="A151" s="36" t="s">
        <v>389</v>
      </c>
      <c r="B151" s="36" t="s">
        <v>471</v>
      </c>
      <c r="C151" s="37" t="s">
        <v>13</v>
      </c>
      <c r="D151" s="38" t="s">
        <v>461</v>
      </c>
      <c r="E151" s="38" t="s">
        <v>81</v>
      </c>
      <c r="F151" s="38" t="s">
        <v>55</v>
      </c>
      <c r="G151" s="39" t="s">
        <v>17</v>
      </c>
      <c r="H151" s="39" t="s">
        <v>17</v>
      </c>
      <c r="I151" s="39" t="s">
        <v>17</v>
      </c>
      <c r="J151" s="39" t="str">
        <f aca="false">IF(G151="Sí", IF(H151="Sí", "DP", "SP"), IF(H151="Sí", "SD", "-"))</f>
        <v>-</v>
      </c>
      <c r="K151" s="35" t="str">
        <f aca="false">IF(IFERROR(L151,7)=7,"",RIGHT(L151,LEN(L151)-2)&amp;".")</f>
        <v>/A.</v>
      </c>
      <c r="L151" s="35" t="str">
        <f aca="false">IFERROR(__xludf.dummyfunction("CONCATENATE(ArrayFormula(""; ""&amp;QUERY(Hallazgos!A:F,""SELECT B WHERE E CONTAINS '""&amp;A151&amp;""' LABEL B ''"")))"),"#N/A")</f>
        <v>#N/A</v>
      </c>
    </row>
    <row r="152" customFormat="false" ht="15.75" hidden="false" customHeight="true" outlineLevel="0" collapsed="false">
      <c r="A152" s="36" t="s">
        <v>391</v>
      </c>
      <c r="B152" s="36" t="s">
        <v>855</v>
      </c>
      <c r="C152" s="37" t="s">
        <v>13</v>
      </c>
      <c r="D152" s="38" t="s">
        <v>461</v>
      </c>
      <c r="E152" s="38" t="s">
        <v>98</v>
      </c>
      <c r="F152" s="38" t="s">
        <v>55</v>
      </c>
      <c r="G152" s="39" t="s">
        <v>17</v>
      </c>
      <c r="H152" s="39" t="s">
        <v>17</v>
      </c>
      <c r="I152" s="39" t="s">
        <v>17</v>
      </c>
      <c r="J152" s="39" t="str">
        <f aca="false">IF(G152="Sí", IF(H152="Sí", "DP", "SP"), IF(H152="Sí", "SD", "-"))</f>
        <v>-</v>
      </c>
      <c r="K152" s="35" t="str">
        <f aca="false">IF(IFERROR(L152,7)=7,"",RIGHT(L152,LEN(L152)-2)&amp;".")</f>
        <v>/A.</v>
      </c>
      <c r="L152" s="35" t="str">
        <f aca="false">IFERROR(__xludf.dummyfunction("CONCATENATE(ArrayFormula(""; ""&amp;QUERY(Hallazgos!A:F,""SELECT B WHERE E CONTAINS '""&amp;A152&amp;""' LABEL B ''"")))"),"#N/A")</f>
        <v>#N/A</v>
      </c>
    </row>
    <row r="153" customFormat="false" ht="15.75" hidden="false" customHeight="true" outlineLevel="0" collapsed="false">
      <c r="A153" s="36" t="s">
        <v>393</v>
      </c>
      <c r="B153" s="36" t="s">
        <v>856</v>
      </c>
      <c r="C153" s="37" t="s">
        <v>13</v>
      </c>
      <c r="D153" s="38" t="s">
        <v>461</v>
      </c>
      <c r="E153" s="38" t="s">
        <v>15</v>
      </c>
      <c r="F153" s="38" t="s">
        <v>55</v>
      </c>
      <c r="G153" s="39" t="s">
        <v>17</v>
      </c>
      <c r="H153" s="39" t="s">
        <v>17</v>
      </c>
      <c r="I153" s="39" t="s">
        <v>17</v>
      </c>
      <c r="J153" s="39" t="str">
        <f aca="false">IF(G153="Sí", IF(H153="Sí", "DP", "SP"), IF(H153="Sí", "SD", "-"))</f>
        <v>-</v>
      </c>
      <c r="K153" s="35" t="str">
        <f aca="false">IF(IFERROR(L153,7)=7,"",RIGHT(L153,LEN(L153)-2)&amp;".")</f>
        <v>/A.</v>
      </c>
      <c r="L153" s="35" t="str">
        <f aca="false">IFERROR(__xludf.dummyfunction("CONCATENATE(ArrayFormula(""; ""&amp;QUERY(Hallazgos!A:F,""SELECT B WHERE E CONTAINS '""&amp;A153&amp;""' LABEL B ''"")))"),"#N/A")</f>
        <v>#N/A</v>
      </c>
    </row>
    <row r="154" customFormat="false" ht="15.75" hidden="false" customHeight="true" outlineLevel="0" collapsed="false">
      <c r="A154" s="36" t="s">
        <v>395</v>
      </c>
      <c r="B154" s="36" t="s">
        <v>857</v>
      </c>
      <c r="C154" s="37" t="s">
        <v>13</v>
      </c>
      <c r="D154" s="38" t="s">
        <v>461</v>
      </c>
      <c r="E154" s="38" t="s">
        <v>81</v>
      </c>
      <c r="F154" s="38" t="s">
        <v>55</v>
      </c>
      <c r="G154" s="39" t="s">
        <v>17</v>
      </c>
      <c r="H154" s="39" t="s">
        <v>17</v>
      </c>
      <c r="I154" s="39" t="s">
        <v>17</v>
      </c>
      <c r="J154" s="39" t="str">
        <f aca="false">IF(G154="Sí", IF(H154="Sí", "DP", "SP"), IF(H154="Sí", "SD", "-"))</f>
        <v>-</v>
      </c>
      <c r="K154" s="35" t="str">
        <f aca="false">IF(IFERROR(L154,7)=7,"",RIGHT(L154,LEN(L154)-2)&amp;".")</f>
        <v>/A.</v>
      </c>
      <c r="L154" s="35" t="str">
        <f aca="false">IFERROR(__xludf.dummyfunction("CONCATENATE(ArrayFormula(""; ""&amp;QUERY(Hallazgos!A:F,""SELECT B WHERE E CONTAINS '""&amp;A154&amp;""' LABEL B ''"")))"),"#N/A")</f>
        <v>#N/A</v>
      </c>
    </row>
    <row r="155" customFormat="false" ht="15.75" hidden="false" customHeight="true" outlineLevel="0" collapsed="false">
      <c r="A155" s="36" t="s">
        <v>397</v>
      </c>
      <c r="B155" s="36" t="s">
        <v>477</v>
      </c>
      <c r="C155" s="37" t="s">
        <v>13</v>
      </c>
      <c r="D155" s="38" t="s">
        <v>461</v>
      </c>
      <c r="E155" s="38" t="s">
        <v>406</v>
      </c>
      <c r="F155" s="38" t="s">
        <v>55</v>
      </c>
      <c r="G155" s="39" t="s">
        <v>17</v>
      </c>
      <c r="H155" s="39" t="s">
        <v>17</v>
      </c>
      <c r="I155" s="39" t="s">
        <v>17</v>
      </c>
      <c r="J155" s="39" t="str">
        <f aca="false">IF(G155="Sí", IF(H155="Sí", "DP", "SP"), IF(H155="Sí", "SD", "-"))</f>
        <v>-</v>
      </c>
      <c r="K155" s="35" t="str">
        <f aca="false">IF(IFERROR(L155,7)=7,"",RIGHT(L155,LEN(L155)-2)&amp;".")</f>
        <v>/A.</v>
      </c>
      <c r="L155" s="35" t="str">
        <f aca="false">IFERROR(__xludf.dummyfunction("CONCATENATE(ArrayFormula(""; ""&amp;QUERY(Hallazgos!A:F,""SELECT B WHERE E CONTAINS '""&amp;A155&amp;""' LABEL B ''"")))"),"#N/A")</f>
        <v>#N/A</v>
      </c>
    </row>
    <row r="156" customFormat="false" ht="15.75" hidden="false" customHeight="true" outlineLevel="0" collapsed="false">
      <c r="A156" s="36" t="s">
        <v>400</v>
      </c>
      <c r="B156" s="36" t="s">
        <v>479</v>
      </c>
      <c r="C156" s="37" t="s">
        <v>13</v>
      </c>
      <c r="D156" s="38" t="s">
        <v>461</v>
      </c>
      <c r="E156" s="38" t="s">
        <v>116</v>
      </c>
      <c r="F156" s="38" t="s">
        <v>55</v>
      </c>
      <c r="G156" s="39" t="s">
        <v>17</v>
      </c>
      <c r="H156" s="39" t="s">
        <v>17</v>
      </c>
      <c r="I156" s="39" t="s">
        <v>17</v>
      </c>
      <c r="J156" s="39" t="str">
        <f aca="false">IF(G156="Sí", IF(H156="Sí", "DP", "SP"), IF(H156="Sí", "SD", "-"))</f>
        <v>-</v>
      </c>
      <c r="K156" s="35" t="str">
        <f aca="false">IF(IFERROR(L156,7)=7,"",RIGHT(L156,LEN(L156)-2)&amp;".")</f>
        <v>/A.</v>
      </c>
      <c r="L156" s="35" t="str">
        <f aca="false">IFERROR(__xludf.dummyfunction("CONCATENATE(ArrayFormula(""; ""&amp;QUERY(Hallazgos!A:F,""SELECT B WHERE E CONTAINS '""&amp;A156&amp;""' LABEL B ''"")))"),"#N/A")</f>
        <v>#N/A</v>
      </c>
    </row>
    <row r="157" customFormat="false" ht="15.75" hidden="false" customHeight="true" outlineLevel="0" collapsed="false">
      <c r="A157" s="36" t="s">
        <v>402</v>
      </c>
      <c r="B157" s="36" t="s">
        <v>858</v>
      </c>
      <c r="C157" s="37" t="s">
        <v>38</v>
      </c>
      <c r="D157" s="38" t="s">
        <v>544</v>
      </c>
      <c r="E157" s="38" t="s">
        <v>15</v>
      </c>
      <c r="F157" s="38" t="s">
        <v>44</v>
      </c>
      <c r="G157" s="39" t="s">
        <v>17</v>
      </c>
      <c r="H157" s="39" t="s">
        <v>17</v>
      </c>
      <c r="I157" s="39" t="s">
        <v>17</v>
      </c>
      <c r="J157" s="39" t="str">
        <f aca="false">IF(G157="Sí", IF(H157="Sí", "DP", "SP"), IF(H157="Sí", "SD", "-"))</f>
        <v>-</v>
      </c>
      <c r="K157" s="35" t="str">
        <f aca="false">IF(IFERROR(L157,7)=7,"",RIGHT(L157,LEN(L157)-2)&amp;".")</f>
        <v>/A.</v>
      </c>
      <c r="L157" s="35" t="str">
        <f aca="false">IFERROR(__xludf.dummyfunction("CONCATENATE(ArrayFormula(""; ""&amp;QUERY(Hallazgos!A:F,""SELECT B WHERE E CONTAINS '""&amp;A157&amp;""' LABEL B ''"")))"),"#N/A")</f>
        <v>#N/A</v>
      </c>
    </row>
    <row r="158" customFormat="false" ht="15.75" hidden="false" customHeight="true" outlineLevel="0" collapsed="false">
      <c r="A158" s="36" t="s">
        <v>407</v>
      </c>
      <c r="B158" s="36" t="s">
        <v>548</v>
      </c>
      <c r="C158" s="37" t="s">
        <v>38</v>
      </c>
      <c r="D158" s="38" t="s">
        <v>544</v>
      </c>
      <c r="E158" s="38" t="s">
        <v>15</v>
      </c>
      <c r="F158" s="38" t="s">
        <v>44</v>
      </c>
      <c r="G158" s="39" t="s">
        <v>17</v>
      </c>
      <c r="H158" s="39" t="s">
        <v>17</v>
      </c>
      <c r="I158" s="39" t="s">
        <v>17</v>
      </c>
      <c r="J158" s="39" t="str">
        <f aca="false">IF(G158="Sí", IF(H158="Sí", "DP", "SP"), IF(H158="Sí", "SD", "-"))</f>
        <v>-</v>
      </c>
      <c r="K158" s="35" t="str">
        <f aca="false">IF(IFERROR(L158,7)=7,"",RIGHT(L158,LEN(L158)-2)&amp;".")</f>
        <v>/A.</v>
      </c>
      <c r="L158" s="35" t="str">
        <f aca="false">IFERROR(__xludf.dummyfunction("CONCATENATE(ArrayFormula(""; ""&amp;QUERY(Hallazgos!A:F,""SELECT B WHERE E CONTAINS '""&amp;A158&amp;""' LABEL B ''"")))"),"#N/A")</f>
        <v>#N/A</v>
      </c>
    </row>
    <row r="159" customFormat="false" ht="15.75" hidden="false" customHeight="true" outlineLevel="0" collapsed="false">
      <c r="A159" s="36" t="s">
        <v>409</v>
      </c>
      <c r="B159" s="36" t="s">
        <v>158</v>
      </c>
      <c r="C159" s="37" t="s">
        <v>38</v>
      </c>
      <c r="D159" s="38" t="s">
        <v>535</v>
      </c>
      <c r="E159" s="38" t="s">
        <v>132</v>
      </c>
      <c r="F159" s="38" t="s">
        <v>55</v>
      </c>
      <c r="G159" s="39" t="s">
        <v>17</v>
      </c>
      <c r="H159" s="39" t="s">
        <v>17</v>
      </c>
      <c r="I159" s="39" t="s">
        <v>17</v>
      </c>
      <c r="J159" s="39" t="str">
        <f aca="false">IF(G159="Sí", IF(H159="Sí", "DP", "SP"), IF(H159="Sí", "SD", "-"))</f>
        <v>-</v>
      </c>
      <c r="K159" s="35" t="str">
        <f aca="false">IF(IFERROR(L159,7)=7,"",RIGHT(L159,LEN(L159)-2)&amp;".")</f>
        <v>/A.</v>
      </c>
      <c r="L159" s="35" t="str">
        <f aca="false">IFERROR(__xludf.dummyfunction("CONCATENATE(ArrayFormula(""; ""&amp;QUERY(Hallazgos!A:F,""SELECT B WHERE E CONTAINS '""&amp;A159&amp;""' LABEL B ''"")))"),"#N/A")</f>
        <v>#N/A</v>
      </c>
    </row>
    <row r="160" customFormat="false" ht="15.75" hidden="false" customHeight="true" outlineLevel="0" collapsed="false">
      <c r="A160" s="36" t="s">
        <v>411</v>
      </c>
      <c r="B160" s="36" t="s">
        <v>160</v>
      </c>
      <c r="C160" s="37" t="s">
        <v>38</v>
      </c>
      <c r="D160" s="38" t="s">
        <v>535</v>
      </c>
      <c r="E160" s="38" t="s">
        <v>15</v>
      </c>
      <c r="F160" s="38" t="s">
        <v>73</v>
      </c>
      <c r="G160" s="39" t="s">
        <v>17</v>
      </c>
      <c r="H160" s="39" t="s">
        <v>17</v>
      </c>
      <c r="I160" s="39" t="s">
        <v>17</v>
      </c>
      <c r="J160" s="39" t="str">
        <f aca="false">IF(G160="Sí", IF(H160="Sí", "DP", "SP"), IF(H160="Sí", "SD", "-"))</f>
        <v>-</v>
      </c>
      <c r="K160" s="35" t="str">
        <f aca="false">IF(IFERROR(L160,7)=7,"",RIGHT(L160,LEN(L160)-2)&amp;".")</f>
        <v>/A.</v>
      </c>
      <c r="L160" s="35" t="str">
        <f aca="false">IFERROR(__xludf.dummyfunction("CONCATENATE(ArrayFormula(""; ""&amp;QUERY(Hallazgos!A:F,""SELECT B WHERE E CONTAINS '""&amp;A160&amp;""' LABEL B ''"")))"),"#N/A")</f>
        <v>#N/A</v>
      </c>
    </row>
    <row r="161" customFormat="false" ht="15.75" hidden="false" customHeight="true" outlineLevel="0" collapsed="false">
      <c r="A161" s="36" t="s">
        <v>413</v>
      </c>
      <c r="B161" s="36" t="s">
        <v>859</v>
      </c>
      <c r="C161" s="37" t="s">
        <v>38</v>
      </c>
      <c r="D161" s="38" t="s">
        <v>544</v>
      </c>
      <c r="E161" s="38" t="s">
        <v>15</v>
      </c>
      <c r="F161" s="38" t="s">
        <v>44</v>
      </c>
      <c r="G161" s="39" t="s">
        <v>17</v>
      </c>
      <c r="H161" s="39" t="s">
        <v>17</v>
      </c>
      <c r="I161" s="39" t="s">
        <v>17</v>
      </c>
      <c r="J161" s="39" t="str">
        <f aca="false">IF(G161="Sí", IF(H161="Sí", "DP", "SP"), IF(H161="Sí", "SD", "-"))</f>
        <v>-</v>
      </c>
      <c r="K161" s="35" t="str">
        <f aca="false">IF(IFERROR(L161,7)=7,"",RIGHT(L161,LEN(L161)-2)&amp;".")</f>
        <v>/A.</v>
      </c>
      <c r="L161" s="35" t="str">
        <f aca="false">IFERROR(__xludf.dummyfunction("CONCATENATE(ArrayFormula(""; ""&amp;QUERY(Hallazgos!A:F,""SELECT B WHERE E CONTAINS '""&amp;A161&amp;""' LABEL B ''"")))"),"#N/A")</f>
        <v>#N/A</v>
      </c>
    </row>
    <row r="162" customFormat="false" ht="15.75" hidden="false" customHeight="true" outlineLevel="0" collapsed="false">
      <c r="A162" s="40" t="s">
        <v>415</v>
      </c>
      <c r="B162" s="40" t="s">
        <v>580</v>
      </c>
      <c r="C162" s="37" t="s">
        <v>38</v>
      </c>
      <c r="D162" s="38" t="s">
        <v>581</v>
      </c>
      <c r="E162" s="38" t="s">
        <v>81</v>
      </c>
      <c r="F162" s="38" t="s">
        <v>55</v>
      </c>
      <c r="G162" s="39" t="s">
        <v>17</v>
      </c>
      <c r="H162" s="39" t="s">
        <v>17</v>
      </c>
      <c r="I162" s="39" t="s">
        <v>17</v>
      </c>
      <c r="J162" s="39" t="str">
        <f aca="false">IF(G162="Sí", IF(H162="Sí", "DP", "SP"), IF(H162="Sí", "SD", "-"))</f>
        <v>-</v>
      </c>
      <c r="K162" s="35" t="str">
        <f aca="false">IF(IFERROR(L162,7)=7,"",RIGHT(L162,LEN(L162)-2)&amp;".")</f>
        <v>/A.</v>
      </c>
      <c r="L162" s="35" t="str">
        <f aca="false">IFERROR(__xludf.dummyfunction("CONCATENATE(ArrayFormula(""; ""&amp;QUERY(Hallazgos!A:F,""SELECT B WHERE E CONTAINS '""&amp;A162&amp;""' LABEL B ''"")))"),"#N/A")</f>
        <v>#N/A</v>
      </c>
    </row>
    <row r="163" customFormat="false" ht="15.75" hidden="false" customHeight="true" outlineLevel="0" collapsed="false">
      <c r="A163" s="40" t="s">
        <v>417</v>
      </c>
      <c r="B163" s="40" t="s">
        <v>860</v>
      </c>
      <c r="C163" s="37" t="s">
        <v>38</v>
      </c>
      <c r="D163" s="38" t="s">
        <v>581</v>
      </c>
      <c r="E163" s="38" t="s">
        <v>81</v>
      </c>
      <c r="F163" s="38" t="s">
        <v>55</v>
      </c>
      <c r="G163" s="39" t="s">
        <v>17</v>
      </c>
      <c r="H163" s="39" t="s">
        <v>17</v>
      </c>
      <c r="I163" s="39" t="s">
        <v>17</v>
      </c>
      <c r="J163" s="39" t="str">
        <f aca="false">IF(G163="Sí", IF(H163="Sí", "DP", "SP"), IF(H163="Sí", "SD", "-"))</f>
        <v>-</v>
      </c>
      <c r="K163" s="35" t="str">
        <f aca="false">IF(IFERROR(L163,7)=7,"",RIGHT(L163,LEN(L163)-2)&amp;".")</f>
        <v>/A.</v>
      </c>
      <c r="L163" s="35" t="str">
        <f aca="false">IFERROR(__xludf.dummyfunction("CONCATENATE(ArrayFormula(""; ""&amp;QUERY(Hallazgos!A:F,""SELECT B WHERE E CONTAINS '""&amp;A163&amp;""' LABEL B ''"")))"),"#N/A")</f>
        <v>#N/A</v>
      </c>
    </row>
    <row r="164" customFormat="false" ht="15.75" hidden="false" customHeight="true" outlineLevel="0" collapsed="false">
      <c r="A164" s="40" t="s">
        <v>442</v>
      </c>
      <c r="B164" s="40" t="s">
        <v>861</v>
      </c>
      <c r="C164" s="37" t="s">
        <v>13</v>
      </c>
      <c r="D164" s="38" t="s">
        <v>570</v>
      </c>
      <c r="E164" s="38" t="s">
        <v>72</v>
      </c>
      <c r="F164" s="38" t="s">
        <v>55</v>
      </c>
      <c r="G164" s="39" t="s">
        <v>17</v>
      </c>
      <c r="H164" s="39" t="s">
        <v>17</v>
      </c>
      <c r="I164" s="39" t="s">
        <v>17</v>
      </c>
      <c r="J164" s="39" t="str">
        <f aca="false">IF(G164="Sí", IF(H164="Sí", "DP", "SP"), IF(H164="Sí", "SD", "-"))</f>
        <v>-</v>
      </c>
      <c r="K164" s="35" t="str">
        <f aca="false">IF(IFERROR(L164,7)=7,"",RIGHT(L164,LEN(L164)-2)&amp;".")</f>
        <v>/A.</v>
      </c>
      <c r="L164" s="35" t="str">
        <f aca="false">IFERROR(__xludf.dummyfunction("CONCATENATE(ArrayFormula(""; ""&amp;QUERY(Hallazgos!A:F,""SELECT B WHERE E CONTAINS '""&amp;A164&amp;""' LABEL B ''"")))"),"#N/A")</f>
        <v>#N/A</v>
      </c>
    </row>
    <row r="165" customFormat="false" ht="15.75" hidden="false" customHeight="true" outlineLevel="0" collapsed="false">
      <c r="A165" s="40" t="s">
        <v>444</v>
      </c>
      <c r="B165" s="40" t="s">
        <v>862</v>
      </c>
      <c r="C165" s="37" t="s">
        <v>13</v>
      </c>
      <c r="D165" s="38" t="s">
        <v>570</v>
      </c>
      <c r="E165" s="38" t="s">
        <v>72</v>
      </c>
      <c r="F165" s="38" t="s">
        <v>55</v>
      </c>
      <c r="G165" s="39" t="s">
        <v>17</v>
      </c>
      <c r="H165" s="39" t="s">
        <v>17</v>
      </c>
      <c r="I165" s="39" t="s">
        <v>17</v>
      </c>
      <c r="J165" s="39" t="str">
        <f aca="false">IF(G165="Sí", IF(H165="Sí", "DP", "SP"), IF(H165="Sí", "SD", "-"))</f>
        <v>-</v>
      </c>
      <c r="K165" s="35" t="str">
        <f aca="false">IF(IFERROR(L165,7)=7,"",RIGHT(L165,LEN(L165)-2)&amp;".")</f>
        <v>/A.</v>
      </c>
      <c r="L165" s="35" t="str">
        <f aca="false">IFERROR(__xludf.dummyfunction("CONCATENATE(ArrayFormula(""; ""&amp;QUERY(Hallazgos!A:F,""SELECT B WHERE E CONTAINS '""&amp;A165&amp;""' LABEL B ''"")))"),"#N/A")</f>
        <v>#N/A</v>
      </c>
    </row>
    <row r="166" customFormat="false" ht="15.75" hidden="false" customHeight="true" outlineLevel="0" collapsed="false">
      <c r="A166" s="40" t="s">
        <v>446</v>
      </c>
      <c r="B166" s="40" t="s">
        <v>863</v>
      </c>
      <c r="C166" s="37" t="s">
        <v>38</v>
      </c>
      <c r="D166" s="38" t="s">
        <v>570</v>
      </c>
      <c r="E166" s="38" t="s">
        <v>98</v>
      </c>
      <c r="F166" s="38" t="s">
        <v>55</v>
      </c>
      <c r="G166" s="39" t="s">
        <v>17</v>
      </c>
      <c r="H166" s="39" t="s">
        <v>17</v>
      </c>
      <c r="I166" s="39" t="s">
        <v>17</v>
      </c>
      <c r="J166" s="39" t="str">
        <f aca="false">IF(G166="Sí", IF(H166="Sí", "DP", "SP"), IF(H166="Sí", "SD", "-"))</f>
        <v>-</v>
      </c>
      <c r="K166" s="35" t="str">
        <f aca="false">IF(IFERROR(L166,7)=7,"",RIGHT(L166,LEN(L166)-2)&amp;".")</f>
        <v>/A.</v>
      </c>
      <c r="L166" s="35" t="str">
        <f aca="false">IFERROR(__xludf.dummyfunction("CONCATENATE(ArrayFormula(""; ""&amp;QUERY(Hallazgos!A:F,""SELECT B WHERE E CONTAINS '""&amp;A166&amp;""' LABEL B ''"")))"),"#N/A")</f>
        <v>#N/A</v>
      </c>
    </row>
    <row r="167" customFormat="false" ht="15.75" hidden="false" customHeight="true" outlineLevel="0" collapsed="false">
      <c r="A167" s="40" t="s">
        <v>448</v>
      </c>
      <c r="B167" s="40" t="s">
        <v>864</v>
      </c>
      <c r="C167" s="37" t="s">
        <v>38</v>
      </c>
      <c r="D167" s="38" t="s">
        <v>570</v>
      </c>
      <c r="E167" s="38" t="s">
        <v>54</v>
      </c>
      <c r="F167" s="38" t="s">
        <v>55</v>
      </c>
      <c r="G167" s="39" t="s">
        <v>17</v>
      </c>
      <c r="H167" s="39" t="s">
        <v>17</v>
      </c>
      <c r="I167" s="39" t="s">
        <v>17</v>
      </c>
      <c r="J167" s="39" t="str">
        <f aca="false">IF(G167="Sí", IF(H167="Sí", "DP", "SP"), IF(H167="Sí", "SD", "-"))</f>
        <v>-</v>
      </c>
      <c r="K167" s="35" t="str">
        <f aca="false">IF(IFERROR(L167,7)=7,"",RIGHT(L167,LEN(L167)-2)&amp;".")</f>
        <v>/A.</v>
      </c>
      <c r="L167" s="35" t="str">
        <f aca="false">IFERROR(__xludf.dummyfunction("CONCATENATE(ArrayFormula(""; ""&amp;QUERY(Hallazgos!A:F,""SELECT B WHERE E CONTAINS '""&amp;A167&amp;""' LABEL B ''"")))"),"#N/A")</f>
        <v>#N/A</v>
      </c>
    </row>
    <row r="168" customFormat="false" ht="15.75" hidden="false" customHeight="true" outlineLevel="0" collapsed="false">
      <c r="A168" s="40" t="s">
        <v>450</v>
      </c>
      <c r="B168" s="40" t="s">
        <v>865</v>
      </c>
      <c r="C168" s="37" t="s">
        <v>13</v>
      </c>
      <c r="D168" s="38" t="s">
        <v>570</v>
      </c>
      <c r="E168" s="38" t="s">
        <v>184</v>
      </c>
      <c r="F168" s="38" t="s">
        <v>55</v>
      </c>
      <c r="G168" s="39" t="s">
        <v>17</v>
      </c>
      <c r="H168" s="39" t="s">
        <v>17</v>
      </c>
      <c r="I168" s="39" t="s">
        <v>17</v>
      </c>
      <c r="J168" s="39" t="str">
        <f aca="false">IF(G168="Sí", IF(H168="Sí", "DP", "SP"), IF(H168="Sí", "SD", "-"))</f>
        <v>-</v>
      </c>
      <c r="K168" s="35" t="str">
        <f aca="false">IF(IFERROR(L168,7)=7,"",RIGHT(L168,LEN(L168)-2)&amp;".")</f>
        <v>/A.</v>
      </c>
      <c r="L168" s="35" t="str">
        <f aca="false">IFERROR(__xludf.dummyfunction("CONCATENATE(ArrayFormula(""; ""&amp;QUERY(Hallazgos!A:F,""SELECT B WHERE E CONTAINS '""&amp;A168&amp;""' LABEL B ''"")))"),"#N/A")</f>
        <v>#N/A</v>
      </c>
    </row>
    <row r="169" customFormat="false" ht="15.75" hidden="false" customHeight="true" outlineLevel="0" collapsed="false">
      <c r="A169" s="40" t="s">
        <v>453</v>
      </c>
      <c r="B169" s="40" t="s">
        <v>866</v>
      </c>
      <c r="C169" s="37" t="s">
        <v>38</v>
      </c>
      <c r="D169" s="38" t="s">
        <v>867</v>
      </c>
      <c r="E169" s="38" t="s">
        <v>116</v>
      </c>
      <c r="F169" s="38" t="s">
        <v>55</v>
      </c>
      <c r="G169" s="39" t="s">
        <v>17</v>
      </c>
      <c r="H169" s="39" t="s">
        <v>17</v>
      </c>
      <c r="I169" s="39" t="s">
        <v>17</v>
      </c>
      <c r="J169" s="39" t="str">
        <f aca="false">IF(G169="Sí", IF(H169="Sí", "DP", "SP"), IF(H169="Sí", "SD", "-"))</f>
        <v>-</v>
      </c>
      <c r="K169" s="35" t="str">
        <f aca="false">IF(IFERROR(L169,7)=7,"",RIGHT(L169,LEN(L169)-2)&amp;".")</f>
        <v>/A.</v>
      </c>
      <c r="L169" s="35" t="str">
        <f aca="false">IFERROR(__xludf.dummyfunction("CONCATENATE(ArrayFormula(""; ""&amp;QUERY(Hallazgos!A:F,""SELECT B WHERE E CONTAINS '""&amp;A169&amp;""' LABEL B ''"")))"),"#N/A")</f>
        <v>#N/A</v>
      </c>
    </row>
    <row r="170" customFormat="false" ht="15.75" hidden="false" customHeight="true" outlineLevel="0" collapsed="false">
      <c r="A170" s="40" t="s">
        <v>455</v>
      </c>
      <c r="B170" s="40" t="s">
        <v>868</v>
      </c>
      <c r="C170" s="37" t="s">
        <v>38</v>
      </c>
      <c r="D170" s="38" t="s">
        <v>867</v>
      </c>
      <c r="E170" s="38" t="s">
        <v>116</v>
      </c>
      <c r="F170" s="38" t="s">
        <v>55</v>
      </c>
      <c r="G170" s="39" t="s">
        <v>17</v>
      </c>
      <c r="H170" s="39" t="s">
        <v>17</v>
      </c>
      <c r="I170" s="39" t="s">
        <v>17</v>
      </c>
      <c r="J170" s="39" t="str">
        <f aca="false">IF(G170="Sí", IF(H170="Sí", "DP", "SP"), IF(H170="Sí", "SD", "-"))</f>
        <v>-</v>
      </c>
      <c r="K170" s="35" t="str">
        <f aca="false">IF(IFERROR(L170,7)=7,"",RIGHT(L170,LEN(L170)-2)&amp;".")</f>
        <v>/A.</v>
      </c>
      <c r="L170" s="35" t="str">
        <f aca="false">IFERROR(__xludf.dummyfunction("CONCATENATE(ArrayFormula(""; ""&amp;QUERY(Hallazgos!A:F,""SELECT B WHERE E CONTAINS '""&amp;A170&amp;""' LABEL B ''"")))"),"#N/A")</f>
        <v>#N/A</v>
      </c>
    </row>
    <row r="171" customFormat="false" ht="15.75" hidden="false" customHeight="true" outlineLevel="0" collapsed="false">
      <c r="A171" s="40" t="s">
        <v>457</v>
      </c>
      <c r="B171" s="40" t="s">
        <v>869</v>
      </c>
      <c r="C171" s="37" t="s">
        <v>41</v>
      </c>
      <c r="D171" s="38" t="s">
        <v>69</v>
      </c>
      <c r="E171" s="38" t="s">
        <v>15</v>
      </c>
      <c r="F171" s="38" t="s">
        <v>55</v>
      </c>
      <c r="G171" s="39" t="s">
        <v>17</v>
      </c>
      <c r="H171" s="39" t="s">
        <v>17</v>
      </c>
      <c r="I171" s="39" t="s">
        <v>17</v>
      </c>
      <c r="J171" s="39" t="str">
        <f aca="false">IF(G171="Sí", IF(H171="Sí", "DP", "SP"), IF(H171="Sí", "SD", "-"))</f>
        <v>-</v>
      </c>
      <c r="K171" s="35" t="str">
        <f aca="false">IF(IFERROR(L171,7)=7,"",RIGHT(L171,LEN(L171)-2)&amp;".")</f>
        <v>/A.</v>
      </c>
      <c r="L171" s="35" t="str">
        <f aca="false">IFERROR(__xludf.dummyfunction("CONCATENATE(ArrayFormula(""; ""&amp;QUERY(Hallazgos!A:F,""SELECT B WHERE E CONTAINS '""&amp;A171&amp;""' LABEL B ''"")))"),"#N/A")</f>
        <v>#N/A</v>
      </c>
    </row>
    <row r="172" customFormat="false" ht="15.75" hidden="false" customHeight="true" outlineLevel="0" collapsed="false">
      <c r="A172" s="40" t="s">
        <v>459</v>
      </c>
      <c r="B172" s="40" t="s">
        <v>870</v>
      </c>
      <c r="C172" s="37" t="s">
        <v>41</v>
      </c>
      <c r="D172" s="38" t="s">
        <v>69</v>
      </c>
      <c r="E172" s="38" t="s">
        <v>72</v>
      </c>
      <c r="F172" s="38" t="s">
        <v>73</v>
      </c>
      <c r="G172" s="39" t="s">
        <v>17</v>
      </c>
      <c r="H172" s="39" t="s">
        <v>17</v>
      </c>
      <c r="I172" s="39" t="s">
        <v>17</v>
      </c>
      <c r="J172" s="39" t="str">
        <f aca="false">IF(G172="Sí", IF(H172="Sí", "DP", "SP"), IF(H172="Sí", "SD", "-"))</f>
        <v>-</v>
      </c>
      <c r="K172" s="35" t="str">
        <f aca="false">IF(IFERROR(L172,7)=7,"",RIGHT(L172,LEN(L172)-2)&amp;".")</f>
        <v>/A.</v>
      </c>
      <c r="L172" s="35" t="str">
        <f aca="false">IFERROR(__xludf.dummyfunction("CONCATENATE(ArrayFormula(""; ""&amp;QUERY(Hallazgos!A:F,""SELECT B WHERE E CONTAINS '""&amp;A172&amp;""' LABEL B ''"")))"),"#N/A")</f>
        <v>#N/A</v>
      </c>
    </row>
    <row r="173" customFormat="false" ht="15.75" hidden="false" customHeight="true" outlineLevel="0" collapsed="false">
      <c r="A173" s="40" t="s">
        <v>462</v>
      </c>
      <c r="B173" s="40" t="s">
        <v>871</v>
      </c>
      <c r="C173" s="37" t="s">
        <v>41</v>
      </c>
      <c r="D173" s="38" t="s">
        <v>69</v>
      </c>
      <c r="E173" s="38" t="s">
        <v>76</v>
      </c>
      <c r="F173" s="38" t="s">
        <v>55</v>
      </c>
      <c r="G173" s="39" t="s">
        <v>17</v>
      </c>
      <c r="H173" s="39" t="s">
        <v>17</v>
      </c>
      <c r="I173" s="39" t="s">
        <v>17</v>
      </c>
      <c r="J173" s="39" t="str">
        <f aca="false">IF(G173="Sí", IF(H173="Sí", "DP", "SP"), IF(H173="Sí", "SD", "-"))</f>
        <v>-</v>
      </c>
      <c r="K173" s="35" t="str">
        <f aca="false">IF(IFERROR(L173,7)=7,"",RIGHT(L173,LEN(L173)-2)&amp;".")</f>
        <v>/A.</v>
      </c>
      <c r="L173" s="35" t="str">
        <f aca="false">IFERROR(__xludf.dummyfunction("CONCATENATE(ArrayFormula(""; ""&amp;QUERY(Hallazgos!A:F,""SELECT B WHERE E CONTAINS '""&amp;A173&amp;""' LABEL B ''"")))"),"#N/A")</f>
        <v>#N/A</v>
      </c>
    </row>
    <row r="174" customFormat="false" ht="15.75" hidden="false" customHeight="true" outlineLevel="0" collapsed="false">
      <c r="A174" s="40" t="s">
        <v>464</v>
      </c>
      <c r="B174" s="40" t="s">
        <v>872</v>
      </c>
      <c r="C174" s="37" t="s">
        <v>41</v>
      </c>
      <c r="D174" s="38" t="s">
        <v>69</v>
      </c>
      <c r="E174" s="38" t="s">
        <v>76</v>
      </c>
      <c r="F174" s="38" t="s">
        <v>73</v>
      </c>
      <c r="G174" s="39" t="s">
        <v>17</v>
      </c>
      <c r="H174" s="39" t="s">
        <v>17</v>
      </c>
      <c r="I174" s="39" t="s">
        <v>17</v>
      </c>
      <c r="J174" s="39" t="str">
        <f aca="false">IF(G174="Sí", IF(H174="Sí", "DP", "SP"), IF(H174="Sí", "SD", "-"))</f>
        <v>-</v>
      </c>
      <c r="K174" s="35" t="str">
        <f aca="false">IF(IFERROR(L174,7)=7,"",RIGHT(L174,LEN(L174)-2)&amp;".")</f>
        <v>/A.</v>
      </c>
      <c r="L174" s="35" t="str">
        <f aca="false">IFERROR(__xludf.dummyfunction("CONCATENATE(ArrayFormula(""; ""&amp;QUERY(Hallazgos!A:F,""SELECT B WHERE E CONTAINS '""&amp;A174&amp;""' LABEL B ''"")))"),"#N/A")</f>
        <v>#N/A</v>
      </c>
    </row>
    <row r="175" customFormat="false" ht="15.75" hidden="false" customHeight="true" outlineLevel="0" collapsed="false">
      <c r="A175" s="40" t="s">
        <v>466</v>
      </c>
      <c r="B175" s="40" t="s">
        <v>873</v>
      </c>
      <c r="C175" s="37" t="s">
        <v>41</v>
      </c>
      <c r="D175" s="38" t="s">
        <v>69</v>
      </c>
      <c r="E175" s="38" t="s">
        <v>81</v>
      </c>
      <c r="F175" s="38" t="s">
        <v>55</v>
      </c>
      <c r="G175" s="39" t="s">
        <v>17</v>
      </c>
      <c r="H175" s="39" t="s">
        <v>17</v>
      </c>
      <c r="I175" s="39" t="s">
        <v>17</v>
      </c>
      <c r="J175" s="39" t="str">
        <f aca="false">IF(G175="Sí", IF(H175="Sí", "DP", "SP"), IF(H175="Sí", "SD", "-"))</f>
        <v>-</v>
      </c>
      <c r="K175" s="35" t="str">
        <f aca="false">IF(IFERROR(L175,7)=7,"",RIGHT(L175,LEN(L175)-2)&amp;".")</f>
        <v>/A.</v>
      </c>
      <c r="L175" s="35" t="str">
        <f aca="false">IFERROR(__xludf.dummyfunction("CONCATENATE(ArrayFormula(""; ""&amp;QUERY(Hallazgos!A:F,""SELECT B WHERE E CONTAINS '""&amp;A175&amp;""' LABEL B ''"")))"),"#N/A")</f>
        <v>#N/A</v>
      </c>
    </row>
    <row r="176" customFormat="false" ht="15.75" hidden="false" customHeight="true" outlineLevel="0" collapsed="false">
      <c r="A176" s="40" t="s">
        <v>468</v>
      </c>
      <c r="B176" s="40" t="s">
        <v>874</v>
      </c>
      <c r="C176" s="37" t="s">
        <v>41</v>
      </c>
      <c r="D176" s="38" t="s">
        <v>69</v>
      </c>
      <c r="E176" s="38" t="s">
        <v>81</v>
      </c>
      <c r="F176" s="38" t="s">
        <v>55</v>
      </c>
      <c r="G176" s="39" t="s">
        <v>17</v>
      </c>
      <c r="H176" s="39" t="s">
        <v>17</v>
      </c>
      <c r="I176" s="39" t="s">
        <v>17</v>
      </c>
      <c r="J176" s="39" t="str">
        <f aca="false">IF(G176="Sí", IF(H176="Sí", "DP", "SP"), IF(H176="Sí", "SD", "-"))</f>
        <v>-</v>
      </c>
      <c r="K176" s="35" t="str">
        <f aca="false">IF(IFERROR(L176,7)=7,"",RIGHT(L176,LEN(L176)-2)&amp;".")</f>
        <v>/A.</v>
      </c>
      <c r="L176" s="35" t="str">
        <f aca="false">IFERROR(__xludf.dummyfunction("CONCATENATE(ArrayFormula(""; ""&amp;QUERY(Hallazgos!A:F,""SELECT B WHERE E CONTAINS '""&amp;A176&amp;""' LABEL B ''"")))"),"#N/A")</f>
        <v>#N/A</v>
      </c>
    </row>
    <row r="177" customFormat="false" ht="15.75" hidden="false" customHeight="true" outlineLevel="0" collapsed="false">
      <c r="A177" s="40" t="s">
        <v>472</v>
      </c>
      <c r="B177" s="40" t="s">
        <v>875</v>
      </c>
      <c r="C177" s="37" t="s">
        <v>41</v>
      </c>
      <c r="D177" s="38" t="s">
        <v>189</v>
      </c>
      <c r="E177" s="38" t="s">
        <v>54</v>
      </c>
      <c r="F177" s="38" t="s">
        <v>55</v>
      </c>
      <c r="G177" s="39" t="s">
        <v>17</v>
      </c>
      <c r="H177" s="39" t="s">
        <v>17</v>
      </c>
      <c r="I177" s="39" t="s">
        <v>17</v>
      </c>
      <c r="J177" s="39" t="str">
        <f aca="false">IF(G177="Sí", IF(H177="Sí", "DP", "SP"), IF(H177="Sí", "SD", "-"))</f>
        <v>-</v>
      </c>
      <c r="K177" s="35" t="str">
        <f aca="false">IF(IFERROR(L177,7)=7,"",RIGHT(L177,LEN(L177)-2)&amp;".")</f>
        <v>/A.</v>
      </c>
      <c r="L177" s="35" t="str">
        <f aca="false">IFERROR(__xludf.dummyfunction("CONCATENATE(ArrayFormula(""; ""&amp;QUERY(Hallazgos!A:F,""SELECT B WHERE E CONTAINS '""&amp;A177&amp;""' LABEL B ''"")))"),"#N/A")</f>
        <v>#N/A</v>
      </c>
    </row>
    <row r="178" customFormat="false" ht="15.75" hidden="false" customHeight="true" outlineLevel="0" collapsed="false">
      <c r="A178" s="40" t="s">
        <v>474</v>
      </c>
      <c r="B178" s="40" t="s">
        <v>876</v>
      </c>
      <c r="C178" s="37" t="s">
        <v>41</v>
      </c>
      <c r="D178" s="38" t="s">
        <v>69</v>
      </c>
      <c r="E178" s="38" t="s">
        <v>81</v>
      </c>
      <c r="F178" s="38" t="s">
        <v>73</v>
      </c>
      <c r="G178" s="39" t="s">
        <v>17</v>
      </c>
      <c r="H178" s="39" t="s">
        <v>17</v>
      </c>
      <c r="I178" s="39" t="s">
        <v>17</v>
      </c>
      <c r="J178" s="39" t="str">
        <f aca="false">IF(G178="Sí", IF(H178="Sí", "DP", "SP"), IF(H178="Sí", "SD", "-"))</f>
        <v>-</v>
      </c>
      <c r="K178" s="35" t="str">
        <f aca="false">IF(IFERROR(L178,7)=7,"",RIGHT(L178,LEN(L178)-2)&amp;".")</f>
        <v>/A.</v>
      </c>
      <c r="L178" s="35" t="str">
        <f aca="false">IFERROR(__xludf.dummyfunction("CONCATENATE(ArrayFormula(""; ""&amp;QUERY(Hallazgos!A:F,""SELECT B WHERE E CONTAINS '""&amp;A178&amp;""' LABEL B ''"")))"),"#N/A")</f>
        <v>#N/A</v>
      </c>
    </row>
    <row r="179" customFormat="false" ht="15.75" hidden="false" customHeight="true" outlineLevel="0" collapsed="false">
      <c r="A179" s="40" t="s">
        <v>476</v>
      </c>
      <c r="B179" s="40" t="s">
        <v>877</v>
      </c>
      <c r="C179" s="37" t="s">
        <v>41</v>
      </c>
      <c r="D179" s="38" t="s">
        <v>69</v>
      </c>
      <c r="E179" s="38" t="s">
        <v>88</v>
      </c>
      <c r="F179" s="38" t="s">
        <v>73</v>
      </c>
      <c r="G179" s="39" t="s">
        <v>17</v>
      </c>
      <c r="H179" s="39" t="s">
        <v>17</v>
      </c>
      <c r="I179" s="39" t="s">
        <v>17</v>
      </c>
      <c r="J179" s="39" t="str">
        <f aca="false">IF(G179="Sí", IF(H179="Sí", "DP", "SP"), IF(H179="Sí", "SD", "-"))</f>
        <v>-</v>
      </c>
      <c r="K179" s="35" t="str">
        <f aca="false">IF(IFERROR(L179,7)=7,"",RIGHT(L179,LEN(L179)-2)&amp;".")</f>
        <v>/A.</v>
      </c>
      <c r="L179" s="35" t="str">
        <f aca="false">IFERROR(__xludf.dummyfunction("CONCATENATE(ArrayFormula(""; ""&amp;QUERY(Hallazgos!A:F,""SELECT B WHERE E CONTAINS '""&amp;A179&amp;""' LABEL B ''"")))"),"#N/A")</f>
        <v>#N/A</v>
      </c>
    </row>
    <row r="180" customFormat="false" ht="15.75" hidden="false" customHeight="true" outlineLevel="0" collapsed="false">
      <c r="A180" s="40" t="s">
        <v>478</v>
      </c>
      <c r="B180" s="40" t="s">
        <v>92</v>
      </c>
      <c r="C180" s="37" t="s">
        <v>41</v>
      </c>
      <c r="D180" s="38" t="s">
        <v>69</v>
      </c>
      <c r="E180" s="38" t="s">
        <v>81</v>
      </c>
      <c r="F180" s="38" t="s">
        <v>73</v>
      </c>
      <c r="G180" s="39" t="s">
        <v>17</v>
      </c>
      <c r="H180" s="39" t="s">
        <v>17</v>
      </c>
      <c r="I180" s="39" t="s">
        <v>17</v>
      </c>
      <c r="J180" s="39" t="str">
        <f aca="false">IF(G180="Sí", IF(H180="Sí", "DP", "SP"), IF(H180="Sí", "SD", "-"))</f>
        <v>-</v>
      </c>
      <c r="K180" s="35" t="str">
        <f aca="false">IF(IFERROR(L180,7)=7,"",RIGHT(L180,LEN(L180)-2)&amp;".")</f>
        <v>/A.</v>
      </c>
      <c r="L180" s="35" t="str">
        <f aca="false">IFERROR(__xludf.dummyfunction("CONCATENATE(ArrayFormula(""; ""&amp;QUERY(Hallazgos!A:F,""SELECT B WHERE E CONTAINS '""&amp;A180&amp;""' LABEL B ''"")))"),"#N/A")</f>
        <v>#N/A</v>
      </c>
    </row>
    <row r="181" customFormat="false" ht="15.75" hidden="false" customHeight="true" outlineLevel="0" collapsed="false">
      <c r="A181" s="40" t="s">
        <v>480</v>
      </c>
      <c r="B181" s="40" t="s">
        <v>878</v>
      </c>
      <c r="C181" s="37" t="s">
        <v>13</v>
      </c>
      <c r="D181" s="38" t="s">
        <v>599</v>
      </c>
      <c r="E181" s="38" t="s">
        <v>54</v>
      </c>
      <c r="F181" s="38" t="s">
        <v>55</v>
      </c>
      <c r="G181" s="39" t="s">
        <v>17</v>
      </c>
      <c r="H181" s="39" t="s">
        <v>17</v>
      </c>
      <c r="I181" s="39" t="s">
        <v>17</v>
      </c>
      <c r="J181" s="39" t="str">
        <f aca="false">IF(G181="Sí", IF(H181="Sí", "DP", "SP"), IF(H181="Sí", "SD", "-"))</f>
        <v>-</v>
      </c>
      <c r="K181" s="35" t="str">
        <f aca="false">IF(IFERROR(L181,7)=7,"",RIGHT(L181,LEN(L181)-2)&amp;".")</f>
        <v>/A.</v>
      </c>
      <c r="L181" s="35" t="str">
        <f aca="false">IFERROR(__xludf.dummyfunction("CONCATENATE(ArrayFormula(""; ""&amp;QUERY(Hallazgos!A:F,""SELECT B WHERE E CONTAINS '""&amp;A181&amp;""' LABEL B ''"")))"),"#N/A")</f>
        <v>#N/A</v>
      </c>
    </row>
    <row r="182" customFormat="false" ht="15.75" hidden="false" customHeight="true" outlineLevel="0" collapsed="false">
      <c r="A182" s="40" t="s">
        <v>483</v>
      </c>
      <c r="B182" s="40" t="s">
        <v>879</v>
      </c>
      <c r="C182" s="37" t="s">
        <v>41</v>
      </c>
      <c r="D182" s="38" t="s">
        <v>103</v>
      </c>
      <c r="E182" s="38" t="s">
        <v>76</v>
      </c>
      <c r="F182" s="38" t="s">
        <v>55</v>
      </c>
      <c r="G182" s="39" t="s">
        <v>17</v>
      </c>
      <c r="H182" s="39" t="s">
        <v>17</v>
      </c>
      <c r="I182" s="39" t="s">
        <v>17</v>
      </c>
      <c r="J182" s="39" t="str">
        <f aca="false">IF(G182="Sí", IF(H182="Sí", "DP", "SP"), IF(H182="Sí", "SD", "-"))</f>
        <v>-</v>
      </c>
      <c r="K182" s="35" t="str">
        <f aca="false">IF(IFERROR(L182,7)=7,"",RIGHT(L182,LEN(L182)-2)&amp;".")</f>
        <v>/A.</v>
      </c>
      <c r="L182" s="35" t="str">
        <f aca="false">IFERROR(__xludf.dummyfunction("CONCATENATE(ArrayFormula(""; ""&amp;QUERY(Hallazgos!A:F,""SELECT B WHERE E CONTAINS '""&amp;A182&amp;""' LABEL B ''"")))"),"#N/A")</f>
        <v>#N/A</v>
      </c>
    </row>
    <row r="183" customFormat="false" ht="15.75" hidden="false" customHeight="true" outlineLevel="0" collapsed="false">
      <c r="A183" s="40" t="s">
        <v>485</v>
      </c>
      <c r="B183" s="40" t="s">
        <v>605</v>
      </c>
      <c r="C183" s="37" t="s">
        <v>41</v>
      </c>
      <c r="D183" s="38" t="s">
        <v>599</v>
      </c>
      <c r="E183" s="38" t="s">
        <v>184</v>
      </c>
      <c r="F183" s="38" t="s">
        <v>55</v>
      </c>
      <c r="G183" s="39" t="s">
        <v>17</v>
      </c>
      <c r="H183" s="39" t="s">
        <v>17</v>
      </c>
      <c r="I183" s="39" t="s">
        <v>17</v>
      </c>
      <c r="J183" s="39" t="str">
        <f aca="false">IF(G183="Sí", IF(H183="Sí", "DP", "SP"), IF(H183="Sí", "SD", "-"))</f>
        <v>-</v>
      </c>
      <c r="K183" s="35" t="str">
        <f aca="false">IF(IFERROR(L183,7)=7,"",RIGHT(L183,LEN(L183)-2)&amp;".")</f>
        <v>/A.</v>
      </c>
      <c r="L183" s="35" t="str">
        <f aca="false">IFERROR(__xludf.dummyfunction("CONCATENATE(ArrayFormula(""; ""&amp;QUERY(Hallazgos!A:F,""SELECT B WHERE E CONTAINS '""&amp;A183&amp;""' LABEL B ''"")))"),"#N/A")</f>
        <v>#N/A</v>
      </c>
    </row>
    <row r="184" customFormat="false" ht="15.75" hidden="false" customHeight="true" outlineLevel="0" collapsed="false">
      <c r="A184" s="40" t="s">
        <v>490</v>
      </c>
      <c r="B184" s="40" t="s">
        <v>609</v>
      </c>
      <c r="C184" s="37" t="s">
        <v>13</v>
      </c>
      <c r="D184" s="38" t="s">
        <v>599</v>
      </c>
      <c r="E184" s="38" t="s">
        <v>15</v>
      </c>
      <c r="F184" s="38" t="s">
        <v>55</v>
      </c>
      <c r="G184" s="39" t="s">
        <v>17</v>
      </c>
      <c r="H184" s="39" t="s">
        <v>17</v>
      </c>
      <c r="I184" s="39" t="s">
        <v>17</v>
      </c>
      <c r="J184" s="39" t="str">
        <f aca="false">IF(G184="Sí", IF(H184="Sí", "DP", "SP"), IF(H184="Sí", "SD", "-"))</f>
        <v>-</v>
      </c>
      <c r="K184" s="35" t="str">
        <f aca="false">IF(IFERROR(L184,7)=7,"",RIGHT(L184,LEN(L184)-2)&amp;".")</f>
        <v>/A.</v>
      </c>
      <c r="L184" s="35" t="str">
        <f aca="false">IFERROR(__xludf.dummyfunction("CONCATENATE(ArrayFormula(""; ""&amp;QUERY(Hallazgos!A:F,""SELECT B WHERE E CONTAINS '""&amp;A184&amp;""' LABEL B ''"")))"),"#N/A")</f>
        <v>#N/A</v>
      </c>
    </row>
    <row r="185" customFormat="false" ht="15.75" hidden="false" customHeight="true" outlineLevel="0" collapsed="false">
      <c r="A185" s="40" t="s">
        <v>492</v>
      </c>
      <c r="B185" s="40" t="s">
        <v>880</v>
      </c>
      <c r="C185" s="37" t="s">
        <v>38</v>
      </c>
      <c r="D185" s="38" t="s">
        <v>599</v>
      </c>
      <c r="E185" s="38" t="s">
        <v>15</v>
      </c>
      <c r="F185" s="38" t="s">
        <v>55</v>
      </c>
      <c r="G185" s="39" t="s">
        <v>17</v>
      </c>
      <c r="H185" s="39" t="s">
        <v>17</v>
      </c>
      <c r="I185" s="39" t="s">
        <v>17</v>
      </c>
      <c r="J185" s="39" t="str">
        <f aca="false">IF(G185="Sí", IF(H185="Sí", "DP", "SP"), IF(H185="Sí", "SD", "-"))</f>
        <v>-</v>
      </c>
      <c r="K185" s="35" t="str">
        <f aca="false">IF(IFERROR(L185,7)=7,"",RIGHT(L185,LEN(L185)-2)&amp;".")</f>
        <v>/A.</v>
      </c>
      <c r="L185" s="35" t="str">
        <f aca="false">IFERROR(__xludf.dummyfunction("CONCATENATE(ArrayFormula(""; ""&amp;QUERY(Hallazgos!A:F,""SELECT B WHERE E CONTAINS '""&amp;A185&amp;""' LABEL B ''"")))"),"#N/A")</f>
        <v>#N/A</v>
      </c>
    </row>
    <row r="186" customFormat="false" ht="15.75" hidden="false" customHeight="true" outlineLevel="0" collapsed="false">
      <c r="A186" s="40" t="s">
        <v>494</v>
      </c>
      <c r="B186" s="40" t="s">
        <v>881</v>
      </c>
      <c r="C186" s="37" t="s">
        <v>13</v>
      </c>
      <c r="D186" s="38" t="s">
        <v>599</v>
      </c>
      <c r="E186" s="38" t="s">
        <v>184</v>
      </c>
      <c r="F186" s="38" t="s">
        <v>55</v>
      </c>
      <c r="G186" s="39" t="s">
        <v>17</v>
      </c>
      <c r="H186" s="39" t="s">
        <v>17</v>
      </c>
      <c r="I186" s="39" t="s">
        <v>17</v>
      </c>
      <c r="J186" s="39" t="str">
        <f aca="false">IF(G186="Sí", IF(H186="Sí", "DP", "SP"), IF(H186="Sí", "SD", "-"))</f>
        <v>-</v>
      </c>
      <c r="K186" s="35" t="str">
        <f aca="false">IF(IFERROR(L186,7)=7,"",RIGHT(L186,LEN(L186)-2)&amp;".")</f>
        <v>/A.</v>
      </c>
      <c r="L186" s="35" t="str">
        <f aca="false">IFERROR(__xludf.dummyfunction("CONCATENATE(ArrayFormula(""; ""&amp;QUERY(Hallazgos!A:F,""SELECT B WHERE E CONTAINS '""&amp;A186&amp;""' LABEL B ''"")))"),"#N/A")</f>
        <v>#N/A</v>
      </c>
    </row>
    <row r="187" customFormat="false" ht="15.75" hidden="false" customHeight="true" outlineLevel="0" collapsed="false">
      <c r="A187" s="40" t="s">
        <v>497</v>
      </c>
      <c r="B187" s="40" t="s">
        <v>882</v>
      </c>
      <c r="C187" s="37" t="s">
        <v>13</v>
      </c>
      <c r="D187" s="38" t="s">
        <v>599</v>
      </c>
      <c r="E187" s="38" t="s">
        <v>184</v>
      </c>
      <c r="F187" s="38" t="s">
        <v>55</v>
      </c>
      <c r="G187" s="39" t="s">
        <v>17</v>
      </c>
      <c r="H187" s="39" t="s">
        <v>17</v>
      </c>
      <c r="I187" s="39" t="s">
        <v>17</v>
      </c>
      <c r="J187" s="39" t="str">
        <f aca="false">IF(G187="Sí", IF(H187="Sí", "DP", "SP"), IF(H187="Sí", "SD", "-"))</f>
        <v>-</v>
      </c>
      <c r="K187" s="35" t="str">
        <f aca="false">IF(IFERROR(L187,7)=7,"",RIGHT(L187,LEN(L187)-2)&amp;".")</f>
        <v>/A.</v>
      </c>
      <c r="L187" s="35" t="str">
        <f aca="false">IFERROR(__xludf.dummyfunction("CONCATENATE(ArrayFormula(""; ""&amp;QUERY(Hallazgos!A:F,""SELECT B WHERE E CONTAINS '""&amp;A187&amp;""' LABEL B ''"")))"),"#N/A")</f>
        <v>#N/A</v>
      </c>
    </row>
    <row r="188" customFormat="false" ht="15.75" hidden="false" customHeight="true" outlineLevel="0" collapsed="false">
      <c r="A188" s="40" t="s">
        <v>499</v>
      </c>
      <c r="B188" s="40" t="s">
        <v>883</v>
      </c>
      <c r="C188" s="37" t="s">
        <v>13</v>
      </c>
      <c r="D188" s="38" t="s">
        <v>599</v>
      </c>
      <c r="E188" s="38" t="s">
        <v>81</v>
      </c>
      <c r="F188" s="38" t="s">
        <v>55</v>
      </c>
      <c r="G188" s="39" t="s">
        <v>17</v>
      </c>
      <c r="H188" s="39" t="s">
        <v>17</v>
      </c>
      <c r="I188" s="39" t="s">
        <v>17</v>
      </c>
      <c r="J188" s="39" t="str">
        <f aca="false">IF(G188="Sí", IF(H188="Sí", "DP", "SP"), IF(H188="Sí", "SD", "-"))</f>
        <v>-</v>
      </c>
      <c r="K188" s="35" t="str">
        <f aca="false">IF(IFERROR(L188,7)=7,"",RIGHT(L188,LEN(L188)-2)&amp;".")</f>
        <v>/A.</v>
      </c>
      <c r="L188" s="35" t="str">
        <f aca="false">IFERROR(__xludf.dummyfunction("CONCATENATE(ArrayFormula(""; ""&amp;QUERY(Hallazgos!A:F,""SELECT B WHERE E CONTAINS '""&amp;A188&amp;""' LABEL B ''"")))"),"#N/A")</f>
        <v>#N/A</v>
      </c>
    </row>
    <row r="189" customFormat="false" ht="15.75" hidden="false" customHeight="true" outlineLevel="0" collapsed="false">
      <c r="A189" s="40" t="s">
        <v>502</v>
      </c>
      <c r="B189" s="40" t="s">
        <v>884</v>
      </c>
      <c r="C189" s="37" t="s">
        <v>13</v>
      </c>
      <c r="D189" s="38" t="s">
        <v>599</v>
      </c>
      <c r="E189" s="38" t="s">
        <v>98</v>
      </c>
      <c r="F189" s="38" t="s">
        <v>55</v>
      </c>
      <c r="G189" s="39" t="s">
        <v>17</v>
      </c>
      <c r="H189" s="39" t="s">
        <v>17</v>
      </c>
      <c r="I189" s="39" t="s">
        <v>17</v>
      </c>
      <c r="J189" s="39" t="str">
        <f aca="false">IF(G189="Sí", IF(H189="Sí", "DP", "SP"), IF(H189="Sí", "SD", "-"))</f>
        <v>-</v>
      </c>
      <c r="K189" s="35" t="str">
        <f aca="false">IF(IFERROR(L189,7)=7,"",RIGHT(L189,LEN(L189)-2)&amp;".")</f>
        <v>/A.</v>
      </c>
      <c r="L189" s="35" t="str">
        <f aca="false">IFERROR(__xludf.dummyfunction("CONCATENATE(ArrayFormula(""; ""&amp;QUERY(Hallazgos!A:F,""SELECT B WHERE E CONTAINS '""&amp;A189&amp;""' LABEL B ''"")))"),"#N/A")</f>
        <v>#N/A</v>
      </c>
    </row>
    <row r="190" customFormat="false" ht="15.75" hidden="false" customHeight="true" outlineLevel="0" collapsed="false">
      <c r="A190" s="40" t="s">
        <v>504</v>
      </c>
      <c r="B190" s="40" t="s">
        <v>885</v>
      </c>
      <c r="C190" s="37" t="s">
        <v>13</v>
      </c>
      <c r="D190" s="38" t="s">
        <v>599</v>
      </c>
      <c r="E190" s="38" t="s">
        <v>98</v>
      </c>
      <c r="F190" s="38" t="s">
        <v>55</v>
      </c>
      <c r="G190" s="39" t="s">
        <v>17</v>
      </c>
      <c r="H190" s="39" t="s">
        <v>17</v>
      </c>
      <c r="I190" s="39" t="s">
        <v>17</v>
      </c>
      <c r="J190" s="39" t="str">
        <f aca="false">IF(G190="Sí", IF(H190="Sí", "DP", "SP"), IF(H190="Sí", "SD", "-"))</f>
        <v>-</v>
      </c>
      <c r="K190" s="35" t="str">
        <f aca="false">IF(IFERROR(L190,7)=7,"",RIGHT(L190,LEN(L190)-2)&amp;".")</f>
        <v>/A.</v>
      </c>
      <c r="L190" s="35" t="str">
        <f aca="false">IFERROR(__xludf.dummyfunction("CONCATENATE(ArrayFormula(""; ""&amp;QUERY(Hallazgos!A:F,""SELECT B WHERE E CONTAINS '""&amp;A190&amp;""' LABEL B ''"")))"),"#N/A")</f>
        <v>#N/A</v>
      </c>
    </row>
    <row r="191" customFormat="false" ht="15.75" hidden="false" customHeight="true" outlineLevel="0" collapsed="false">
      <c r="A191" s="41" t="s">
        <v>509</v>
      </c>
      <c r="B191" s="41" t="s">
        <v>886</v>
      </c>
      <c r="C191" s="38" t="s">
        <v>13</v>
      </c>
      <c r="D191" s="38" t="s">
        <v>599</v>
      </c>
      <c r="E191" s="38" t="s">
        <v>76</v>
      </c>
      <c r="F191" s="38" t="s">
        <v>104</v>
      </c>
      <c r="G191" s="39" t="s">
        <v>17</v>
      </c>
      <c r="H191" s="39" t="s">
        <v>17</v>
      </c>
      <c r="I191" s="39" t="s">
        <v>17</v>
      </c>
      <c r="J191" s="39" t="str">
        <f aca="false">IF(G191="Sí", IF(H191="Sí", "DP", "SP"), IF(H191="Sí", "SD", "-"))</f>
        <v>-</v>
      </c>
      <c r="K191" s="35"/>
      <c r="L191" s="35" t="str">
        <f aca="false">IFERROR(__xludf.dummyfunction("CONCATENATE(ArrayFormula(""; ""&amp;QUERY(Hallazgos!A:F,""SELECT B WHERE E CONTAINS '""&amp;A191&amp;""' LABEL B ''"")))"),"#N/A")</f>
        <v>#N/A</v>
      </c>
    </row>
    <row r="192" customFormat="false" ht="15.75" hidden="false" customHeight="true" outlineLevel="0" collapsed="false">
      <c r="A192" s="41" t="s">
        <v>511</v>
      </c>
      <c r="B192" s="41" t="s">
        <v>887</v>
      </c>
      <c r="C192" s="38" t="s">
        <v>41</v>
      </c>
      <c r="D192" s="38" t="s">
        <v>599</v>
      </c>
      <c r="E192" s="38" t="s">
        <v>184</v>
      </c>
      <c r="F192" s="38" t="s">
        <v>55</v>
      </c>
      <c r="G192" s="39" t="s">
        <v>17</v>
      </c>
      <c r="H192" s="39" t="s">
        <v>17</v>
      </c>
      <c r="I192" s="39" t="s">
        <v>17</v>
      </c>
      <c r="J192" s="39" t="str">
        <f aca="false">IF(G192="Sí", IF(H192="Sí", "DP", "SP"), IF(H192="Sí", "SD", "-"))</f>
        <v>-</v>
      </c>
      <c r="K192" s="35"/>
      <c r="L192" s="35" t="str">
        <f aca="false">IFERROR(__xludf.dummyfunction("CONCATENATE(ArrayFormula(""; ""&amp;QUERY(Hallazgos!A:F,""SELECT B WHERE E CONTAINS '""&amp;A192&amp;""' LABEL B ''"")))"),"#N/A")</f>
        <v>#N/A</v>
      </c>
    </row>
    <row r="193" customFormat="false" ht="15.75" hidden="false" customHeight="true" outlineLevel="0" collapsed="false">
      <c r="A193" s="41" t="s">
        <v>513</v>
      </c>
      <c r="B193" s="41" t="s">
        <v>888</v>
      </c>
      <c r="C193" s="38" t="s">
        <v>13</v>
      </c>
      <c r="D193" s="38" t="s">
        <v>599</v>
      </c>
      <c r="E193" s="38" t="s">
        <v>54</v>
      </c>
      <c r="F193" s="38" t="s">
        <v>55</v>
      </c>
      <c r="G193" s="39" t="s">
        <v>17</v>
      </c>
      <c r="H193" s="39" t="s">
        <v>17</v>
      </c>
      <c r="I193" s="39" t="s">
        <v>17</v>
      </c>
      <c r="J193" s="39" t="str">
        <f aca="false">IF(G193="Sí", IF(H193="Sí", "DP", "SP"), IF(H193="Sí", "SD", "-"))</f>
        <v>-</v>
      </c>
      <c r="K193" s="35"/>
      <c r="L193" s="35" t="str">
        <f aca="false">IFERROR(__xludf.dummyfunction("CONCATENATE(ArrayFormula(""; ""&amp;QUERY(Hallazgos!A:F,""SELECT B WHERE E CONTAINS '""&amp;A193&amp;""' LABEL B ''"")))"),"#N/A")</f>
        <v>#N/A</v>
      </c>
    </row>
    <row r="194" customFormat="false" ht="15.75" hidden="false" customHeight="true" outlineLevel="0" collapsed="false">
      <c r="A194" s="41" t="s">
        <v>515</v>
      </c>
      <c r="B194" s="41" t="s">
        <v>631</v>
      </c>
      <c r="C194" s="38" t="s">
        <v>13</v>
      </c>
      <c r="D194" s="38" t="s">
        <v>599</v>
      </c>
      <c r="E194" s="38" t="s">
        <v>111</v>
      </c>
      <c r="F194" s="38" t="s">
        <v>55</v>
      </c>
      <c r="G194" s="39" t="s">
        <v>17</v>
      </c>
      <c r="H194" s="39" t="s">
        <v>17</v>
      </c>
      <c r="I194" s="39" t="s">
        <v>17</v>
      </c>
      <c r="J194" s="39" t="str">
        <f aca="false">IF(G194="Sí", IF(H194="Sí", "DP", "SP"), IF(H194="Sí", "SD", "-"))</f>
        <v>-</v>
      </c>
      <c r="K194" s="35"/>
      <c r="L194" s="35" t="str">
        <f aca="false">IFERROR(__xludf.dummyfunction("CONCATENATE(ArrayFormula(""; ""&amp;QUERY(Hallazgos!A:F,""SELECT B WHERE E CONTAINS '""&amp;A194&amp;""' LABEL B ''"")))"),"#N/A")</f>
        <v>#N/A</v>
      </c>
    </row>
    <row r="195" customFormat="false" ht="15.75" hidden="false" customHeight="true" outlineLevel="0" collapsed="false">
      <c r="A195" s="41" t="s">
        <v>517</v>
      </c>
      <c r="B195" s="41" t="s">
        <v>889</v>
      </c>
      <c r="C195" s="38" t="s">
        <v>13</v>
      </c>
      <c r="D195" s="38" t="s">
        <v>599</v>
      </c>
      <c r="E195" s="38" t="s">
        <v>181</v>
      </c>
      <c r="F195" s="38" t="s">
        <v>55</v>
      </c>
      <c r="G195" s="39" t="s">
        <v>17</v>
      </c>
      <c r="H195" s="39" t="s">
        <v>17</v>
      </c>
      <c r="I195" s="39" t="s">
        <v>17</v>
      </c>
      <c r="J195" s="39" t="str">
        <f aca="false">IF(G195="Sí", IF(H195="Sí", "DP", "SP"), IF(H195="Sí", "SD", "-"))</f>
        <v>-</v>
      </c>
      <c r="K195" s="35"/>
      <c r="L195" s="35" t="str">
        <f aca="false">IFERROR(__xludf.dummyfunction("CONCATENATE(ArrayFormula(""; ""&amp;QUERY(Hallazgos!A:F,""SELECT B WHERE E CONTAINS '""&amp;A195&amp;""' LABEL B ''"")))"),"#N/A")</f>
        <v>#N/A</v>
      </c>
    </row>
    <row r="196" customFormat="false" ht="15.75" hidden="false" customHeight="true" outlineLevel="0" collapsed="false">
      <c r="A196" s="41" t="s">
        <v>519</v>
      </c>
      <c r="B196" s="41" t="s">
        <v>635</v>
      </c>
      <c r="C196" s="38" t="s">
        <v>38</v>
      </c>
      <c r="D196" s="38" t="s">
        <v>599</v>
      </c>
      <c r="E196" s="38" t="s">
        <v>15</v>
      </c>
      <c r="F196" s="38" t="s">
        <v>44</v>
      </c>
      <c r="G196" s="39" t="s">
        <v>17</v>
      </c>
      <c r="H196" s="39" t="s">
        <v>17</v>
      </c>
      <c r="I196" s="39" t="s">
        <v>17</v>
      </c>
      <c r="J196" s="39" t="str">
        <f aca="false">IF(G196="Sí", IF(H196="Sí", "DP", "SP"), IF(H196="Sí", "SD", "-"))</f>
        <v>-</v>
      </c>
      <c r="K196" s="35"/>
      <c r="L196" s="35" t="str">
        <f aca="false">IFERROR(__xludf.dummyfunction("CONCATENATE(ArrayFormula(""; ""&amp;QUERY(Hallazgos!A:F,""SELECT B WHERE E CONTAINS '""&amp;A196&amp;""' LABEL B ''"")))"),"#N/A")</f>
        <v>#N/A</v>
      </c>
    </row>
    <row r="197" customFormat="false" ht="15.75" hidden="false" customHeight="true" outlineLevel="0" collapsed="false">
      <c r="A197" s="41" t="s">
        <v>521</v>
      </c>
      <c r="B197" s="41" t="s">
        <v>890</v>
      </c>
      <c r="C197" s="38" t="s">
        <v>13</v>
      </c>
      <c r="D197" s="38" t="s">
        <v>599</v>
      </c>
      <c r="E197" s="38" t="s">
        <v>192</v>
      </c>
      <c r="F197" s="38" t="s">
        <v>55</v>
      </c>
      <c r="G197" s="39" t="s">
        <v>17</v>
      </c>
      <c r="H197" s="39" t="s">
        <v>17</v>
      </c>
      <c r="I197" s="39" t="s">
        <v>17</v>
      </c>
      <c r="J197" s="39" t="str">
        <f aca="false">IF(G197="Sí", IF(H197="Sí", "DP", "SP"), IF(H197="Sí", "SD", "-"))</f>
        <v>-</v>
      </c>
      <c r="K197" s="35"/>
      <c r="L197" s="35" t="str">
        <f aca="false">IFERROR(__xludf.dummyfunction("CONCATENATE(ArrayFormula(""; ""&amp;QUERY(Hallazgos!A:F,""SELECT B WHERE E CONTAINS '""&amp;A197&amp;""' LABEL B ''"")))"),"#N/A")</f>
        <v>#N/A</v>
      </c>
    </row>
    <row r="198" customFormat="false" ht="15.75" hidden="false" customHeight="true" outlineLevel="0" collapsed="false">
      <c r="A198" s="41" t="s">
        <v>523</v>
      </c>
      <c r="B198" s="41" t="s">
        <v>891</v>
      </c>
      <c r="C198" s="38" t="s">
        <v>13</v>
      </c>
      <c r="D198" s="38" t="s">
        <v>599</v>
      </c>
      <c r="E198" s="38" t="s">
        <v>81</v>
      </c>
      <c r="F198" s="38" t="s">
        <v>55</v>
      </c>
      <c r="G198" s="39" t="s">
        <v>17</v>
      </c>
      <c r="H198" s="39" t="s">
        <v>17</v>
      </c>
      <c r="I198" s="39" t="s">
        <v>17</v>
      </c>
      <c r="J198" s="39" t="str">
        <f aca="false">IF(G198="Sí", IF(H198="Sí", "DP", "SP"), IF(H198="Sí", "SD", "-"))</f>
        <v>-</v>
      </c>
      <c r="K198" s="35"/>
      <c r="L198" s="35" t="str">
        <f aca="false">IFERROR(__xludf.dummyfunction("CONCATENATE(ArrayFormula(""; ""&amp;QUERY(Hallazgos!A:F,""SELECT B WHERE E CONTAINS '""&amp;A198&amp;""' LABEL B ''"")))"),"#N/A")</f>
        <v>#N/A</v>
      </c>
    </row>
    <row r="199" customFormat="false" ht="15.75" hidden="false" customHeight="true" outlineLevel="0" collapsed="false">
      <c r="A199" s="41" t="s">
        <v>525</v>
      </c>
      <c r="B199" s="41" t="s">
        <v>892</v>
      </c>
      <c r="C199" s="38" t="s">
        <v>13</v>
      </c>
      <c r="D199" s="38" t="s">
        <v>599</v>
      </c>
      <c r="E199" s="38" t="s">
        <v>81</v>
      </c>
      <c r="F199" s="38" t="s">
        <v>55</v>
      </c>
      <c r="G199" s="39" t="s">
        <v>17</v>
      </c>
      <c r="H199" s="39" t="s">
        <v>17</v>
      </c>
      <c r="I199" s="39" t="s">
        <v>17</v>
      </c>
      <c r="J199" s="39" t="str">
        <f aca="false">IF(G199="Sí", IF(H199="Sí", "DP", "SP"), IF(H199="Sí", "SD", "-"))</f>
        <v>-</v>
      </c>
      <c r="K199" s="35"/>
      <c r="L199" s="35" t="str">
        <f aca="false">IFERROR(__xludf.dummyfunction("CONCATENATE(ArrayFormula(""; ""&amp;QUERY(Hallazgos!A:F,""SELECT B WHERE E CONTAINS '""&amp;A199&amp;""' LABEL B ''"")))"),"#N/A")</f>
        <v>#N/A</v>
      </c>
    </row>
    <row r="200" customFormat="false" ht="15.75" hidden="false" customHeight="true" outlineLevel="0" collapsed="false">
      <c r="A200" s="41" t="s">
        <v>527</v>
      </c>
      <c r="B200" s="41" t="s">
        <v>641</v>
      </c>
      <c r="C200" s="38" t="s">
        <v>38</v>
      </c>
      <c r="D200" s="38" t="s">
        <v>599</v>
      </c>
      <c r="E200" s="38" t="s">
        <v>15</v>
      </c>
      <c r="F200" s="38" t="s">
        <v>104</v>
      </c>
      <c r="G200" s="39" t="s">
        <v>17</v>
      </c>
      <c r="H200" s="39" t="s">
        <v>17</v>
      </c>
      <c r="I200" s="39" t="s">
        <v>17</v>
      </c>
      <c r="J200" s="39" t="str">
        <f aca="false">IF(G200="Sí", IF(H200="Sí", "DP", "SP"), IF(H200="Sí", "SD", "-"))</f>
        <v>-</v>
      </c>
      <c r="K200" s="35"/>
      <c r="L200" s="35" t="str">
        <f aca="false">IFERROR(__xludf.dummyfunction("CONCATENATE(ArrayFormula(""; ""&amp;QUERY(Hallazgos!A:F,""SELECT B WHERE E CONTAINS '""&amp;A200&amp;""' LABEL B ''"")))"),"#N/A")</f>
        <v>#N/A</v>
      </c>
    </row>
    <row r="201" customFormat="false" ht="15.75" hidden="false" customHeight="true" outlineLevel="0" collapsed="false">
      <c r="A201" s="41" t="s">
        <v>529</v>
      </c>
      <c r="B201" s="41" t="s">
        <v>893</v>
      </c>
      <c r="C201" s="38" t="s">
        <v>38</v>
      </c>
      <c r="D201" s="38" t="s">
        <v>599</v>
      </c>
      <c r="E201" s="38" t="s">
        <v>15</v>
      </c>
      <c r="F201" s="38" t="s">
        <v>104</v>
      </c>
      <c r="G201" s="39" t="s">
        <v>17</v>
      </c>
      <c r="H201" s="39" t="s">
        <v>17</v>
      </c>
      <c r="I201" s="39" t="s">
        <v>17</v>
      </c>
      <c r="J201" s="39" t="str">
        <f aca="false">IF(G201="Sí", IF(H201="Sí", "DP", "SP"), IF(H201="Sí", "SD", "-"))</f>
        <v>-</v>
      </c>
      <c r="K201" s="35"/>
      <c r="L201" s="35" t="str">
        <f aca="false">IFERROR(__xludf.dummyfunction("CONCATENATE(ArrayFormula(""; ""&amp;QUERY(Hallazgos!A:F,""SELECT B WHERE E CONTAINS '""&amp;A201&amp;""' LABEL B ''"")))"),"#N/A")</f>
        <v>#N/A</v>
      </c>
    </row>
    <row r="202" customFormat="false" ht="15.75" hidden="false" customHeight="true" outlineLevel="0" collapsed="false">
      <c r="A202" s="41" t="s">
        <v>531</v>
      </c>
      <c r="B202" s="41" t="s">
        <v>57</v>
      </c>
      <c r="C202" s="38" t="s">
        <v>38</v>
      </c>
      <c r="D202" s="38" t="s">
        <v>58</v>
      </c>
      <c r="E202" s="38" t="s">
        <v>15</v>
      </c>
      <c r="F202" s="38" t="s">
        <v>55</v>
      </c>
      <c r="G202" s="39" t="s">
        <v>17</v>
      </c>
      <c r="H202" s="39" t="s">
        <v>17</v>
      </c>
      <c r="I202" s="39" t="s">
        <v>17</v>
      </c>
      <c r="J202" s="39" t="str">
        <f aca="false">IF(G202="Sí", IF(H202="Sí", "DP", "SP"), IF(H202="Sí", "SD", "-"))</f>
        <v>-</v>
      </c>
      <c r="K202" s="35"/>
      <c r="L202" s="35" t="str">
        <f aca="false">IFERROR(__xludf.dummyfunction("CONCATENATE(ArrayFormula(""; ""&amp;QUERY(Hallazgos!A:F,""SELECT B WHERE E CONTAINS '""&amp;A202&amp;""' LABEL B ''"")))"),"#N/A")</f>
        <v>#N/A</v>
      </c>
    </row>
    <row r="203" customFormat="false" ht="15.75" hidden="false" customHeight="true" outlineLevel="0" collapsed="false">
      <c r="A203" s="41" t="s">
        <v>533</v>
      </c>
      <c r="B203" s="41" t="s">
        <v>60</v>
      </c>
      <c r="C203" s="38" t="s">
        <v>38</v>
      </c>
      <c r="D203" s="38" t="s">
        <v>58</v>
      </c>
      <c r="E203" s="38" t="s">
        <v>15</v>
      </c>
      <c r="F203" s="38" t="s">
        <v>55</v>
      </c>
      <c r="G203" s="39" t="s">
        <v>17</v>
      </c>
      <c r="H203" s="39" t="s">
        <v>17</v>
      </c>
      <c r="I203" s="39" t="s">
        <v>17</v>
      </c>
      <c r="J203" s="39" t="str">
        <f aca="false">IF(G203="Sí", IF(H203="Sí", "DP", "SP"), IF(H203="Sí", "SD", "-"))</f>
        <v>-</v>
      </c>
      <c r="K203" s="35"/>
      <c r="L203" s="35" t="str">
        <f aca="false">IFERROR(__xludf.dummyfunction("CONCATENATE(ArrayFormula(""; ""&amp;QUERY(Hallazgos!A:F,""SELECT B WHERE E CONTAINS '""&amp;A203&amp;""' LABEL B ''"")))"),"#N/A")</f>
        <v>#N/A</v>
      </c>
    </row>
    <row r="204" customFormat="false" ht="15.75" hidden="false" customHeight="true" outlineLevel="0" collapsed="false">
      <c r="A204" s="41" t="s">
        <v>536</v>
      </c>
      <c r="B204" s="41" t="s">
        <v>62</v>
      </c>
      <c r="C204" s="38" t="s">
        <v>38</v>
      </c>
      <c r="D204" s="38" t="s">
        <v>58</v>
      </c>
      <c r="E204" s="38" t="s">
        <v>15</v>
      </c>
      <c r="F204" s="38" t="s">
        <v>16</v>
      </c>
      <c r="G204" s="39" t="s">
        <v>17</v>
      </c>
      <c r="H204" s="39" t="s">
        <v>17</v>
      </c>
      <c r="I204" s="39" t="s">
        <v>17</v>
      </c>
      <c r="J204" s="39" t="str">
        <f aca="false">IF(G204="Sí", IF(H204="Sí", "DP", "SP"), IF(H204="Sí", "SD", "-"))</f>
        <v>-</v>
      </c>
      <c r="K204" s="35"/>
      <c r="L204" s="35" t="str">
        <f aca="false">IFERROR(__xludf.dummyfunction("CONCATENATE(ArrayFormula(""; ""&amp;QUERY(Hallazgos!A:F,""SELECT B WHERE E CONTAINS '""&amp;A204&amp;""' LABEL B ''"")))"),"#N/A")</f>
        <v>#N/A</v>
      </c>
    </row>
    <row r="205" customFormat="false" ht="15.75" hidden="false" customHeight="true" outlineLevel="0" collapsed="false">
      <c r="A205" s="41" t="s">
        <v>540</v>
      </c>
      <c r="B205" s="41" t="s">
        <v>894</v>
      </c>
      <c r="C205" s="38" t="s">
        <v>38</v>
      </c>
      <c r="D205" s="38" t="s">
        <v>58</v>
      </c>
      <c r="E205" s="38" t="s">
        <v>15</v>
      </c>
      <c r="F205" s="38" t="s">
        <v>55</v>
      </c>
      <c r="G205" s="39" t="s">
        <v>17</v>
      </c>
      <c r="H205" s="39" t="s">
        <v>17</v>
      </c>
      <c r="I205" s="39" t="s">
        <v>17</v>
      </c>
      <c r="J205" s="39" t="str">
        <f aca="false">IF(G205="Sí", IF(H205="Sí", "DP", "SP"), IF(H205="Sí", "SD", "-"))</f>
        <v>-</v>
      </c>
      <c r="K205" s="35"/>
      <c r="L205" s="35" t="str">
        <f aca="false">IFERROR(__xludf.dummyfunction("CONCATENATE(ArrayFormula(""; ""&amp;QUERY(Hallazgos!A:F,""SELECT B WHERE E CONTAINS '""&amp;A205&amp;""' LABEL B ''"")))"),"#N/A")</f>
        <v>#N/A</v>
      </c>
    </row>
    <row r="206" customFormat="false" ht="15.75" hidden="false" customHeight="true" outlineLevel="0" collapsed="false">
      <c r="A206" s="41" t="s">
        <v>542</v>
      </c>
      <c r="B206" s="41" t="s">
        <v>895</v>
      </c>
      <c r="C206" s="38" t="s">
        <v>13</v>
      </c>
      <c r="D206" s="38" t="s">
        <v>599</v>
      </c>
      <c r="E206" s="38" t="s">
        <v>646</v>
      </c>
      <c r="F206" s="38" t="s">
        <v>55</v>
      </c>
      <c r="G206" s="39" t="s">
        <v>17</v>
      </c>
      <c r="H206" s="39" t="s">
        <v>17</v>
      </c>
      <c r="I206" s="39" t="s">
        <v>17</v>
      </c>
      <c r="J206" s="39" t="str">
        <f aca="false">IF(G206="Sí", IF(H206="Sí", "DP", "SP"), IF(H206="Sí", "SD", "-"))</f>
        <v>-</v>
      </c>
      <c r="K206" s="35"/>
      <c r="L206" s="35" t="str">
        <f aca="false">IFERROR(__xludf.dummyfunction("CONCATENATE(ArrayFormula(""; ""&amp;QUERY(Hallazgos!A:F,""SELECT B WHERE E CONTAINS '""&amp;A206&amp;""' LABEL B ''"")))"),"#N/A")</f>
        <v>#N/A</v>
      </c>
    </row>
    <row r="207" customFormat="false" ht="15.75" hidden="false" customHeight="true" outlineLevel="0" collapsed="false">
      <c r="A207" s="41" t="s">
        <v>545</v>
      </c>
      <c r="B207" s="41" t="s">
        <v>896</v>
      </c>
      <c r="C207" s="38" t="s">
        <v>13</v>
      </c>
      <c r="D207" s="38" t="s">
        <v>599</v>
      </c>
      <c r="E207" s="38" t="s">
        <v>646</v>
      </c>
      <c r="F207" s="38" t="s">
        <v>55</v>
      </c>
      <c r="G207" s="39" t="s">
        <v>17</v>
      </c>
      <c r="H207" s="39" t="s">
        <v>17</v>
      </c>
      <c r="I207" s="39" t="s">
        <v>17</v>
      </c>
      <c r="J207" s="39" t="str">
        <f aca="false">IF(G207="Sí", IF(H207="Sí", "DP", "SP"), IF(H207="Sí", "SD", "-"))</f>
        <v>-</v>
      </c>
      <c r="K207" s="35"/>
      <c r="L207" s="35" t="str">
        <f aca="false">IFERROR(__xludf.dummyfunction("CONCATENATE(ArrayFormula(""; ""&amp;QUERY(Hallazgos!A:F,""SELECT B WHERE E CONTAINS '""&amp;A207&amp;""' LABEL B ''"")))"),"#N/A")</f>
        <v>#N/A</v>
      </c>
    </row>
    <row r="208" customFormat="false" ht="15.75" hidden="false" customHeight="true" outlineLevel="0" collapsed="false">
      <c r="A208" s="41" t="s">
        <v>547</v>
      </c>
      <c r="B208" s="41" t="s">
        <v>392</v>
      </c>
      <c r="C208" s="38" t="s">
        <v>41</v>
      </c>
      <c r="D208" s="38" t="s">
        <v>352</v>
      </c>
      <c r="E208" s="38" t="s">
        <v>116</v>
      </c>
      <c r="F208" s="38" t="s">
        <v>73</v>
      </c>
      <c r="G208" s="39" t="s">
        <v>17</v>
      </c>
      <c r="H208" s="39" t="s">
        <v>17</v>
      </c>
      <c r="I208" s="39" t="s">
        <v>17</v>
      </c>
      <c r="J208" s="39" t="str">
        <f aca="false">IF(G208="Sí", IF(H208="Sí", "DP", "SP"), IF(H208="Sí", "SD", "-"))</f>
        <v>-</v>
      </c>
      <c r="K208" s="35"/>
      <c r="L208" s="35" t="str">
        <f aca="false">IFERROR(__xludf.dummyfunction("CONCATENATE(ArrayFormula(""; ""&amp;QUERY(Hallazgos!A:F,""SELECT B WHERE E CONTAINS '""&amp;A208&amp;""' LABEL B ''"")))"),"#N/A")</f>
        <v>#N/A</v>
      </c>
    </row>
    <row r="209" customFormat="false" ht="15.75" hidden="false" customHeight="true" outlineLevel="0" collapsed="false">
      <c r="A209" s="41" t="s">
        <v>549</v>
      </c>
      <c r="B209" s="41" t="s">
        <v>897</v>
      </c>
      <c r="C209" s="38" t="s">
        <v>41</v>
      </c>
      <c r="D209" s="38" t="s">
        <v>274</v>
      </c>
      <c r="E209" s="38" t="s">
        <v>76</v>
      </c>
      <c r="F209" s="38" t="s">
        <v>73</v>
      </c>
      <c r="G209" s="39" t="s">
        <v>17</v>
      </c>
      <c r="H209" s="39" t="s">
        <v>17</v>
      </c>
      <c r="I209" s="39" t="s">
        <v>17</v>
      </c>
      <c r="J209" s="39" t="str">
        <f aca="false">IF(G209="Sí", IF(H209="Sí", "DP", "SP"), IF(H209="Sí", "SD", "-"))</f>
        <v>-</v>
      </c>
      <c r="K209" s="35"/>
      <c r="L209" s="35" t="str">
        <f aca="false">IFERROR(__xludf.dummyfunction("CONCATENATE(ArrayFormula(""; ""&amp;QUERY(Hallazgos!A:F,""SELECT B WHERE E CONTAINS '""&amp;A209&amp;""' LABEL B ''"")))"),"#N/A")</f>
        <v>#N/A</v>
      </c>
    </row>
    <row r="210" customFormat="false" ht="15.75" hidden="false" customHeight="true" outlineLevel="0" collapsed="false">
      <c r="A210" s="41" t="s">
        <v>551</v>
      </c>
      <c r="B210" s="41" t="s">
        <v>289</v>
      </c>
      <c r="C210" s="38" t="s">
        <v>41</v>
      </c>
      <c r="D210" s="38" t="s">
        <v>274</v>
      </c>
      <c r="E210" s="38" t="s">
        <v>54</v>
      </c>
      <c r="F210" s="38" t="s">
        <v>55</v>
      </c>
      <c r="G210" s="39" t="s">
        <v>17</v>
      </c>
      <c r="H210" s="39" t="s">
        <v>17</v>
      </c>
      <c r="I210" s="39" t="s">
        <v>17</v>
      </c>
      <c r="J210" s="39" t="str">
        <f aca="false">IF(G210="Sí", IF(H210="Sí", "DP", "SP"), IF(H210="Sí", "SD", "-"))</f>
        <v>-</v>
      </c>
      <c r="K210" s="35"/>
      <c r="L210" s="35" t="str">
        <f aca="false">IFERROR(__xludf.dummyfunction("CONCATENATE(ArrayFormula(""; ""&amp;QUERY(Hallazgos!A:F,""SELECT B WHERE E CONTAINS '""&amp;A210&amp;""' LABEL B ''"")))"),"#N/A")</f>
        <v>#N/A</v>
      </c>
    </row>
    <row r="211" customFormat="false" ht="15.75" hidden="false" customHeight="true" outlineLevel="0" collapsed="false">
      <c r="A211" s="41" t="s">
        <v>554</v>
      </c>
      <c r="B211" s="41" t="s">
        <v>898</v>
      </c>
      <c r="C211" s="38" t="s">
        <v>41</v>
      </c>
      <c r="D211" s="38" t="s">
        <v>274</v>
      </c>
      <c r="E211" s="38" t="s">
        <v>88</v>
      </c>
      <c r="F211" s="38" t="s">
        <v>55</v>
      </c>
      <c r="G211" s="39" t="s">
        <v>17</v>
      </c>
      <c r="H211" s="39" t="s">
        <v>17</v>
      </c>
      <c r="I211" s="39" t="s">
        <v>17</v>
      </c>
      <c r="J211" s="39" t="str">
        <f aca="false">IF(G211="Sí", IF(H211="Sí", "DP", "SP"), IF(H211="Sí", "SD", "-"))</f>
        <v>-</v>
      </c>
      <c r="K211" s="35"/>
      <c r="L211" s="35" t="str">
        <f aca="false">IFERROR(__xludf.dummyfunction("CONCATENATE(ArrayFormula(""; ""&amp;QUERY(Hallazgos!A:F,""SELECT B WHERE E CONTAINS '""&amp;A211&amp;""' LABEL B ''"")))"),"#N/A")</f>
        <v>#N/A</v>
      </c>
    </row>
    <row r="212" customFormat="false" ht="15.75" hidden="false" customHeight="true" outlineLevel="0" collapsed="false">
      <c r="A212" s="41" t="s">
        <v>556</v>
      </c>
      <c r="B212" s="41" t="s">
        <v>532</v>
      </c>
      <c r="C212" s="38" t="s">
        <v>41</v>
      </c>
      <c r="D212" s="38" t="s">
        <v>506</v>
      </c>
      <c r="E212" s="38" t="s">
        <v>88</v>
      </c>
      <c r="F212" s="38" t="s">
        <v>55</v>
      </c>
      <c r="G212" s="39" t="s">
        <v>17</v>
      </c>
      <c r="H212" s="39" t="s">
        <v>17</v>
      </c>
      <c r="I212" s="39" t="s">
        <v>17</v>
      </c>
      <c r="J212" s="39" t="str">
        <f aca="false">IF(G212="Sí", IF(H212="Sí", "DP", "SP"), IF(H212="Sí", "SD", "-"))</f>
        <v>-</v>
      </c>
      <c r="K212" s="35"/>
      <c r="L212" s="35" t="str">
        <f aca="false">IFERROR(__xludf.dummyfunction("CONCATENATE(ArrayFormula(""; ""&amp;QUERY(Hallazgos!A:F,""SELECT B WHERE E CONTAINS '""&amp;A212&amp;""' LABEL B ''"")))"),"#N/A")</f>
        <v>#N/A</v>
      </c>
    </row>
    <row r="213" customFormat="false" ht="15.75" hidden="false" customHeight="true" outlineLevel="0" collapsed="false">
      <c r="A213" s="41" t="s">
        <v>558</v>
      </c>
      <c r="B213" s="41" t="s">
        <v>899</v>
      </c>
      <c r="C213" s="38" t="s">
        <v>41</v>
      </c>
      <c r="D213" s="38" t="s">
        <v>352</v>
      </c>
      <c r="E213" s="38" t="s">
        <v>116</v>
      </c>
      <c r="F213" s="38" t="s">
        <v>73</v>
      </c>
      <c r="G213" s="39" t="s">
        <v>17</v>
      </c>
      <c r="H213" s="39" t="s">
        <v>17</v>
      </c>
      <c r="I213" s="39" t="s">
        <v>17</v>
      </c>
      <c r="J213" s="39" t="str">
        <f aca="false">IF(G213="Sí", IF(H213="Sí", "DP", "SP"), IF(H213="Sí", "SD", "-"))</f>
        <v>-</v>
      </c>
      <c r="K213" s="35"/>
      <c r="L213" s="35" t="str">
        <f aca="false">IFERROR(__xludf.dummyfunction("CONCATENATE(ArrayFormula(""; ""&amp;QUERY(Hallazgos!A:F,""SELECT B WHERE E CONTAINS '""&amp;A213&amp;""' LABEL B ''"")))"),"#N/A")</f>
        <v>#N/A</v>
      </c>
    </row>
    <row r="214" customFormat="false" ht="15.75" hidden="false" customHeight="true" outlineLevel="0" collapsed="false">
      <c r="A214" s="41" t="s">
        <v>560</v>
      </c>
      <c r="B214" s="41" t="s">
        <v>422</v>
      </c>
      <c r="C214" s="38" t="s">
        <v>13</v>
      </c>
      <c r="D214" s="38" t="s">
        <v>399</v>
      </c>
      <c r="E214" s="38" t="s">
        <v>81</v>
      </c>
      <c r="F214" s="38" t="s">
        <v>16</v>
      </c>
      <c r="G214" s="39" t="s">
        <v>17</v>
      </c>
      <c r="H214" s="39" t="s">
        <v>17</v>
      </c>
      <c r="I214" s="39" t="s">
        <v>17</v>
      </c>
      <c r="J214" s="39" t="str">
        <f aca="false">IF(G214="Sí", IF(H214="Sí", "DP", "SP"), IF(H214="Sí", "SD", "-"))</f>
        <v>-</v>
      </c>
      <c r="K214" s="35"/>
      <c r="L214" s="35" t="str">
        <f aca="false">IFERROR(__xludf.dummyfunction("CONCATENATE(ArrayFormula(""; ""&amp;QUERY(Hallazgos!A:F,""SELECT B WHERE E CONTAINS '""&amp;A214&amp;""' LABEL B ''"")))"),"#N/A")</f>
        <v>#N/A</v>
      </c>
    </row>
    <row r="215" customFormat="false" ht="15.75" hidden="false" customHeight="true" outlineLevel="0" collapsed="false">
      <c r="A215" s="41" t="s">
        <v>562</v>
      </c>
      <c r="B215" s="41" t="s">
        <v>424</v>
      </c>
      <c r="C215" s="38" t="s">
        <v>13</v>
      </c>
      <c r="D215" s="38" t="s">
        <v>399</v>
      </c>
      <c r="E215" s="38" t="s">
        <v>81</v>
      </c>
      <c r="F215" s="38" t="s">
        <v>16</v>
      </c>
      <c r="G215" s="39" t="s">
        <v>17</v>
      </c>
      <c r="H215" s="39" t="s">
        <v>17</v>
      </c>
      <c r="I215" s="39" t="s">
        <v>17</v>
      </c>
      <c r="J215" s="39" t="str">
        <f aca="false">IF(G215="Sí", IF(H215="Sí", "DP", "SP"), IF(H215="Sí", "SD", "-"))</f>
        <v>-</v>
      </c>
      <c r="K215" s="35"/>
      <c r="L215" s="35" t="str">
        <f aca="false">IFERROR(__xludf.dummyfunction("CONCATENATE(ArrayFormula(""; ""&amp;QUERY(Hallazgos!A:F,""SELECT B WHERE E CONTAINS '""&amp;A215&amp;""' LABEL B ''"")))"),"#N/A")</f>
        <v>#N/A</v>
      </c>
    </row>
    <row r="216" customFormat="false" ht="15.75" hidden="false" customHeight="true" outlineLevel="0" collapsed="false">
      <c r="A216" s="41" t="s">
        <v>564</v>
      </c>
      <c r="B216" s="41" t="s">
        <v>426</v>
      </c>
      <c r="C216" s="38" t="s">
        <v>13</v>
      </c>
      <c r="D216" s="38" t="s">
        <v>399</v>
      </c>
      <c r="E216" s="38" t="s">
        <v>81</v>
      </c>
      <c r="F216" s="38" t="s">
        <v>44</v>
      </c>
      <c r="G216" s="39" t="s">
        <v>17</v>
      </c>
      <c r="H216" s="39" t="s">
        <v>17</v>
      </c>
      <c r="I216" s="39" t="s">
        <v>17</v>
      </c>
      <c r="J216" s="39" t="str">
        <f aca="false">IF(G216="Sí", IF(H216="Sí", "DP", "SP"), IF(H216="Sí", "SD", "-"))</f>
        <v>-</v>
      </c>
      <c r="K216" s="35"/>
      <c r="L216" s="35" t="str">
        <f aca="false">IFERROR(__xludf.dummyfunction("CONCATENATE(ArrayFormula(""; ""&amp;QUERY(Hallazgos!A:F,""SELECT B WHERE E CONTAINS '""&amp;A216&amp;""' LABEL B ''"")))"),"#N/A")</f>
        <v>#N/A</v>
      </c>
    </row>
    <row r="217" customFormat="false" ht="15.75" hidden="false" customHeight="true" outlineLevel="0" collapsed="false">
      <c r="A217" s="41" t="s">
        <v>566</v>
      </c>
      <c r="B217" s="41" t="s">
        <v>900</v>
      </c>
      <c r="C217" s="38" t="s">
        <v>13</v>
      </c>
      <c r="D217" s="38" t="s">
        <v>399</v>
      </c>
      <c r="E217" s="38" t="s">
        <v>81</v>
      </c>
      <c r="F217" s="38" t="s">
        <v>73</v>
      </c>
      <c r="G217" s="39" t="s">
        <v>17</v>
      </c>
      <c r="H217" s="39" t="s">
        <v>17</v>
      </c>
      <c r="I217" s="39" t="s">
        <v>17</v>
      </c>
      <c r="J217" s="39" t="str">
        <f aca="false">IF(G217="Sí", IF(H217="Sí", "DP", "SP"), IF(H217="Sí", "SD", "-"))</f>
        <v>-</v>
      </c>
      <c r="K217" s="35"/>
      <c r="L217" s="35" t="str">
        <f aca="false">IFERROR(__xludf.dummyfunction("CONCATENATE(ArrayFormula(""; ""&amp;QUERY(Hallazgos!A:F,""SELECT B WHERE E CONTAINS '""&amp;A217&amp;""' LABEL B ''"")))"),"#N/A")</f>
        <v>#N/A</v>
      </c>
    </row>
    <row r="218" customFormat="false" ht="15.75" hidden="false" customHeight="true" outlineLevel="0" collapsed="false">
      <c r="A218" s="41" t="s">
        <v>568</v>
      </c>
      <c r="B218" s="41" t="s">
        <v>430</v>
      </c>
      <c r="C218" s="38" t="s">
        <v>13</v>
      </c>
      <c r="D218" s="38" t="s">
        <v>399</v>
      </c>
      <c r="E218" s="38" t="s">
        <v>81</v>
      </c>
      <c r="F218" s="38" t="s">
        <v>55</v>
      </c>
      <c r="G218" s="39" t="s">
        <v>17</v>
      </c>
      <c r="H218" s="39" t="s">
        <v>17</v>
      </c>
      <c r="I218" s="39" t="s">
        <v>17</v>
      </c>
      <c r="J218" s="39" t="str">
        <f aca="false">IF(G218="Sí", IF(H218="Sí", "DP", "SP"), IF(H218="Sí", "SD", "-"))</f>
        <v>-</v>
      </c>
      <c r="K218" s="35"/>
      <c r="L218" s="35" t="str">
        <f aca="false">IFERROR(__xludf.dummyfunction("CONCATENATE(ArrayFormula(""; ""&amp;QUERY(Hallazgos!A:F,""SELECT B WHERE E CONTAINS '""&amp;A218&amp;""' LABEL B ''"")))"),"#N/A")</f>
        <v>#N/A</v>
      </c>
    </row>
    <row r="219" customFormat="false" ht="15.75" hidden="false" customHeight="true" outlineLevel="0" collapsed="false">
      <c r="A219" s="41" t="s">
        <v>571</v>
      </c>
      <c r="B219" s="41" t="s">
        <v>648</v>
      </c>
      <c r="C219" s="38" t="s">
        <v>13</v>
      </c>
      <c r="D219" s="38" t="s">
        <v>599</v>
      </c>
      <c r="E219" s="38" t="s">
        <v>116</v>
      </c>
      <c r="F219" s="38" t="s">
        <v>55</v>
      </c>
      <c r="G219" s="39" t="s">
        <v>17</v>
      </c>
      <c r="H219" s="39" t="s">
        <v>17</v>
      </c>
      <c r="I219" s="39" t="s">
        <v>17</v>
      </c>
      <c r="J219" s="39" t="str">
        <f aca="false">IF(G219="Sí", IF(H219="Sí", "DP", "SP"), IF(H219="Sí", "SD", "-"))</f>
        <v>-</v>
      </c>
      <c r="K219" s="35"/>
      <c r="L219" s="35" t="str">
        <f aca="false">IFERROR(__xludf.dummyfunction("CONCATENATE(ArrayFormula(""; ""&amp;QUERY(Hallazgos!A:F,""SELECT B WHERE E CONTAINS '""&amp;A219&amp;""' LABEL B ''"")))"),"#N/A")</f>
        <v>#N/A</v>
      </c>
    </row>
    <row r="220" customFormat="false" ht="15.75" hidden="false" customHeight="true" outlineLevel="0" collapsed="false">
      <c r="A220" s="42"/>
      <c r="B220" s="43"/>
      <c r="C220" s="43"/>
      <c r="D220" s="42"/>
      <c r="E220" s="42"/>
      <c r="F220" s="42"/>
      <c r="G220" s="44"/>
      <c r="H220" s="44"/>
      <c r="I220" s="44"/>
      <c r="J220" s="42"/>
      <c r="K220" s="45"/>
      <c r="L220" s="42"/>
    </row>
    <row r="221" customFormat="false" ht="15.75" hidden="false" customHeight="true" outlineLevel="0" collapsed="false">
      <c r="A221" s="46"/>
      <c r="B221" s="47" t="s">
        <v>901</v>
      </c>
      <c r="C221" s="48" t="s">
        <v>902</v>
      </c>
      <c r="D221" s="49"/>
      <c r="E221" s="50"/>
      <c r="F221" s="50"/>
      <c r="G221" s="51"/>
      <c r="H221" s="52"/>
      <c r="I221" s="52"/>
      <c r="J221" s="53"/>
      <c r="K221" s="54"/>
      <c r="L221" s="53"/>
    </row>
    <row r="222" customFormat="false" ht="15.75" hidden="false" customHeight="true" outlineLevel="0" collapsed="false">
      <c r="A222" s="46"/>
      <c r="B222" s="55" t="s">
        <v>903</v>
      </c>
      <c r="C222" s="39" t="n">
        <f aca="false">COUNTIF(J3:J219,"DP")</f>
        <v>0</v>
      </c>
      <c r="D222" s="56"/>
      <c r="E222" s="53"/>
      <c r="F222" s="53"/>
      <c r="G222" s="57"/>
      <c r="H222" s="52"/>
      <c r="I222" s="52"/>
      <c r="J222" s="53"/>
      <c r="K222" s="54"/>
      <c r="L222" s="53"/>
    </row>
    <row r="223" customFormat="false" ht="15.75" hidden="false" customHeight="true" outlineLevel="0" collapsed="false">
      <c r="A223" s="46"/>
      <c r="B223" s="55" t="s">
        <v>904</v>
      </c>
      <c r="C223" s="39" t="n">
        <f aca="false">COUNTIF(J3:J219,"SP")</f>
        <v>0</v>
      </c>
      <c r="D223" s="56"/>
      <c r="E223" s="53"/>
      <c r="F223" s="53"/>
      <c r="G223" s="57"/>
      <c r="H223" s="52"/>
      <c r="I223" s="52"/>
      <c r="J223" s="53"/>
      <c r="K223" s="54"/>
      <c r="L223" s="53"/>
    </row>
    <row r="224" customFormat="false" ht="15.75" hidden="false" customHeight="true" outlineLevel="0" collapsed="false">
      <c r="A224" s="46"/>
      <c r="B224" s="55" t="s">
        <v>905</v>
      </c>
      <c r="C224" s="39" t="n">
        <f aca="false">COUNTIF(J3:J219,"SD")</f>
        <v>0</v>
      </c>
      <c r="D224" s="56"/>
      <c r="E224" s="53"/>
      <c r="F224" s="53"/>
      <c r="G224" s="57"/>
      <c r="H224" s="52"/>
      <c r="I224" s="52"/>
      <c r="J224" s="53"/>
      <c r="K224" s="54"/>
      <c r="L224" s="53"/>
    </row>
    <row r="225" customFormat="false" ht="15.75" hidden="false" customHeight="true" outlineLevel="0" collapsed="false">
      <c r="A225" s="53"/>
      <c r="B225" s="43"/>
      <c r="C225" s="43"/>
      <c r="D225" s="34"/>
      <c r="E225" s="34"/>
      <c r="F225" s="53"/>
      <c r="G225" s="52"/>
      <c r="H225" s="52"/>
      <c r="I225" s="52"/>
      <c r="J225" s="53"/>
      <c r="K225" s="54"/>
      <c r="L225" s="53"/>
    </row>
    <row r="226" customFormat="false" ht="15.75" hidden="false" customHeight="true" outlineLevel="0" collapsed="false">
      <c r="A226" s="46"/>
      <c r="B226" s="47" t="s">
        <v>684</v>
      </c>
      <c r="C226" s="48" t="s">
        <v>906</v>
      </c>
      <c r="D226" s="48" t="s">
        <v>685</v>
      </c>
      <c r="E226" s="48" t="s">
        <v>686</v>
      </c>
      <c r="F226" s="49"/>
      <c r="G226" s="51"/>
      <c r="H226" s="51"/>
      <c r="I226" s="51"/>
      <c r="J226" s="53"/>
      <c r="K226" s="54"/>
      <c r="L226" s="53"/>
    </row>
    <row r="227" customFormat="false" ht="15.75" hidden="false" customHeight="true" outlineLevel="0" collapsed="false">
      <c r="A227" s="46"/>
      <c r="B227" s="55" t="s">
        <v>687</v>
      </c>
      <c r="C227" s="58" t="str">
        <f aca="false">IFERROR(D227/(D227+E227),"Error")</f>
        <v>Error</v>
      </c>
      <c r="D227" s="59" t="n">
        <f aca="false">COUNTIF(G2:G219,"Sí")</f>
        <v>0</v>
      </c>
      <c r="E227" s="59" t="n">
        <f aca="false">COUNTIF(G2:G219,"No")</f>
        <v>0</v>
      </c>
      <c r="F227" s="56"/>
      <c r="G227" s="60"/>
      <c r="H227" s="52"/>
      <c r="I227" s="52"/>
      <c r="J227" s="53"/>
      <c r="K227" s="54"/>
      <c r="L227" s="53"/>
    </row>
    <row r="228" customFormat="false" ht="15.75" hidden="false" customHeight="true" outlineLevel="0" collapsed="false">
      <c r="A228" s="46"/>
      <c r="B228" s="55" t="s">
        <v>688</v>
      </c>
      <c r="C228" s="58" t="str">
        <f aca="false">IFERROR(D228/D227, "Error")</f>
        <v>Error</v>
      </c>
      <c r="D228" s="59" t="n">
        <f aca="false">COUNTIF(H2:H219,"Sí")</f>
        <v>0</v>
      </c>
      <c r="E228" s="59" t="n">
        <f aca="false">COUNTIF(H2:H219,"No")</f>
        <v>0</v>
      </c>
      <c r="F228" s="56"/>
      <c r="G228" s="60"/>
      <c r="H228" s="52"/>
      <c r="I228" s="52"/>
      <c r="J228" s="53"/>
      <c r="K228" s="54"/>
      <c r="L228" s="53"/>
    </row>
    <row r="229" customFormat="false" ht="15.75" hidden="false" customHeight="true" outlineLevel="0" collapsed="false">
      <c r="A229" s="46"/>
      <c r="B229" s="55" t="s">
        <v>689</v>
      </c>
      <c r="C229" s="58" t="str">
        <f aca="false">IFERROR(D229/D228, "Error")</f>
        <v>Error</v>
      </c>
      <c r="D229" s="59" t="n">
        <f aca="false">COUNTIF(I2:I219,"Sí")</f>
        <v>0</v>
      </c>
      <c r="E229" s="59" t="n">
        <f aca="false">COUNTIF(I2:I219,"No")</f>
        <v>0</v>
      </c>
      <c r="F229" s="56"/>
      <c r="G229" s="60"/>
      <c r="H229" s="52"/>
      <c r="I229" s="52"/>
      <c r="J229" s="53"/>
      <c r="K229" s="54"/>
      <c r="L229" s="53"/>
    </row>
  </sheetData>
  <autoFilter ref="A2:L219"/>
  <mergeCells count="1">
    <mergeCell ref="A1:K1"/>
  </mergeCells>
  <conditionalFormatting sqref="H222">
    <cfRule type="containsText" priority="2" operator="containsText" aboveAverage="0" equalAverage="0" bottom="0" percent="0" rank="0" text="Error" dxfId="3"/>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2.48"/>
    <col collapsed="false" customWidth="true" hidden="false" outlineLevel="0" max="2" min="2" style="0" width="7.99"/>
    <col collapsed="false" customWidth="true" hidden="false" outlineLevel="0" max="6" min="3" style="0" width="14.75"/>
    <col collapsed="false" customWidth="true" hidden="false" outlineLevel="0" max="7" min="7" style="0" width="3.25"/>
    <col collapsed="false" customWidth="true" hidden="false" outlineLevel="0" max="8" min="8" style="0" width="15.74"/>
    <col collapsed="false" customWidth="true" hidden="false" outlineLevel="0" max="10" min="9" style="0" width="14.75"/>
    <col collapsed="false" customWidth="true" hidden="false" outlineLevel="0" max="11" min="11" style="0" width="7.35"/>
    <col collapsed="false" customWidth="true" hidden="false" outlineLevel="0" max="26" min="12" style="0" width="14.75"/>
    <col collapsed="false" customWidth="true" hidden="false" outlineLevel="0" max="1025" min="27" style="0" width="17.72"/>
  </cols>
  <sheetData>
    <row r="1" customFormat="false" ht="15.75" hidden="false" customHeight="true" outlineLevel="0" collapsed="false">
      <c r="A1" s="61" t="s">
        <v>907</v>
      </c>
      <c r="B1" s="62" t="str">
        <f aca="false">HYPERLINK("http://www.ezimba.com/","EZIMBA")</f>
        <v>EZIMBA</v>
      </c>
      <c r="C1" s="61" t="s">
        <v>908</v>
      </c>
      <c r="D1" s="61" t="s">
        <v>909</v>
      </c>
      <c r="E1" s="61" t="s">
        <v>910</v>
      </c>
      <c r="F1" s="63" t="n">
        <v>0.3</v>
      </c>
      <c r="G1" s="53"/>
      <c r="H1" s="53"/>
      <c r="K1" s="53"/>
    </row>
    <row r="2" customFormat="false" ht="15.75" hidden="false" customHeight="true" outlineLevel="0" collapsed="false">
      <c r="A2" s="61" t="s">
        <v>911</v>
      </c>
      <c r="B2" s="61" t="n">
        <v>2</v>
      </c>
      <c r="G2" s="53"/>
      <c r="H2" s="53"/>
      <c r="K2" s="53"/>
    </row>
    <row r="3" customFormat="false" ht="15.75" hidden="false" customHeight="true" outlineLevel="0" collapsed="false">
      <c r="A3" s="61" t="s">
        <v>912</v>
      </c>
      <c r="B3" s="61" t="n">
        <v>10</v>
      </c>
      <c r="G3" s="53"/>
      <c r="H3" s="53"/>
      <c r="K3" s="53"/>
      <c r="L3" s="61" t="s">
        <v>913</v>
      </c>
      <c r="M3" s="61" t="s">
        <v>914</v>
      </c>
      <c r="N3" s="61" t="s">
        <v>915</v>
      </c>
      <c r="O3" s="61" t="s">
        <v>916</v>
      </c>
      <c r="P3" s="61" t="s">
        <v>917</v>
      </c>
    </row>
    <row r="4" customFormat="false" ht="15.75" hidden="false" customHeight="true" outlineLevel="0" collapsed="false">
      <c r="A4" s="53"/>
      <c r="B4" s="53"/>
      <c r="G4" s="53"/>
      <c r="H4" s="53"/>
      <c r="K4" s="53"/>
      <c r="L4" s="64" t="s">
        <v>918</v>
      </c>
      <c r="M4" s="64" t="n">
        <v>0</v>
      </c>
      <c r="N4" s="64" t="n">
        <v>0</v>
      </c>
      <c r="O4" s="64" t="s">
        <v>690</v>
      </c>
      <c r="P4" s="64" t="n">
        <v>0</v>
      </c>
      <c r="Q4" s="64" t="s">
        <v>919</v>
      </c>
    </row>
    <row r="5" customFormat="false" ht="15.75" hidden="false" customHeight="true" outlineLevel="0" collapsed="false">
      <c r="A5" s="65" t="s">
        <v>920</v>
      </c>
      <c r="B5" s="65" t="s">
        <v>921</v>
      </c>
      <c r="C5" s="65" t="str">
        <f aca="false">CVSSv2!A4</f>
        <v>Vector de acceso:</v>
      </c>
      <c r="D5" s="65" t="str">
        <f aca="false">CVSSv2!A5</f>
        <v>Complejidad de acceso:</v>
      </c>
      <c r="E5" s="65" t="str">
        <f aca="false">CVSSv2!A6</f>
        <v>Autenticación:</v>
      </c>
      <c r="F5" s="65" t="str">
        <f aca="false">CVSSv2!A10</f>
        <v>Explotabilidad:</v>
      </c>
      <c r="G5" s="65"/>
      <c r="H5" s="65" t="str">
        <f aca="false">CVSSv2!A7</f>
        <v>Impacto a la confidencialidad:</v>
      </c>
      <c r="I5" s="65" t="str">
        <f aca="false">CVSSv2!A8</f>
        <v>Impacto a la integridad:</v>
      </c>
      <c r="J5" s="65" t="str">
        <f aca="false">CVSSv2!A9</f>
        <v>Impacto a la disponibilidad:</v>
      </c>
      <c r="K5" s="53"/>
      <c r="L5" s="64" t="s">
        <v>918</v>
      </c>
      <c r="M5" s="64" t="n">
        <v>0</v>
      </c>
      <c r="N5" s="64" t="n">
        <v>0</v>
      </c>
      <c r="O5" s="64" t="s">
        <v>918</v>
      </c>
      <c r="P5" s="64" t="n">
        <v>0</v>
      </c>
      <c r="Q5" s="64" t="s">
        <v>919</v>
      </c>
    </row>
    <row r="6" customFormat="false" ht="15.75" hidden="false" customHeight="true" outlineLevel="0" collapsed="false">
      <c r="A6" s="61" t="n">
        <v>1</v>
      </c>
      <c r="B6" s="53" t="n">
        <f aca="false">((A6-1)*$B$3)+$B$2+1</f>
        <v>3</v>
      </c>
      <c r="C6" s="53" t="n">
        <f aca="true">IF(INDIRECT("Hallazgos!G"&amp;B6)=CVSSv2!$C$4,CVSSv2!$C$15,IF(INDIRECT("Hallazgos!G"&amp;B6)=CVSSv2!$D$4,CVSSv2!$D$15,IF(INDIRECT("Hallazgos!G"&amp;B6)=CVSSv2!$E$4,CVSSv2!$E$15,0)))</f>
        <v>0</v>
      </c>
      <c r="D6" s="53" t="n">
        <f aca="true">IF(INDIRECT("Hallazgos!G"&amp;B6+1)=CVSSv2!$C$5,CVSSv2!$C$16,IF(INDIRECT("Hallazgos!G"&amp;B6+1)=CVSSv2!$D$5,CVSSv2!$D$16,IF(INDIRECT("Hallazgos!G"&amp;B6+1)=CVSSv2!$E$5,CVSSv2!$E$16,0)))</f>
        <v>0</v>
      </c>
      <c r="E6" s="53" t="n">
        <f aca="true">IF(INDIRECT("Hallazgos!G"&amp;B6+2)=CVSSv2!$C$6,CVSSv2!$C$17,IF(INDIRECT("Hallazgos!G"&amp;B6+2)=CVSSv2!$D$6,CVSSv2!$D$17,IF(INDIRECT("Hallazgos!G"&amp;B6+2)=CVSSv2!$E$6,CVSSv2!$E$17,0)))</f>
        <v>0</v>
      </c>
      <c r="F6" s="53" t="n">
        <f aca="true">IF(INDIRECT("Hallazgos!G"&amp;B6+6)=CVSSv2!$C$10,CVSSv2!$C$21,IF(INDIRECT("Hallazgos!G"&amp;B6+6)=CVSSv2!$D$10,CVSSv2!$D$21,IF(INDIRECT("Hallazgos!G"&amp;B6+6)=CVSSv2!$E$10,CVSSv2!$E$21,IF(INDIRECT("Hallazgos!G"&amp;B6+6)=CVSSv2!$F$10,CVSSv2!$F$21,0))))</f>
        <v>0</v>
      </c>
      <c r="G6" s="53"/>
      <c r="H6" s="53" t="n">
        <f aca="true">IF(INDIRECT("Hallazgos!G"&amp;B6+3)=CVSSv2!$C$7,CVSSv2!$C$18,IF(INDIRECT("Hallazgos!G"&amp;B6+3)=CVSSv2!$D$7,CVSSv2!$D$18,IF(INDIRECT("Hallazgos!G"&amp;B6+3)=CVSSv2!$E$7,CVSSv2!$E$18,0)))</f>
        <v>0</v>
      </c>
      <c r="I6" s="53" t="n">
        <f aca="true">IF(INDIRECT("Hallazgos!G"&amp;B6+4)=CVSSv2!$C$8,CVSSv2!$C$19,IF(INDIRECT("Hallazgos!G"&amp;B6+4)=CVSSv2!$D$8,CVSSv2!$D$19,IF(INDIRECT("Hallazgos!G"&amp;B6+4)=CVSSv2!$E$8,CVSSv2!$E$19,0)))</f>
        <v>0</v>
      </c>
      <c r="J6" s="53" t="n">
        <f aca="true">IF(INDIRECT("Hallazgos!G"&amp;B6+5)=CVSSv2!$C$9,CVSSv2!$C$20,IF(INDIRECT("Hallazgos!G"&amp;B6+5)=CVSSv2!$D$9,CVSSv2!$D$20,IF(INDIRECT("Hallazgos!G"&amp;B6+5)=CVSSv2!$E$9,CVSSv2!$E$20,0)))</f>
        <v>0</v>
      </c>
      <c r="K6" s="53"/>
      <c r="L6" s="53" t="str">
        <f aca="false">IF(P6&lt;1,"x",A6&amp;" ")</f>
        <v>1 </v>
      </c>
      <c r="M6" s="53" t="n">
        <f aca="false">10*C6*D6*E6*F6</f>
        <v>0</v>
      </c>
      <c r="N6" s="53" t="n">
        <f aca="false">IF((5.21*(1-(1-H6)*(1-I6)*(1-J6)))=0,0.2,(5.21*(1-(1-H6)*(1-I6)*(1-J6))))</f>
        <v>0.2</v>
      </c>
      <c r="O6" s="53" t="str">
        <f aca="true">L6&amp;INDIRECT("Hallazgos!B"&amp;B6)&amp;" ("&amp;P6&amp;")"</f>
        <v>1 Vulnerabilidad 1 (9)</v>
      </c>
      <c r="P6" s="53" t="n">
        <f aca="true">IF(INDIRECT("Hallazgos!I"&amp;B6)&gt;0,INDIRECT("Hallazgos!I"&amp;B6),0)</f>
        <v>9</v>
      </c>
    </row>
    <row r="7" customFormat="false" ht="15.75" hidden="false" customHeight="true" outlineLevel="0" collapsed="false">
      <c r="A7" s="61" t="n">
        <v>2</v>
      </c>
      <c r="B7" s="53" t="n">
        <f aca="false">((A7-1)*$B$3)+$B$2+1</f>
        <v>13</v>
      </c>
      <c r="C7" s="53" t="n">
        <f aca="true">IF(INDIRECT("Hallazgos!G"&amp;B7)=CVSSv2!$C$4,CVSSv2!$C$15,IF(INDIRECT("Hallazgos!G"&amp;B7)=CVSSv2!$D$4,CVSSv2!$D$15,IF(INDIRECT("Hallazgos!G"&amp;B7)=CVSSv2!$E$4,CVSSv2!$E$15,0)))</f>
        <v>0</v>
      </c>
      <c r="D7" s="53" t="n">
        <f aca="true">IF(INDIRECT("Hallazgos!G"&amp;B7+1)=CVSSv2!$C$5,CVSSv2!$C$16,IF(INDIRECT("Hallazgos!G"&amp;B7+1)=CVSSv2!$D$5,CVSSv2!$D$16,IF(INDIRECT("Hallazgos!G"&amp;B7+1)=CVSSv2!$E$5,CVSSv2!$E$16,0)))</f>
        <v>0</v>
      </c>
      <c r="E7" s="53" t="n">
        <f aca="true">IF(INDIRECT("Hallazgos!G"&amp;B7+2)=CVSSv2!$C$6,CVSSv2!$C$17,IF(INDIRECT("Hallazgos!G"&amp;B7+2)=CVSSv2!$D$6,CVSSv2!$D$17,IF(INDIRECT("Hallazgos!G"&amp;B7+2)=CVSSv2!$E$6,CVSSv2!$E$17,0)))</f>
        <v>0</v>
      </c>
      <c r="F7" s="53" t="n">
        <f aca="true">IF(INDIRECT("Hallazgos!G"&amp;B7+6)=CVSSv2!$C$10,CVSSv2!$C$21,IF(INDIRECT("Hallazgos!G"&amp;B7+6)=CVSSv2!$D$10,CVSSv2!$D$21,IF(INDIRECT("Hallazgos!G"&amp;B7+6)=CVSSv2!$E$10,CVSSv2!$E$21,IF(INDIRECT("Hallazgos!G"&amp;B7+6)=CVSSv2!$F$10,CVSSv2!$F$21,0))))</f>
        <v>0</v>
      </c>
      <c r="G7" s="53"/>
      <c r="H7" s="53" t="n">
        <f aca="true">IF(INDIRECT("Hallazgos!G"&amp;B7+3)=CVSSv2!$C$7,CVSSv2!$C$18,IF(INDIRECT("Hallazgos!G"&amp;B7+3)=CVSSv2!$D$7,CVSSv2!$D$18,IF(INDIRECT("Hallazgos!G"&amp;B7+3)=CVSSv2!$E$7,CVSSv2!$E$18,0)))</f>
        <v>0</v>
      </c>
      <c r="I7" s="53" t="n">
        <f aca="true">IF(INDIRECT("Hallazgos!G"&amp;B7+4)=CVSSv2!$C$8,CVSSv2!$C$19,IF(INDIRECT("Hallazgos!G"&amp;B7+4)=CVSSv2!$D$8,CVSSv2!$D$19,IF(INDIRECT("Hallazgos!G"&amp;B7+4)=CVSSv2!$E$8,CVSSv2!$E$19,0)))</f>
        <v>0</v>
      </c>
      <c r="J7" s="53" t="n">
        <f aca="true">IF(INDIRECT("Hallazgos!G"&amp;B7+5)=CVSSv2!$C$9,CVSSv2!$C$20,IF(INDIRECT("Hallazgos!G"&amp;B7+5)=CVSSv2!$D$9,CVSSv2!$D$20,IF(INDIRECT("Hallazgos!G"&amp;B7+5)=CVSSv2!$E$9,CVSSv2!$E$20,0)))</f>
        <v>0</v>
      </c>
      <c r="K7" s="53"/>
      <c r="L7" s="53" t="str">
        <f aca="false">IF(P7&lt;1,"x",A7&amp;" ")</f>
        <v>x</v>
      </c>
      <c r="M7" s="53" t="n">
        <f aca="false">10*C7*D7*E7*F7</f>
        <v>0</v>
      </c>
      <c r="N7" s="53" t="n">
        <f aca="false">IF((5.21*(1-(1-H7)*(1-I7)*(1-J7)))=0,0.2,(5.21*(1-(1-H7)*(1-I7)*(1-J7))))</f>
        <v>0.2</v>
      </c>
      <c r="O7" s="53" t="str">
        <f aca="true">L7&amp;INDIRECT("Hallazgos!B"&amp;B7)&amp;" ("&amp;P7&amp;")"</f>
        <v>x (0)</v>
      </c>
      <c r="P7" s="53" t="n">
        <f aca="true">IF(INDIRECT("Hallazgos!I"&amp;B7)&gt;0,INDIRECT("Hallazgos!I"&amp;B7),0)</f>
        <v>0</v>
      </c>
    </row>
    <row r="8" customFormat="false" ht="15.75" hidden="false" customHeight="true" outlineLevel="0" collapsed="false">
      <c r="A8" s="61" t="n">
        <v>3</v>
      </c>
      <c r="B8" s="53" t="n">
        <f aca="false">((A8-1)*$B$3)+$B$2+1</f>
        <v>23</v>
      </c>
      <c r="C8" s="53" t="n">
        <f aca="true">IF(INDIRECT("Hallazgos!G"&amp;B8)=CVSSv2!$C$4,CVSSv2!$C$15,IF(INDIRECT("Hallazgos!G"&amp;B8)=CVSSv2!$D$4,CVSSv2!$D$15,IF(INDIRECT("Hallazgos!G"&amp;B8)=CVSSv2!$E$4,CVSSv2!$E$15,0)))</f>
        <v>0</v>
      </c>
      <c r="D8" s="53" t="n">
        <f aca="true">IF(INDIRECT("Hallazgos!G"&amp;B8+1)=CVSSv2!$C$5,CVSSv2!$C$16,IF(INDIRECT("Hallazgos!G"&amp;B8+1)=CVSSv2!$D$5,CVSSv2!$D$16,IF(INDIRECT("Hallazgos!G"&amp;B8+1)=CVSSv2!$E$5,CVSSv2!$E$16,0)))</f>
        <v>0</v>
      </c>
      <c r="E8" s="53" t="n">
        <f aca="true">IF(INDIRECT("Hallazgos!G"&amp;B8+2)=CVSSv2!$C$6,CVSSv2!$C$17,IF(INDIRECT("Hallazgos!G"&amp;B8+2)=CVSSv2!$D$6,CVSSv2!$D$17,IF(INDIRECT("Hallazgos!G"&amp;B8+2)=CVSSv2!$E$6,CVSSv2!$E$17,0)))</f>
        <v>0</v>
      </c>
      <c r="F8" s="53" t="n">
        <f aca="true">IF(INDIRECT("Hallazgos!G"&amp;B8+6)=CVSSv2!$C$10,CVSSv2!$C$21,IF(INDIRECT("Hallazgos!G"&amp;B8+6)=CVSSv2!$D$10,CVSSv2!$D$21,IF(INDIRECT("Hallazgos!G"&amp;B8+6)=CVSSv2!$E$10,CVSSv2!$E$21,IF(INDIRECT("Hallazgos!G"&amp;B8+6)=CVSSv2!$F$10,CVSSv2!$F$21,0))))</f>
        <v>0</v>
      </c>
      <c r="G8" s="53"/>
      <c r="H8" s="53" t="n">
        <f aca="true">IF(INDIRECT("Hallazgos!G"&amp;B8+3)=CVSSv2!$C$7,CVSSv2!$C$18,IF(INDIRECT("Hallazgos!G"&amp;B8+3)=CVSSv2!$D$7,CVSSv2!$D$18,IF(INDIRECT("Hallazgos!G"&amp;B8+3)=CVSSv2!$E$7,CVSSv2!$E$18,0)))</f>
        <v>0</v>
      </c>
      <c r="I8" s="53" t="n">
        <f aca="true">IF(INDIRECT("Hallazgos!G"&amp;B8+4)=CVSSv2!$C$8,CVSSv2!$C$19,IF(INDIRECT("Hallazgos!G"&amp;B8+4)=CVSSv2!$D$8,CVSSv2!$D$19,IF(INDIRECT("Hallazgos!G"&amp;B8+4)=CVSSv2!$E$8,CVSSv2!$E$19,0)))</f>
        <v>0</v>
      </c>
      <c r="J8" s="53" t="n">
        <f aca="true">IF(INDIRECT("Hallazgos!G"&amp;B8+5)=CVSSv2!$C$9,CVSSv2!$C$20,IF(INDIRECT("Hallazgos!G"&amp;B8+5)=CVSSv2!$D$9,CVSSv2!$D$20,IF(INDIRECT("Hallazgos!G"&amp;B8+5)=CVSSv2!$E$9,CVSSv2!$E$20,0)))</f>
        <v>0</v>
      </c>
      <c r="K8" s="53"/>
      <c r="L8" s="53" t="str">
        <f aca="false">IF(P8&lt;1,"x",A8&amp;" ")</f>
        <v>x</v>
      </c>
      <c r="M8" s="53" t="n">
        <f aca="false">10*C8*D8*E8*F8</f>
        <v>0</v>
      </c>
      <c r="N8" s="53" t="n">
        <f aca="false">IF((5.21*(1-(1-H8)*(1-I8)*(1-J8)))=0,0.2,(5.21*(1-(1-H8)*(1-I8)*(1-J8))))</f>
        <v>0.2</v>
      </c>
      <c r="O8" s="53" t="str">
        <f aca="true">L8&amp;INDIRECT("Hallazgos!B"&amp;B8)&amp;" ("&amp;P8&amp;")"</f>
        <v>x (0)</v>
      </c>
      <c r="P8" s="53" t="n">
        <f aca="true">IF(INDIRECT("Hallazgos!I"&amp;B8)&gt;0,INDIRECT("Hallazgos!I"&amp;B8),0)</f>
        <v>0</v>
      </c>
    </row>
    <row r="9" customFormat="false" ht="15.75" hidden="false" customHeight="true" outlineLevel="0" collapsed="false">
      <c r="A9" s="61" t="n">
        <v>4</v>
      </c>
      <c r="B9" s="53" t="n">
        <f aca="false">((A9-1)*$B$3)+$B$2+1</f>
        <v>33</v>
      </c>
      <c r="C9" s="53" t="n">
        <f aca="true">IF(INDIRECT("Hallazgos!G"&amp;B9)=CVSSv2!$C$4,CVSSv2!$C$15,IF(INDIRECT("Hallazgos!G"&amp;B9)=CVSSv2!$D$4,CVSSv2!$D$15,IF(INDIRECT("Hallazgos!G"&amp;B9)=CVSSv2!$E$4,CVSSv2!$E$15,0)))</f>
        <v>0</v>
      </c>
      <c r="D9" s="53" t="n">
        <f aca="true">IF(INDIRECT("Hallazgos!G"&amp;B9+1)=CVSSv2!$C$5,CVSSv2!$C$16,IF(INDIRECT("Hallazgos!G"&amp;B9+1)=CVSSv2!$D$5,CVSSv2!$D$16,IF(INDIRECT("Hallazgos!G"&amp;B9+1)=CVSSv2!$E$5,CVSSv2!$E$16,0)))</f>
        <v>0</v>
      </c>
      <c r="E9" s="53" t="n">
        <f aca="true">IF(INDIRECT("Hallazgos!G"&amp;B9+2)=CVSSv2!$C$6,CVSSv2!$C$17,IF(INDIRECT("Hallazgos!G"&amp;B9+2)=CVSSv2!$D$6,CVSSv2!$D$17,IF(INDIRECT("Hallazgos!G"&amp;B9+2)=CVSSv2!$E$6,CVSSv2!$E$17,0)))</f>
        <v>0</v>
      </c>
      <c r="F9" s="53" t="n">
        <f aca="true">IF(INDIRECT("Hallazgos!G"&amp;B9+6)=CVSSv2!$C$10,CVSSv2!$C$21,IF(INDIRECT("Hallazgos!G"&amp;B9+6)=CVSSv2!$D$10,CVSSv2!$D$21,IF(INDIRECT("Hallazgos!G"&amp;B9+6)=CVSSv2!$E$10,CVSSv2!$E$21,IF(INDIRECT("Hallazgos!G"&amp;B9+6)=CVSSv2!$F$10,CVSSv2!$F$21,0))))</f>
        <v>0</v>
      </c>
      <c r="G9" s="53"/>
      <c r="H9" s="53" t="n">
        <f aca="true">IF(INDIRECT("Hallazgos!G"&amp;B9+3)=CVSSv2!$C$7,CVSSv2!$C$18,IF(INDIRECT("Hallazgos!G"&amp;B9+3)=CVSSv2!$D$7,CVSSv2!$D$18,IF(INDIRECT("Hallazgos!G"&amp;B9+3)=CVSSv2!$E$7,CVSSv2!$E$18,0)))</f>
        <v>0</v>
      </c>
      <c r="I9" s="53" t="n">
        <f aca="true">IF(INDIRECT("Hallazgos!G"&amp;B9+4)=CVSSv2!$C$8,CVSSv2!$C$19,IF(INDIRECT("Hallazgos!G"&amp;B9+4)=CVSSv2!$D$8,CVSSv2!$D$19,IF(INDIRECT("Hallazgos!G"&amp;B9+4)=CVSSv2!$E$8,CVSSv2!$E$19,0)))</f>
        <v>0</v>
      </c>
      <c r="J9" s="53" t="n">
        <f aca="true">IF(INDIRECT("Hallazgos!G"&amp;B9+5)=CVSSv2!$C$9,CVSSv2!$C$20,IF(INDIRECT("Hallazgos!G"&amp;B9+5)=CVSSv2!$D$9,CVSSv2!$D$20,IF(INDIRECT("Hallazgos!G"&amp;B9+5)=CVSSv2!$E$9,CVSSv2!$E$20,0)))</f>
        <v>0</v>
      </c>
      <c r="K9" s="53"/>
      <c r="L9" s="53" t="str">
        <f aca="false">IF(P9&lt;1,"x",A9&amp;" ")</f>
        <v>x</v>
      </c>
      <c r="M9" s="53" t="n">
        <f aca="false">10*C9*D9*E9*F9</f>
        <v>0</v>
      </c>
      <c r="N9" s="53" t="n">
        <f aca="false">IF((5.21*(1-(1-H9)*(1-I9)*(1-J9)))=0,0.2,(5.21*(1-(1-H9)*(1-I9)*(1-J9))))</f>
        <v>0.2</v>
      </c>
      <c r="O9" s="53" t="str">
        <f aca="true">L9&amp;INDIRECT("Hallazgos!B"&amp;B9)&amp;" ("&amp;P9&amp;")"</f>
        <v>x (0)</v>
      </c>
      <c r="P9" s="53" t="n">
        <f aca="true">IF(INDIRECT("Hallazgos!I"&amp;B9)&gt;0,INDIRECT("Hallazgos!I"&amp;B9),0)</f>
        <v>0</v>
      </c>
    </row>
    <row r="10" customFormat="false" ht="15.75" hidden="false" customHeight="true" outlineLevel="0" collapsed="false">
      <c r="A10" s="61" t="n">
        <v>5</v>
      </c>
      <c r="B10" s="53" t="n">
        <f aca="false">((A10-1)*$B$3)+$B$2+1</f>
        <v>43</v>
      </c>
      <c r="C10" s="53" t="n">
        <f aca="true">IF(INDIRECT("Hallazgos!G"&amp;B10)=CVSSv2!$C$4,CVSSv2!$C$15,IF(INDIRECT("Hallazgos!G"&amp;B10)=CVSSv2!$D$4,CVSSv2!$D$15,IF(INDIRECT("Hallazgos!G"&amp;B10)=CVSSv2!$E$4,CVSSv2!$E$15,0)))</f>
        <v>0</v>
      </c>
      <c r="D10" s="53" t="n">
        <f aca="true">IF(INDIRECT("Hallazgos!G"&amp;B10+1)=CVSSv2!$C$5,CVSSv2!$C$16,IF(INDIRECT("Hallazgos!G"&amp;B10+1)=CVSSv2!$D$5,CVSSv2!$D$16,IF(INDIRECT("Hallazgos!G"&amp;B10+1)=CVSSv2!$E$5,CVSSv2!$E$16,0)))</f>
        <v>0</v>
      </c>
      <c r="E10" s="53" t="n">
        <f aca="true">IF(INDIRECT("Hallazgos!G"&amp;B10+2)=CVSSv2!$C$6,CVSSv2!$C$17,IF(INDIRECT("Hallazgos!G"&amp;B10+2)=CVSSv2!$D$6,CVSSv2!$D$17,IF(INDIRECT("Hallazgos!G"&amp;B10+2)=CVSSv2!$E$6,CVSSv2!$E$17,0)))</f>
        <v>0</v>
      </c>
      <c r="F10" s="53" t="n">
        <f aca="true">IF(INDIRECT("Hallazgos!G"&amp;B10+6)=CVSSv2!$C$10,CVSSv2!$C$21,IF(INDIRECT("Hallazgos!G"&amp;B10+6)=CVSSv2!$D$10,CVSSv2!$D$21,IF(INDIRECT("Hallazgos!G"&amp;B10+6)=CVSSv2!$E$10,CVSSv2!$E$21,IF(INDIRECT("Hallazgos!G"&amp;B10+6)=CVSSv2!$F$10,CVSSv2!$F$21,0))))</f>
        <v>0</v>
      </c>
      <c r="G10" s="53"/>
      <c r="H10" s="53" t="n">
        <f aca="true">IF(INDIRECT("Hallazgos!G"&amp;B10+3)=CVSSv2!$C$7,CVSSv2!$C$18,IF(INDIRECT("Hallazgos!G"&amp;B10+3)=CVSSv2!$D$7,CVSSv2!$D$18,IF(INDIRECT("Hallazgos!G"&amp;B10+3)=CVSSv2!$E$7,CVSSv2!$E$18,0)))</f>
        <v>0</v>
      </c>
      <c r="I10" s="53" t="n">
        <f aca="true">IF(INDIRECT("Hallazgos!G"&amp;B10+4)=CVSSv2!$C$8,CVSSv2!$C$19,IF(INDIRECT("Hallazgos!G"&amp;B10+4)=CVSSv2!$D$8,CVSSv2!$D$19,IF(INDIRECT("Hallazgos!G"&amp;B10+4)=CVSSv2!$E$8,CVSSv2!$E$19,0)))</f>
        <v>0</v>
      </c>
      <c r="J10" s="53" t="n">
        <f aca="true">IF(INDIRECT("Hallazgos!G"&amp;B10+5)=CVSSv2!$C$9,CVSSv2!$C$20,IF(INDIRECT("Hallazgos!G"&amp;B10+5)=CVSSv2!$D$9,CVSSv2!$D$20,IF(INDIRECT("Hallazgos!G"&amp;B10+5)=CVSSv2!$E$9,CVSSv2!$E$20,0)))</f>
        <v>0</v>
      </c>
      <c r="K10" s="53"/>
      <c r="L10" s="53" t="str">
        <f aca="false">IF(P10&lt;1,"x",A10&amp;" ")</f>
        <v>x</v>
      </c>
      <c r="M10" s="53" t="n">
        <f aca="false">10*C10*D10*E10*F10</f>
        <v>0</v>
      </c>
      <c r="N10" s="53" t="n">
        <f aca="false">IF((5.21*(1-(1-H10)*(1-I10)*(1-J10)))=0,0.2,(5.21*(1-(1-H10)*(1-I10)*(1-J10))))</f>
        <v>0.2</v>
      </c>
      <c r="O10" s="53" t="str">
        <f aca="true">L10&amp;INDIRECT("Hallazgos!B"&amp;B10)&amp;" ("&amp;P10&amp;")"</f>
        <v>x (0)</v>
      </c>
      <c r="P10" s="53" t="n">
        <f aca="true">IF(INDIRECT("Hallazgos!I"&amp;B10)&gt;0,INDIRECT("Hallazgos!I"&amp;B10),0)</f>
        <v>0</v>
      </c>
    </row>
    <row r="11" customFormat="false" ht="15.75" hidden="false" customHeight="true" outlineLevel="0" collapsed="false">
      <c r="A11" s="61" t="n">
        <v>6</v>
      </c>
      <c r="B11" s="53" t="n">
        <f aca="false">((A11-1)*$B$3)+$B$2+1</f>
        <v>53</v>
      </c>
      <c r="C11" s="53" t="n">
        <f aca="true">IF(INDIRECT("Hallazgos!G"&amp;B11)=CVSSv2!$C$4,CVSSv2!$C$15,IF(INDIRECT("Hallazgos!G"&amp;B11)=CVSSv2!$D$4,CVSSv2!$D$15,IF(INDIRECT("Hallazgos!G"&amp;B11)=CVSSv2!$E$4,CVSSv2!$E$15,0)))</f>
        <v>0</v>
      </c>
      <c r="D11" s="53" t="n">
        <f aca="true">IF(INDIRECT("Hallazgos!G"&amp;B11+1)=CVSSv2!$C$5,CVSSv2!$C$16,IF(INDIRECT("Hallazgos!G"&amp;B11+1)=CVSSv2!$D$5,CVSSv2!$D$16,IF(INDIRECT("Hallazgos!G"&amp;B11+1)=CVSSv2!$E$5,CVSSv2!$E$16,0)))</f>
        <v>0</v>
      </c>
      <c r="E11" s="53" t="n">
        <f aca="true">IF(INDIRECT("Hallazgos!G"&amp;B11+2)=CVSSv2!$C$6,CVSSv2!$C$17,IF(INDIRECT("Hallazgos!G"&amp;B11+2)=CVSSv2!$D$6,CVSSv2!$D$17,IF(INDIRECT("Hallazgos!G"&amp;B11+2)=CVSSv2!$E$6,CVSSv2!$E$17,0)))</f>
        <v>0</v>
      </c>
      <c r="F11" s="53" t="n">
        <f aca="true">IF(INDIRECT("Hallazgos!G"&amp;B11+6)=CVSSv2!$C$10,CVSSv2!$C$21,IF(INDIRECT("Hallazgos!G"&amp;B11+6)=CVSSv2!$D$10,CVSSv2!$D$21,IF(INDIRECT("Hallazgos!G"&amp;B11+6)=CVSSv2!$E$10,CVSSv2!$E$21,IF(INDIRECT("Hallazgos!G"&amp;B11+6)=CVSSv2!$F$10,CVSSv2!$F$21,0))))</f>
        <v>0</v>
      </c>
      <c r="G11" s="53"/>
      <c r="H11" s="53" t="n">
        <f aca="true">IF(INDIRECT("Hallazgos!G"&amp;B11+3)=CVSSv2!$C$7,CVSSv2!$C$18,IF(INDIRECT("Hallazgos!G"&amp;B11+3)=CVSSv2!$D$7,CVSSv2!$D$18,IF(INDIRECT("Hallazgos!G"&amp;B11+3)=CVSSv2!$E$7,CVSSv2!$E$18,0)))</f>
        <v>0</v>
      </c>
      <c r="I11" s="53" t="n">
        <f aca="true">IF(INDIRECT("Hallazgos!G"&amp;B11+4)=CVSSv2!$C$8,CVSSv2!$C$19,IF(INDIRECT("Hallazgos!G"&amp;B11+4)=CVSSv2!$D$8,CVSSv2!$D$19,IF(INDIRECT("Hallazgos!G"&amp;B11+4)=CVSSv2!$E$8,CVSSv2!$E$19,0)))</f>
        <v>0</v>
      </c>
      <c r="J11" s="53" t="n">
        <f aca="true">IF(INDIRECT("Hallazgos!G"&amp;B11+5)=CVSSv2!$C$9,CVSSv2!$C$20,IF(INDIRECT("Hallazgos!G"&amp;B11+5)=CVSSv2!$D$9,CVSSv2!$D$20,IF(INDIRECT("Hallazgos!G"&amp;B11+5)=CVSSv2!$E$9,CVSSv2!$E$20,0)))</f>
        <v>0</v>
      </c>
      <c r="K11" s="53"/>
      <c r="L11" s="53" t="str">
        <f aca="false">IF(P11&lt;1,"x",A11&amp;" ")</f>
        <v>x</v>
      </c>
      <c r="M11" s="53" t="n">
        <f aca="false">10*C11*D11*E11*F11</f>
        <v>0</v>
      </c>
      <c r="N11" s="53" t="n">
        <f aca="false">IF((5.21*(1-(1-H11)*(1-I11)*(1-J11)))=0,0.2,(5.21*(1-(1-H11)*(1-I11)*(1-J11))))</f>
        <v>0.2</v>
      </c>
      <c r="O11" s="53" t="str">
        <f aca="true">L11&amp;INDIRECT("Hallazgos!B"&amp;B11)&amp;" ("&amp;P11&amp;")"</f>
        <v>x (0)</v>
      </c>
      <c r="P11" s="53" t="n">
        <f aca="true">IF(INDIRECT("Hallazgos!I"&amp;B11)&gt;0,INDIRECT("Hallazgos!I"&amp;B11),0)</f>
        <v>0</v>
      </c>
    </row>
    <row r="12" customFormat="false" ht="15.75" hidden="false" customHeight="true" outlineLevel="0" collapsed="false">
      <c r="A12" s="61" t="n">
        <v>7</v>
      </c>
      <c r="B12" s="53" t="n">
        <f aca="false">((A12-1)*$B$3)+$B$2+1</f>
        <v>63</v>
      </c>
      <c r="C12" s="53" t="n">
        <f aca="true">IF(INDIRECT("Hallazgos!G"&amp;B12)=CVSSv2!$C$4,CVSSv2!$C$15,IF(INDIRECT("Hallazgos!G"&amp;B12)=CVSSv2!$D$4,CVSSv2!$D$15,IF(INDIRECT("Hallazgos!G"&amp;B12)=CVSSv2!$E$4,CVSSv2!$E$15,0)))</f>
        <v>0</v>
      </c>
      <c r="D12" s="53" t="n">
        <f aca="true">IF(INDIRECT("Hallazgos!G"&amp;B12+1)=CVSSv2!$C$5,CVSSv2!$C$16,IF(INDIRECT("Hallazgos!G"&amp;B12+1)=CVSSv2!$D$5,CVSSv2!$D$16,IF(INDIRECT("Hallazgos!G"&amp;B12+1)=CVSSv2!$E$5,CVSSv2!$E$16,0)))</f>
        <v>0</v>
      </c>
      <c r="E12" s="53" t="n">
        <f aca="true">IF(INDIRECT("Hallazgos!G"&amp;B12+2)=CVSSv2!$C$6,CVSSv2!$C$17,IF(INDIRECT("Hallazgos!G"&amp;B12+2)=CVSSv2!$D$6,CVSSv2!$D$17,IF(INDIRECT("Hallazgos!G"&amp;B12+2)=CVSSv2!$E$6,CVSSv2!$E$17,0)))</f>
        <v>0</v>
      </c>
      <c r="F12" s="53" t="n">
        <f aca="true">IF(INDIRECT("Hallazgos!G"&amp;B12+6)=CVSSv2!$C$10,CVSSv2!$C$21,IF(INDIRECT("Hallazgos!G"&amp;B12+6)=CVSSv2!$D$10,CVSSv2!$D$21,IF(INDIRECT("Hallazgos!G"&amp;B12+6)=CVSSv2!$E$10,CVSSv2!$E$21,IF(INDIRECT("Hallazgos!G"&amp;B12+6)=CVSSv2!$F$10,CVSSv2!$F$21,0))))</f>
        <v>0</v>
      </c>
      <c r="G12" s="53"/>
      <c r="H12" s="53" t="n">
        <f aca="true">IF(INDIRECT("Hallazgos!G"&amp;B12+3)=CVSSv2!$C$7,CVSSv2!$C$18,IF(INDIRECT("Hallazgos!G"&amp;B12+3)=CVSSv2!$D$7,CVSSv2!$D$18,IF(INDIRECT("Hallazgos!G"&amp;B12+3)=CVSSv2!$E$7,CVSSv2!$E$18,0)))</f>
        <v>0</v>
      </c>
      <c r="I12" s="53" t="n">
        <f aca="true">IF(INDIRECT("Hallazgos!G"&amp;B12+4)=CVSSv2!$C$8,CVSSv2!$C$19,IF(INDIRECT("Hallazgos!G"&amp;B12+4)=CVSSv2!$D$8,CVSSv2!$D$19,IF(INDIRECT("Hallazgos!G"&amp;B12+4)=CVSSv2!$E$8,CVSSv2!$E$19,0)))</f>
        <v>0</v>
      </c>
      <c r="J12" s="53" t="n">
        <f aca="true">IF(INDIRECT("Hallazgos!G"&amp;B12+5)=CVSSv2!$C$9,CVSSv2!$C$20,IF(INDIRECT("Hallazgos!G"&amp;B12+5)=CVSSv2!$D$9,CVSSv2!$D$20,IF(INDIRECT("Hallazgos!G"&amp;B12+5)=CVSSv2!$E$9,CVSSv2!$E$20,0)))</f>
        <v>0</v>
      </c>
      <c r="K12" s="53"/>
      <c r="L12" s="53" t="str">
        <f aca="false">IF(P12&lt;1,"x",A12&amp;" ")</f>
        <v>7 </v>
      </c>
      <c r="M12" s="53" t="n">
        <f aca="false">10*C12*D12*E12*F12</f>
        <v>0</v>
      </c>
      <c r="N12" s="53" t="n">
        <f aca="false">IF((5.21*(1-(1-H12)*(1-I12)*(1-J12)))=0,0.2,(5.21*(1-(1-H12)*(1-I12)*(1-J12))))</f>
        <v>0.2</v>
      </c>
      <c r="O12" s="53" t="str">
        <f aca="true">L12&amp;INDIRECT("Hallazgos!B"&amp;B12)&amp;" ("&amp;P12&amp;")"</f>
        <v>7 Vulnerabilidad 6 (9)</v>
      </c>
      <c r="P12" s="53" t="n">
        <f aca="true">IF(INDIRECT("Hallazgos!I"&amp;B12)&gt;0,INDIRECT("Hallazgos!I"&amp;B12),0)</f>
        <v>9</v>
      </c>
    </row>
    <row r="13" customFormat="false" ht="15.75" hidden="false" customHeight="true" outlineLevel="0" collapsed="false">
      <c r="A13" s="61" t="n">
        <v>8</v>
      </c>
      <c r="B13" s="53" t="n">
        <f aca="false">((A13-1)*$B$3)+$B$2+1</f>
        <v>73</v>
      </c>
      <c r="C13" s="53" t="n">
        <f aca="true">IF(INDIRECT("Hallazgos!G"&amp;B13)=CVSSv2!$C$4,CVSSv2!$C$15,IF(INDIRECT("Hallazgos!G"&amp;B13)=CVSSv2!$D$4,CVSSv2!$D$15,IF(INDIRECT("Hallazgos!G"&amp;B13)=CVSSv2!$E$4,CVSSv2!$E$15,0)))</f>
        <v>0</v>
      </c>
      <c r="D13" s="53" t="n">
        <f aca="true">IF(INDIRECT("Hallazgos!G"&amp;B13+1)=CVSSv2!$C$5,CVSSv2!$C$16,IF(INDIRECT("Hallazgos!G"&amp;B13+1)=CVSSv2!$D$5,CVSSv2!$D$16,IF(INDIRECT("Hallazgos!G"&amp;B13+1)=CVSSv2!$E$5,CVSSv2!$E$16,0)))</f>
        <v>0</v>
      </c>
      <c r="E13" s="53" t="n">
        <f aca="true">IF(INDIRECT("Hallazgos!G"&amp;B13+2)=CVSSv2!$C$6,CVSSv2!$C$17,IF(INDIRECT("Hallazgos!G"&amp;B13+2)=CVSSv2!$D$6,CVSSv2!$D$17,IF(INDIRECT("Hallazgos!G"&amp;B13+2)=CVSSv2!$E$6,CVSSv2!$E$17,0)))</f>
        <v>0</v>
      </c>
      <c r="F13" s="53" t="n">
        <f aca="true">IF(INDIRECT("Hallazgos!G"&amp;B13+6)=CVSSv2!$C$10,CVSSv2!$C$21,IF(INDIRECT("Hallazgos!G"&amp;B13+6)=CVSSv2!$D$10,CVSSv2!$D$21,IF(INDIRECT("Hallazgos!G"&amp;B13+6)=CVSSv2!$E$10,CVSSv2!$E$21,IF(INDIRECT("Hallazgos!G"&amp;B13+6)=CVSSv2!$F$10,CVSSv2!$F$21,0))))</f>
        <v>0</v>
      </c>
      <c r="G13" s="53"/>
      <c r="H13" s="53" t="n">
        <f aca="true">IF(INDIRECT("Hallazgos!G"&amp;B13+3)=CVSSv2!$C$7,CVSSv2!$C$18,IF(INDIRECT("Hallazgos!G"&amp;B13+3)=CVSSv2!$D$7,CVSSv2!$D$18,IF(INDIRECT("Hallazgos!G"&amp;B13+3)=CVSSv2!$E$7,CVSSv2!$E$18,0)))</f>
        <v>0</v>
      </c>
      <c r="I13" s="53" t="n">
        <f aca="true">IF(INDIRECT("Hallazgos!G"&amp;B13+4)=CVSSv2!$C$8,CVSSv2!$C$19,IF(INDIRECT("Hallazgos!G"&amp;B13+4)=CVSSv2!$D$8,CVSSv2!$D$19,IF(INDIRECT("Hallazgos!G"&amp;B13+4)=CVSSv2!$E$8,CVSSv2!$E$19,0)))</f>
        <v>0</v>
      </c>
      <c r="J13" s="53" t="n">
        <f aca="true">IF(INDIRECT("Hallazgos!G"&amp;B13+5)=CVSSv2!$C$9,CVSSv2!$C$20,IF(INDIRECT("Hallazgos!G"&amp;B13+5)=CVSSv2!$D$9,CVSSv2!$D$20,IF(INDIRECT("Hallazgos!G"&amp;B13+5)=CVSSv2!$E$9,CVSSv2!$E$20,0)))</f>
        <v>0</v>
      </c>
      <c r="K13" s="53"/>
      <c r="L13" s="53" t="str">
        <f aca="false">IF(P13&lt;1,"x",A13&amp;" ")</f>
        <v>x</v>
      </c>
      <c r="M13" s="53" t="n">
        <f aca="false">10*C13*D13*E13*F13</f>
        <v>0</v>
      </c>
      <c r="N13" s="53" t="n">
        <f aca="false">IF((5.21*(1-(1-H13)*(1-I13)*(1-J13)))=0,0.2,(5.21*(1-(1-H13)*(1-I13)*(1-J13))))</f>
        <v>0.2</v>
      </c>
      <c r="O13" s="53" t="str">
        <f aca="true">L13&amp;INDIRECT("Hallazgos!B"&amp;B13)&amp;" ("&amp;P13&amp;")"</f>
        <v>x (0)</v>
      </c>
      <c r="P13" s="53" t="n">
        <f aca="true">IF(INDIRECT("Hallazgos!I"&amp;B13)&gt;0,INDIRECT("Hallazgos!I"&amp;B13),0)</f>
        <v>0</v>
      </c>
    </row>
    <row r="14" customFormat="false" ht="15.75" hidden="false" customHeight="true" outlineLevel="0" collapsed="false">
      <c r="A14" s="61" t="n">
        <v>9</v>
      </c>
      <c r="B14" s="53" t="n">
        <f aca="false">((A14-1)*$B$3)+$B$2+1</f>
        <v>83</v>
      </c>
      <c r="C14" s="53" t="n">
        <f aca="true">IF(INDIRECT("Hallazgos!G"&amp;B14)=CVSSv2!$C$4,CVSSv2!$C$15,IF(INDIRECT("Hallazgos!G"&amp;B14)=CVSSv2!$D$4,CVSSv2!$D$15,IF(INDIRECT("Hallazgos!G"&amp;B14)=CVSSv2!$E$4,CVSSv2!$E$15,0)))</f>
        <v>0</v>
      </c>
      <c r="D14" s="53" t="n">
        <f aca="true">IF(INDIRECT("Hallazgos!G"&amp;B14+1)=CVSSv2!$C$5,CVSSv2!$C$16,IF(INDIRECT("Hallazgos!G"&amp;B14+1)=CVSSv2!$D$5,CVSSv2!$D$16,IF(INDIRECT("Hallazgos!G"&amp;B14+1)=CVSSv2!$E$5,CVSSv2!$E$16,0)))</f>
        <v>0</v>
      </c>
      <c r="E14" s="53" t="n">
        <f aca="true">IF(INDIRECT("Hallazgos!G"&amp;B14+2)=CVSSv2!$C$6,CVSSv2!$C$17,IF(INDIRECT("Hallazgos!G"&amp;B14+2)=CVSSv2!$D$6,CVSSv2!$D$17,IF(INDIRECT("Hallazgos!G"&amp;B14+2)=CVSSv2!$E$6,CVSSv2!$E$17,0)))</f>
        <v>0</v>
      </c>
      <c r="F14" s="53" t="n">
        <f aca="true">IF(INDIRECT("Hallazgos!G"&amp;B14+6)=CVSSv2!$C$10,CVSSv2!$C$21,IF(INDIRECT("Hallazgos!G"&amp;B14+6)=CVSSv2!$D$10,CVSSv2!$D$21,IF(INDIRECT("Hallazgos!G"&amp;B14+6)=CVSSv2!$E$10,CVSSv2!$E$21,IF(INDIRECT("Hallazgos!G"&amp;B14+6)=CVSSv2!$F$10,CVSSv2!$F$21,0))))</f>
        <v>0</v>
      </c>
      <c r="G14" s="53"/>
      <c r="H14" s="53" t="n">
        <f aca="true">IF(INDIRECT("Hallazgos!G"&amp;B14+3)=CVSSv2!$C$7,CVSSv2!$C$18,IF(INDIRECT("Hallazgos!G"&amp;B14+3)=CVSSv2!$D$7,CVSSv2!$D$18,IF(INDIRECT("Hallazgos!G"&amp;B14+3)=CVSSv2!$E$7,CVSSv2!$E$18,0)))</f>
        <v>0</v>
      </c>
      <c r="I14" s="53" t="n">
        <f aca="true">IF(INDIRECT("Hallazgos!G"&amp;B14+4)=CVSSv2!$C$8,CVSSv2!$C$19,IF(INDIRECT("Hallazgos!G"&amp;B14+4)=CVSSv2!$D$8,CVSSv2!$D$19,IF(INDIRECT("Hallazgos!G"&amp;B14+4)=CVSSv2!$E$8,CVSSv2!$E$19,0)))</f>
        <v>0</v>
      </c>
      <c r="J14" s="53" t="n">
        <f aca="true">IF(INDIRECT("Hallazgos!G"&amp;B14+5)=CVSSv2!$C$9,CVSSv2!$C$20,IF(INDIRECT("Hallazgos!G"&amp;B14+5)=CVSSv2!$D$9,CVSSv2!$D$20,IF(INDIRECT("Hallazgos!G"&amp;B14+5)=CVSSv2!$E$9,CVSSv2!$E$20,0)))</f>
        <v>0</v>
      </c>
      <c r="K14" s="53"/>
      <c r="L14" s="53" t="str">
        <f aca="false">IF(P14&lt;1,"x",A14&amp;" ")</f>
        <v>x</v>
      </c>
      <c r="M14" s="53" t="n">
        <f aca="false">10*C14*D14*E14*F14</f>
        <v>0</v>
      </c>
      <c r="N14" s="53" t="n">
        <f aca="false">IF((5.21*(1-(1-H14)*(1-I14)*(1-J14)))=0,0.2,(5.21*(1-(1-H14)*(1-I14)*(1-J14))))</f>
        <v>0.2</v>
      </c>
      <c r="O14" s="53" t="str">
        <f aca="true">L14&amp;INDIRECT("Hallazgos!B"&amp;B14)&amp;" ("&amp;P14&amp;")"</f>
        <v>x (0)</v>
      </c>
      <c r="P14" s="53" t="n">
        <f aca="true">IF(INDIRECT("Hallazgos!I"&amp;B14)&gt;0,INDIRECT("Hallazgos!I"&amp;B14),0)</f>
        <v>0</v>
      </c>
    </row>
    <row r="15" customFormat="false" ht="15.75" hidden="false" customHeight="true" outlineLevel="0" collapsed="false">
      <c r="A15" s="61" t="n">
        <v>10</v>
      </c>
      <c r="B15" s="53" t="n">
        <f aca="false">((A15-1)*$B$3)+$B$2+1</f>
        <v>93</v>
      </c>
      <c r="C15" s="53" t="n">
        <f aca="true">IF(INDIRECT("Hallazgos!G"&amp;B15)=CVSSv2!$C$4,CVSSv2!$C$15,IF(INDIRECT("Hallazgos!G"&amp;B15)=CVSSv2!$D$4,CVSSv2!$D$15,IF(INDIRECT("Hallazgos!G"&amp;B15)=CVSSv2!$E$4,CVSSv2!$E$15,0)))</f>
        <v>0</v>
      </c>
      <c r="D15" s="53" t="n">
        <f aca="true">IF(INDIRECT("Hallazgos!G"&amp;B15+1)=CVSSv2!$C$5,CVSSv2!$C$16,IF(INDIRECT("Hallazgos!G"&amp;B15+1)=CVSSv2!$D$5,CVSSv2!$D$16,IF(INDIRECT("Hallazgos!G"&amp;B15+1)=CVSSv2!$E$5,CVSSv2!$E$16,0)))</f>
        <v>0</v>
      </c>
      <c r="E15" s="53" t="n">
        <f aca="true">IF(INDIRECT("Hallazgos!G"&amp;B15+2)=CVSSv2!$C$6,CVSSv2!$C$17,IF(INDIRECT("Hallazgos!G"&amp;B15+2)=CVSSv2!$D$6,CVSSv2!$D$17,IF(INDIRECT("Hallazgos!G"&amp;B15+2)=CVSSv2!$E$6,CVSSv2!$E$17,0)))</f>
        <v>0</v>
      </c>
      <c r="F15" s="53" t="n">
        <f aca="true">IF(INDIRECT("Hallazgos!G"&amp;B15+6)=CVSSv2!$C$10,CVSSv2!$C$21,IF(INDIRECT("Hallazgos!G"&amp;B15+6)=CVSSv2!$D$10,CVSSv2!$D$21,IF(INDIRECT("Hallazgos!G"&amp;B15+6)=CVSSv2!$E$10,CVSSv2!$E$21,IF(INDIRECT("Hallazgos!G"&amp;B15+6)=CVSSv2!$F$10,CVSSv2!$F$21,0))))</f>
        <v>0</v>
      </c>
      <c r="G15" s="53"/>
      <c r="H15" s="53" t="n">
        <f aca="true">IF(INDIRECT("Hallazgos!G"&amp;B15+3)=CVSSv2!$C$7,CVSSv2!$C$18,IF(INDIRECT("Hallazgos!G"&amp;B15+3)=CVSSv2!$D$7,CVSSv2!$D$18,IF(INDIRECT("Hallazgos!G"&amp;B15+3)=CVSSv2!$E$7,CVSSv2!$E$18,0)))</f>
        <v>0</v>
      </c>
      <c r="I15" s="53" t="n">
        <f aca="true">IF(INDIRECT("Hallazgos!G"&amp;B15+4)=CVSSv2!$C$8,CVSSv2!$C$19,IF(INDIRECT("Hallazgos!G"&amp;B15+4)=CVSSv2!$D$8,CVSSv2!$D$19,IF(INDIRECT("Hallazgos!G"&amp;B15+4)=CVSSv2!$E$8,CVSSv2!$E$19,0)))</f>
        <v>0</v>
      </c>
      <c r="J15" s="53" t="n">
        <f aca="true">IF(INDIRECT("Hallazgos!G"&amp;B15+5)=CVSSv2!$C$9,CVSSv2!$C$20,IF(INDIRECT("Hallazgos!G"&amp;B15+5)=CVSSv2!$D$9,CVSSv2!$D$20,IF(INDIRECT("Hallazgos!G"&amp;B15+5)=CVSSv2!$E$9,CVSSv2!$E$20,0)))</f>
        <v>0</v>
      </c>
      <c r="K15" s="53"/>
      <c r="L15" s="53" t="str">
        <f aca="false">IF(P15&lt;1,"x",A15&amp;" ")</f>
        <v>x</v>
      </c>
      <c r="M15" s="53" t="n">
        <f aca="false">10*C15*D15*E15*F15</f>
        <v>0</v>
      </c>
      <c r="N15" s="53" t="n">
        <f aca="false">IF((5.21*(1-(1-H15)*(1-I15)*(1-J15)))=0,0.2,(5.21*(1-(1-H15)*(1-I15)*(1-J15))))</f>
        <v>0.2</v>
      </c>
      <c r="O15" s="53" t="str">
        <f aca="true">L15&amp;INDIRECT("Hallazgos!B"&amp;B15)&amp;" ("&amp;P15&amp;")"</f>
        <v>x (0)</v>
      </c>
      <c r="P15" s="53" t="n">
        <f aca="true">IF(INDIRECT("Hallazgos!I"&amp;B15)&gt;0,INDIRECT("Hallazgos!I"&amp;B15),0)</f>
        <v>0</v>
      </c>
    </row>
    <row r="16" customFormat="false" ht="15.75" hidden="false" customHeight="true" outlineLevel="0" collapsed="false">
      <c r="A16" s="61" t="n">
        <v>11</v>
      </c>
      <c r="B16" s="53" t="n">
        <f aca="false">((A16-1)*$B$3)+$B$2+1</f>
        <v>103</v>
      </c>
      <c r="C16" s="53" t="n">
        <f aca="true">IF(INDIRECT("Hallazgos!G"&amp;B16)=CVSSv2!$C$4,CVSSv2!$C$15,IF(INDIRECT("Hallazgos!G"&amp;B16)=CVSSv2!$D$4,CVSSv2!$D$15,IF(INDIRECT("Hallazgos!G"&amp;B16)=CVSSv2!$E$4,CVSSv2!$E$15,0)))</f>
        <v>0</v>
      </c>
      <c r="D16" s="53" t="n">
        <f aca="true">IF(INDIRECT("Hallazgos!G"&amp;B16+1)=CVSSv2!$C$5,CVSSv2!$C$16,IF(INDIRECT("Hallazgos!G"&amp;B16+1)=CVSSv2!$D$5,CVSSv2!$D$16,IF(INDIRECT("Hallazgos!G"&amp;B16+1)=CVSSv2!$E$5,CVSSv2!$E$16,0)))</f>
        <v>0</v>
      </c>
      <c r="E16" s="53" t="n">
        <f aca="true">IF(INDIRECT("Hallazgos!G"&amp;B16+2)=CVSSv2!$C$6,CVSSv2!$C$17,IF(INDIRECT("Hallazgos!G"&amp;B16+2)=CVSSv2!$D$6,CVSSv2!$D$17,IF(INDIRECT("Hallazgos!G"&amp;B16+2)=CVSSv2!$E$6,CVSSv2!$E$17,0)))</f>
        <v>0</v>
      </c>
      <c r="F16" s="53" t="n">
        <f aca="true">IF(INDIRECT("Hallazgos!G"&amp;B16+6)=CVSSv2!$C$10,CVSSv2!$C$21,IF(INDIRECT("Hallazgos!G"&amp;B16+6)=CVSSv2!$D$10,CVSSv2!$D$21,IF(INDIRECT("Hallazgos!G"&amp;B16+6)=CVSSv2!$E$10,CVSSv2!$E$21,IF(INDIRECT("Hallazgos!G"&amp;B16+6)=CVSSv2!$F$10,CVSSv2!$F$21,0))))</f>
        <v>0</v>
      </c>
      <c r="G16" s="53"/>
      <c r="H16" s="53" t="n">
        <f aca="true">IF(INDIRECT("Hallazgos!G"&amp;B16+3)=CVSSv2!$C$7,CVSSv2!$C$18,IF(INDIRECT("Hallazgos!G"&amp;B16+3)=CVSSv2!$D$7,CVSSv2!$D$18,IF(INDIRECT("Hallazgos!G"&amp;B16+3)=CVSSv2!$E$7,CVSSv2!$E$18,0)))</f>
        <v>0</v>
      </c>
      <c r="I16" s="53" t="n">
        <f aca="true">IF(INDIRECT("Hallazgos!G"&amp;B16+4)=CVSSv2!$C$8,CVSSv2!$C$19,IF(INDIRECT("Hallazgos!G"&amp;B16+4)=CVSSv2!$D$8,CVSSv2!$D$19,IF(INDIRECT("Hallazgos!G"&amp;B16+4)=CVSSv2!$E$8,CVSSv2!$E$19,0)))</f>
        <v>0</v>
      </c>
      <c r="J16" s="53" t="n">
        <f aca="true">IF(INDIRECT("Hallazgos!G"&amp;B16+5)=CVSSv2!$C$9,CVSSv2!$C$20,IF(INDIRECT("Hallazgos!G"&amp;B16+5)=CVSSv2!$D$9,CVSSv2!$D$20,IF(INDIRECT("Hallazgos!G"&amp;B16+5)=CVSSv2!$E$9,CVSSv2!$E$20,0)))</f>
        <v>0</v>
      </c>
      <c r="K16" s="53"/>
      <c r="L16" s="53" t="str">
        <f aca="false">IF(P16&lt;1,"x",A16&amp;" ")</f>
        <v>x</v>
      </c>
      <c r="M16" s="53" t="n">
        <f aca="false">10*C16*D16*E16*F16</f>
        <v>0</v>
      </c>
      <c r="N16" s="53" t="n">
        <f aca="false">IF((5.21*(1-(1-H16)*(1-I16)*(1-J16)))=0,0.2,(5.21*(1-(1-H16)*(1-I16)*(1-J16))))</f>
        <v>0.2</v>
      </c>
      <c r="O16" s="53" t="str">
        <f aca="true">L16&amp;INDIRECT("Hallazgos!B"&amp;B16)&amp;" ("&amp;P16&amp;")"</f>
        <v>x (0)</v>
      </c>
      <c r="P16" s="53" t="n">
        <f aca="true">IF(INDIRECT("Hallazgos!I"&amp;B16)&gt;0,INDIRECT("Hallazgos!I"&amp;B16),0)</f>
        <v>0</v>
      </c>
    </row>
    <row r="17" customFormat="false" ht="15.75" hidden="false" customHeight="true" outlineLevel="0" collapsed="false">
      <c r="A17" s="61" t="n">
        <v>12</v>
      </c>
      <c r="B17" s="53" t="n">
        <f aca="false">((A17-1)*$B$3)+$B$2+1</f>
        <v>113</v>
      </c>
      <c r="C17" s="53" t="n">
        <f aca="true">IF(INDIRECT("Hallazgos!G"&amp;B17)=CVSSv2!$C$4,CVSSv2!$C$15,IF(INDIRECT("Hallazgos!G"&amp;B17)=CVSSv2!$D$4,CVSSv2!$D$15,IF(INDIRECT("Hallazgos!G"&amp;B17)=CVSSv2!$E$4,CVSSv2!$E$15,0)))</f>
        <v>0</v>
      </c>
      <c r="D17" s="53" t="n">
        <f aca="true">IF(INDIRECT("Hallazgos!G"&amp;B17+1)=CVSSv2!$C$5,CVSSv2!$C$16,IF(INDIRECT("Hallazgos!G"&amp;B17+1)=CVSSv2!$D$5,CVSSv2!$D$16,IF(INDIRECT("Hallazgos!G"&amp;B17+1)=CVSSv2!$E$5,CVSSv2!$E$16,0)))</f>
        <v>0</v>
      </c>
      <c r="E17" s="53" t="n">
        <f aca="true">IF(INDIRECT("Hallazgos!G"&amp;B17+2)=CVSSv2!$C$6,CVSSv2!$C$17,IF(INDIRECT("Hallazgos!G"&amp;B17+2)=CVSSv2!$D$6,CVSSv2!$D$17,IF(INDIRECT("Hallazgos!G"&amp;B17+2)=CVSSv2!$E$6,CVSSv2!$E$17,0)))</f>
        <v>0</v>
      </c>
      <c r="F17" s="53" t="n">
        <f aca="true">IF(INDIRECT("Hallazgos!G"&amp;B17+6)=CVSSv2!$C$10,CVSSv2!$C$21,IF(INDIRECT("Hallazgos!G"&amp;B17+6)=CVSSv2!$D$10,CVSSv2!$D$21,IF(INDIRECT("Hallazgos!G"&amp;B17+6)=CVSSv2!$E$10,CVSSv2!$E$21,IF(INDIRECT("Hallazgos!G"&amp;B17+6)=CVSSv2!$F$10,CVSSv2!$F$21,0))))</f>
        <v>0</v>
      </c>
      <c r="G17" s="53"/>
      <c r="H17" s="53" t="n">
        <f aca="true">IF(INDIRECT("Hallazgos!G"&amp;B17+3)=CVSSv2!$C$7,CVSSv2!$C$18,IF(INDIRECT("Hallazgos!G"&amp;B17+3)=CVSSv2!$D$7,CVSSv2!$D$18,IF(INDIRECT("Hallazgos!G"&amp;B17+3)=CVSSv2!$E$7,CVSSv2!$E$18,0)))</f>
        <v>0</v>
      </c>
      <c r="I17" s="53" t="n">
        <f aca="true">IF(INDIRECT("Hallazgos!G"&amp;B17+4)=CVSSv2!$C$8,CVSSv2!$C$19,IF(INDIRECT("Hallazgos!G"&amp;B17+4)=CVSSv2!$D$8,CVSSv2!$D$19,IF(INDIRECT("Hallazgos!G"&amp;B17+4)=CVSSv2!$E$8,CVSSv2!$E$19,0)))</f>
        <v>0</v>
      </c>
      <c r="J17" s="53" t="n">
        <f aca="true">IF(INDIRECT("Hallazgos!G"&amp;B17+5)=CVSSv2!$C$9,CVSSv2!$C$20,IF(INDIRECT("Hallazgos!G"&amp;B17+5)=CVSSv2!$D$9,CVSSv2!$D$20,IF(INDIRECT("Hallazgos!G"&amp;B17+5)=CVSSv2!$E$9,CVSSv2!$E$20,0)))</f>
        <v>0</v>
      </c>
      <c r="K17" s="53"/>
      <c r="L17" s="53" t="str">
        <f aca="false">IF(P17&lt;1,"x",A17&amp;" ")</f>
        <v>x</v>
      </c>
      <c r="M17" s="53" t="n">
        <f aca="false">10*C17*D17*E17*F17</f>
        <v>0</v>
      </c>
      <c r="N17" s="53" t="n">
        <f aca="false">IF((5.21*(1-(1-H17)*(1-I17)*(1-J17)))=0,0.2,(5.21*(1-(1-H17)*(1-I17)*(1-J17))))</f>
        <v>0.2</v>
      </c>
      <c r="O17" s="53" t="str">
        <f aca="true">L17&amp;INDIRECT("Hallazgos!B"&amp;B17)&amp;" ("&amp;P17&amp;")"</f>
        <v>x (0)</v>
      </c>
      <c r="P17" s="53" t="n">
        <f aca="true">IF(INDIRECT("Hallazgos!I"&amp;B17)&gt;0,INDIRECT("Hallazgos!I"&amp;B17),0)</f>
        <v>0</v>
      </c>
    </row>
    <row r="18" customFormat="false" ht="15.75" hidden="false" customHeight="true" outlineLevel="0" collapsed="false">
      <c r="A18" s="61" t="n">
        <v>13</v>
      </c>
      <c r="B18" s="53" t="n">
        <f aca="false">((A18-1)*$B$3)+$B$2+1</f>
        <v>123</v>
      </c>
      <c r="C18" s="53" t="n">
        <f aca="true">IF(INDIRECT("Hallazgos!G"&amp;B18)=CVSSv2!$C$4,CVSSv2!$C$15,IF(INDIRECT("Hallazgos!G"&amp;B18)=CVSSv2!$D$4,CVSSv2!$D$15,IF(INDIRECT("Hallazgos!G"&amp;B18)=CVSSv2!$E$4,CVSSv2!$E$15,0)))</f>
        <v>0</v>
      </c>
      <c r="D18" s="53" t="n">
        <f aca="true">IF(INDIRECT("Hallazgos!G"&amp;B18+1)=CVSSv2!$C$5,CVSSv2!$C$16,IF(INDIRECT("Hallazgos!G"&amp;B18+1)=CVSSv2!$D$5,CVSSv2!$D$16,IF(INDIRECT("Hallazgos!G"&amp;B18+1)=CVSSv2!$E$5,CVSSv2!$E$16,0)))</f>
        <v>0</v>
      </c>
      <c r="E18" s="53" t="n">
        <f aca="true">IF(INDIRECT("Hallazgos!G"&amp;B18+2)=CVSSv2!$C$6,CVSSv2!$C$17,IF(INDIRECT("Hallazgos!G"&amp;B18+2)=CVSSv2!$D$6,CVSSv2!$D$17,IF(INDIRECT("Hallazgos!G"&amp;B18+2)=CVSSv2!$E$6,CVSSv2!$E$17,0)))</f>
        <v>0</v>
      </c>
      <c r="F18" s="53" t="n">
        <f aca="true">IF(INDIRECT("Hallazgos!G"&amp;B18+6)=CVSSv2!$C$10,CVSSv2!$C$21,IF(INDIRECT("Hallazgos!G"&amp;B18+6)=CVSSv2!$D$10,CVSSv2!$D$21,IF(INDIRECT("Hallazgos!G"&amp;B18+6)=CVSSv2!$E$10,CVSSv2!$E$21,IF(INDIRECT("Hallazgos!G"&amp;B18+6)=CVSSv2!$F$10,CVSSv2!$F$21,0))))</f>
        <v>0</v>
      </c>
      <c r="G18" s="53"/>
      <c r="H18" s="53" t="n">
        <f aca="true">IF(INDIRECT("Hallazgos!G"&amp;B18+3)=CVSSv2!$C$7,CVSSv2!$C$18,IF(INDIRECT("Hallazgos!G"&amp;B18+3)=CVSSv2!$D$7,CVSSv2!$D$18,IF(INDIRECT("Hallazgos!G"&amp;B18+3)=CVSSv2!$E$7,CVSSv2!$E$18,0)))</f>
        <v>0</v>
      </c>
      <c r="I18" s="53" t="n">
        <f aca="true">IF(INDIRECT("Hallazgos!G"&amp;B18+4)=CVSSv2!$C$8,CVSSv2!$C$19,IF(INDIRECT("Hallazgos!G"&amp;B18+4)=CVSSv2!$D$8,CVSSv2!$D$19,IF(INDIRECT("Hallazgos!G"&amp;B18+4)=CVSSv2!$E$8,CVSSv2!$E$19,0)))</f>
        <v>0</v>
      </c>
      <c r="J18" s="53" t="n">
        <f aca="true">IF(INDIRECT("Hallazgos!G"&amp;B18+5)=CVSSv2!$C$9,CVSSv2!$C$20,IF(INDIRECT("Hallazgos!G"&amp;B18+5)=CVSSv2!$D$9,CVSSv2!$D$20,IF(INDIRECT("Hallazgos!G"&amp;B18+5)=CVSSv2!$E$9,CVSSv2!$E$20,0)))</f>
        <v>0</v>
      </c>
      <c r="K18" s="53"/>
      <c r="L18" s="53" t="str">
        <f aca="false">IF(P18&lt;1,"x",A18&amp;" ")</f>
        <v>13 </v>
      </c>
      <c r="M18" s="53" t="n">
        <f aca="false">10*C18*D18*E18*F18</f>
        <v>0</v>
      </c>
      <c r="N18" s="53" t="n">
        <f aca="false">IF((5.21*(1-(1-H18)*(1-I18)*(1-J18)))=0,0.2,(5.21*(1-(1-H18)*(1-I18)*(1-J18))))</f>
        <v>0.2</v>
      </c>
      <c r="O18" s="53" t="str">
        <f aca="true">L18&amp;INDIRECT("Hallazgos!B"&amp;B18)&amp;" ("&amp;P18&amp;")"</f>
        <v>13 Vulnerabilidad 11 (9)</v>
      </c>
      <c r="P18" s="53" t="n">
        <f aca="true">IF(INDIRECT("Hallazgos!I"&amp;B18)&gt;0,INDIRECT("Hallazgos!I"&amp;B18),0)</f>
        <v>9</v>
      </c>
    </row>
    <row r="19" customFormat="false" ht="15.75" hidden="false" customHeight="true" outlineLevel="0" collapsed="false">
      <c r="A19" s="61" t="n">
        <v>14</v>
      </c>
      <c r="B19" s="53" t="n">
        <f aca="false">((A19-1)*$B$3)+$B$2+1</f>
        <v>133</v>
      </c>
      <c r="C19" s="53" t="n">
        <f aca="true">IF(INDIRECT("Hallazgos!G"&amp;B19)=CVSSv2!$C$4,CVSSv2!$C$15,IF(INDIRECT("Hallazgos!G"&amp;B19)=CVSSv2!$D$4,CVSSv2!$D$15,IF(INDIRECT("Hallazgos!G"&amp;B19)=CVSSv2!$E$4,CVSSv2!$E$15,0)))</f>
        <v>0</v>
      </c>
      <c r="D19" s="53" t="n">
        <f aca="true">IF(INDIRECT("Hallazgos!G"&amp;B19+1)=CVSSv2!$C$5,CVSSv2!$C$16,IF(INDIRECT("Hallazgos!G"&amp;B19+1)=CVSSv2!$D$5,CVSSv2!$D$16,IF(INDIRECT("Hallazgos!G"&amp;B19+1)=CVSSv2!$E$5,CVSSv2!$E$16,0)))</f>
        <v>0</v>
      </c>
      <c r="E19" s="53" t="n">
        <f aca="true">IF(INDIRECT("Hallazgos!G"&amp;B19+2)=CVSSv2!$C$6,CVSSv2!$C$17,IF(INDIRECT("Hallazgos!G"&amp;B19+2)=CVSSv2!$D$6,CVSSv2!$D$17,IF(INDIRECT("Hallazgos!G"&amp;B19+2)=CVSSv2!$E$6,CVSSv2!$E$17,0)))</f>
        <v>0</v>
      </c>
      <c r="F19" s="53" t="n">
        <f aca="true">IF(INDIRECT("Hallazgos!G"&amp;B19+6)=CVSSv2!$C$10,CVSSv2!$C$21,IF(INDIRECT("Hallazgos!G"&amp;B19+6)=CVSSv2!$D$10,CVSSv2!$D$21,IF(INDIRECT("Hallazgos!G"&amp;B19+6)=CVSSv2!$E$10,CVSSv2!$E$21,IF(INDIRECT("Hallazgos!G"&amp;B19+6)=CVSSv2!$F$10,CVSSv2!$F$21,0))))</f>
        <v>0</v>
      </c>
      <c r="G19" s="53"/>
      <c r="H19" s="53" t="n">
        <f aca="true">IF(INDIRECT("Hallazgos!G"&amp;B19+3)=CVSSv2!$C$7,CVSSv2!$C$18,IF(INDIRECT("Hallazgos!G"&amp;B19+3)=CVSSv2!$D$7,CVSSv2!$D$18,IF(INDIRECT("Hallazgos!G"&amp;B19+3)=CVSSv2!$E$7,CVSSv2!$E$18,0)))</f>
        <v>0</v>
      </c>
      <c r="I19" s="53" t="n">
        <f aca="true">IF(INDIRECT("Hallazgos!G"&amp;B19+4)=CVSSv2!$C$8,CVSSv2!$C$19,IF(INDIRECT("Hallazgos!G"&amp;B19+4)=CVSSv2!$D$8,CVSSv2!$D$19,IF(INDIRECT("Hallazgos!G"&amp;B19+4)=CVSSv2!$E$8,CVSSv2!$E$19,0)))</f>
        <v>0</v>
      </c>
      <c r="J19" s="53" t="n">
        <f aca="true">IF(INDIRECT("Hallazgos!G"&amp;B19+5)=CVSSv2!$C$9,CVSSv2!$C$20,IF(INDIRECT("Hallazgos!G"&amp;B19+5)=CVSSv2!$D$9,CVSSv2!$D$20,IF(INDIRECT("Hallazgos!G"&amp;B19+5)=CVSSv2!$E$9,CVSSv2!$E$20,0)))</f>
        <v>0</v>
      </c>
      <c r="K19" s="53"/>
      <c r="L19" s="53" t="str">
        <f aca="false">IF(P19&lt;1,"x",A19&amp;" ")</f>
        <v>x</v>
      </c>
      <c r="M19" s="53" t="n">
        <f aca="false">10*C19*D19*E19*F19</f>
        <v>0</v>
      </c>
      <c r="N19" s="53" t="n">
        <f aca="false">IF((5.21*(1-(1-H19)*(1-I19)*(1-J19)))=0,0.2,(5.21*(1-(1-H19)*(1-I19)*(1-J19))))</f>
        <v>0.2</v>
      </c>
      <c r="O19" s="53" t="str">
        <f aca="true">L19&amp;INDIRECT("Hallazgos!B"&amp;B19)&amp;" ("&amp;P19&amp;")"</f>
        <v>x (0)</v>
      </c>
      <c r="P19" s="53" t="n">
        <f aca="true">IF(INDIRECT("Hallazgos!I"&amp;B19)&gt;0,INDIRECT("Hallazgos!I"&amp;B19),0)</f>
        <v>0</v>
      </c>
    </row>
    <row r="20" customFormat="false" ht="15.75" hidden="false" customHeight="true" outlineLevel="0" collapsed="false">
      <c r="A20" s="61" t="n">
        <v>15</v>
      </c>
      <c r="B20" s="53" t="n">
        <f aca="false">((A20-1)*$B$3)+$B$2+1</f>
        <v>143</v>
      </c>
      <c r="C20" s="53" t="n">
        <f aca="true">IF(INDIRECT("Hallazgos!G"&amp;B20)=CVSSv2!$C$4,CVSSv2!$C$15,IF(INDIRECT("Hallazgos!G"&amp;B20)=CVSSv2!$D$4,CVSSv2!$D$15,IF(INDIRECT("Hallazgos!G"&amp;B20)=CVSSv2!$E$4,CVSSv2!$E$15,0)))</f>
        <v>0</v>
      </c>
      <c r="D20" s="53" t="n">
        <f aca="true">IF(INDIRECT("Hallazgos!G"&amp;B20+1)=CVSSv2!$C$5,CVSSv2!$C$16,IF(INDIRECT("Hallazgos!G"&amp;B20+1)=CVSSv2!$D$5,CVSSv2!$D$16,IF(INDIRECT("Hallazgos!G"&amp;B20+1)=CVSSv2!$E$5,CVSSv2!$E$16,0)))</f>
        <v>0</v>
      </c>
      <c r="E20" s="53" t="n">
        <f aca="true">IF(INDIRECT("Hallazgos!G"&amp;B20+2)=CVSSv2!$C$6,CVSSv2!$C$17,IF(INDIRECT("Hallazgos!G"&amp;B20+2)=CVSSv2!$D$6,CVSSv2!$D$17,IF(INDIRECT("Hallazgos!G"&amp;B20+2)=CVSSv2!$E$6,CVSSv2!$E$17,0)))</f>
        <v>0</v>
      </c>
      <c r="F20" s="53" t="n">
        <f aca="true">IF(INDIRECT("Hallazgos!G"&amp;B20+6)=CVSSv2!$C$10,CVSSv2!$C$21,IF(INDIRECT("Hallazgos!G"&amp;B20+6)=CVSSv2!$D$10,CVSSv2!$D$21,IF(INDIRECT("Hallazgos!G"&amp;B20+6)=CVSSv2!$E$10,CVSSv2!$E$21,IF(INDIRECT("Hallazgos!G"&amp;B20+6)=CVSSv2!$F$10,CVSSv2!$F$21,0))))</f>
        <v>0</v>
      </c>
      <c r="G20" s="53"/>
      <c r="H20" s="53" t="n">
        <f aca="true">IF(INDIRECT("Hallazgos!G"&amp;B20+3)=CVSSv2!$C$7,CVSSv2!$C$18,IF(INDIRECT("Hallazgos!G"&amp;B20+3)=CVSSv2!$D$7,CVSSv2!$D$18,IF(INDIRECT("Hallazgos!G"&amp;B20+3)=CVSSv2!$E$7,CVSSv2!$E$18,0)))</f>
        <v>0</v>
      </c>
      <c r="I20" s="53" t="n">
        <f aca="true">IF(INDIRECT("Hallazgos!G"&amp;B20+4)=CVSSv2!$C$8,CVSSv2!$C$19,IF(INDIRECT("Hallazgos!G"&amp;B20+4)=CVSSv2!$D$8,CVSSv2!$D$19,IF(INDIRECT("Hallazgos!G"&amp;B20+4)=CVSSv2!$E$8,CVSSv2!$E$19,0)))</f>
        <v>0</v>
      </c>
      <c r="J20" s="53" t="n">
        <f aca="true">IF(INDIRECT("Hallazgos!G"&amp;B20+5)=CVSSv2!$C$9,CVSSv2!$C$20,IF(INDIRECT("Hallazgos!G"&amp;B20+5)=CVSSv2!$D$9,CVSSv2!$D$20,IF(INDIRECT("Hallazgos!G"&amp;B20+5)=CVSSv2!$E$9,CVSSv2!$E$20,0)))</f>
        <v>0</v>
      </c>
      <c r="K20" s="53"/>
      <c r="L20" s="53" t="str">
        <f aca="false">IF(P20&lt;1,"x",A20&amp;" ")</f>
        <v>x</v>
      </c>
      <c r="M20" s="53" t="n">
        <f aca="false">10*C20*D20*E20*F20</f>
        <v>0</v>
      </c>
      <c r="N20" s="53" t="n">
        <f aca="false">IF((5.21*(1-(1-H20)*(1-I20)*(1-J20)))=0,0.2,(5.21*(1-(1-H20)*(1-I20)*(1-J20))))</f>
        <v>0.2</v>
      </c>
      <c r="O20" s="53" t="str">
        <f aca="true">L20&amp;INDIRECT("Hallazgos!B"&amp;B20)&amp;" ("&amp;P20&amp;")"</f>
        <v>x (0)</v>
      </c>
      <c r="P20" s="53" t="n">
        <f aca="true">IF(INDIRECT("Hallazgos!I"&amp;B20)&gt;0,INDIRECT("Hallazgos!I"&amp;B20),0)</f>
        <v>0</v>
      </c>
    </row>
    <row r="21" customFormat="false" ht="15.75" hidden="false" customHeight="true" outlineLevel="0" collapsed="false">
      <c r="A21" s="61" t="n">
        <v>16</v>
      </c>
      <c r="B21" s="53" t="n">
        <f aca="false">((A21-1)*$B$3)+$B$2+1</f>
        <v>153</v>
      </c>
      <c r="C21" s="53" t="n">
        <f aca="true">IF(INDIRECT("Hallazgos!G"&amp;B21)=CVSSv2!$C$4,CVSSv2!$C$15,IF(INDIRECT("Hallazgos!G"&amp;B21)=CVSSv2!$D$4,CVSSv2!$D$15,IF(INDIRECT("Hallazgos!G"&amp;B21)=CVSSv2!$E$4,CVSSv2!$E$15,0)))</f>
        <v>0</v>
      </c>
      <c r="D21" s="53" t="n">
        <f aca="true">IF(INDIRECT("Hallazgos!G"&amp;B21+1)=CVSSv2!$C$5,CVSSv2!$C$16,IF(INDIRECT("Hallazgos!G"&amp;B21+1)=CVSSv2!$D$5,CVSSv2!$D$16,IF(INDIRECT("Hallazgos!G"&amp;B21+1)=CVSSv2!$E$5,CVSSv2!$E$16,0)))</f>
        <v>0</v>
      </c>
      <c r="E21" s="53" t="n">
        <f aca="true">IF(INDIRECT("Hallazgos!G"&amp;B21+2)=CVSSv2!$C$6,CVSSv2!$C$17,IF(INDIRECT("Hallazgos!G"&amp;B21+2)=CVSSv2!$D$6,CVSSv2!$D$17,IF(INDIRECT("Hallazgos!G"&amp;B21+2)=CVSSv2!$E$6,CVSSv2!$E$17,0)))</f>
        <v>0</v>
      </c>
      <c r="F21" s="53" t="n">
        <f aca="true">IF(INDIRECT("Hallazgos!G"&amp;B21+6)=CVSSv2!$C$10,CVSSv2!$C$21,IF(INDIRECT("Hallazgos!G"&amp;B21+6)=CVSSv2!$D$10,CVSSv2!$D$21,IF(INDIRECT("Hallazgos!G"&amp;B21+6)=CVSSv2!$E$10,CVSSv2!$E$21,IF(INDIRECT("Hallazgos!G"&amp;B21+6)=CVSSv2!$F$10,CVSSv2!$F$21,0))))</f>
        <v>0</v>
      </c>
      <c r="G21" s="53"/>
      <c r="H21" s="53" t="n">
        <f aca="true">IF(INDIRECT("Hallazgos!G"&amp;B21+3)=CVSSv2!$C$7,CVSSv2!$C$18,IF(INDIRECT("Hallazgos!G"&amp;B21+3)=CVSSv2!$D$7,CVSSv2!$D$18,IF(INDIRECT("Hallazgos!G"&amp;B21+3)=CVSSv2!$E$7,CVSSv2!$E$18,0)))</f>
        <v>0</v>
      </c>
      <c r="I21" s="53" t="n">
        <f aca="true">IF(INDIRECT("Hallazgos!G"&amp;B21+4)=CVSSv2!$C$8,CVSSv2!$C$19,IF(INDIRECT("Hallazgos!G"&amp;B21+4)=CVSSv2!$D$8,CVSSv2!$D$19,IF(INDIRECT("Hallazgos!G"&amp;B21+4)=CVSSv2!$E$8,CVSSv2!$E$19,0)))</f>
        <v>0</v>
      </c>
      <c r="J21" s="53" t="n">
        <f aca="true">IF(INDIRECT("Hallazgos!G"&amp;B21+5)=CVSSv2!$C$9,CVSSv2!$C$20,IF(INDIRECT("Hallazgos!G"&amp;B21+5)=CVSSv2!$D$9,CVSSv2!$D$20,IF(INDIRECT("Hallazgos!G"&amp;B21+5)=CVSSv2!$E$9,CVSSv2!$E$20,0)))</f>
        <v>0</v>
      </c>
      <c r="K21" s="53"/>
      <c r="L21" s="53" t="str">
        <f aca="false">IF(P21&lt;1,"x",A21&amp;" ")</f>
        <v>x</v>
      </c>
      <c r="M21" s="53" t="n">
        <f aca="false">10*C21*D21*E21*F21</f>
        <v>0</v>
      </c>
      <c r="N21" s="53" t="n">
        <f aca="false">IF((5.21*(1-(1-H21)*(1-I21)*(1-J21)))=0,0.2,(5.21*(1-(1-H21)*(1-I21)*(1-J21))))</f>
        <v>0.2</v>
      </c>
      <c r="O21" s="53" t="str">
        <f aca="true">L21&amp;INDIRECT("Hallazgos!B"&amp;B21)&amp;" ("&amp;P21&amp;")"</f>
        <v>x (0)</v>
      </c>
      <c r="P21" s="53" t="n">
        <f aca="true">IF(INDIRECT("Hallazgos!I"&amp;B21)&gt;0,INDIRECT("Hallazgos!I"&amp;B21),0)</f>
        <v>0</v>
      </c>
    </row>
    <row r="22" customFormat="false" ht="15.75" hidden="false" customHeight="true" outlineLevel="0" collapsed="false">
      <c r="A22" s="61" t="n">
        <v>17</v>
      </c>
      <c r="B22" s="53" t="n">
        <f aca="false">((A22-1)*$B$3)+$B$2+1</f>
        <v>163</v>
      </c>
      <c r="C22" s="53" t="n">
        <f aca="true">IF(INDIRECT("Hallazgos!G"&amp;B22)=CVSSv2!$C$4,CVSSv2!$C$15,IF(INDIRECT("Hallazgos!G"&amp;B22)=CVSSv2!$D$4,CVSSv2!$D$15,IF(INDIRECT("Hallazgos!G"&amp;B22)=CVSSv2!$E$4,CVSSv2!$E$15,0)))</f>
        <v>0</v>
      </c>
      <c r="D22" s="53" t="n">
        <f aca="true">IF(INDIRECT("Hallazgos!G"&amp;B22+1)=CVSSv2!$C$5,CVSSv2!$C$16,IF(INDIRECT("Hallazgos!G"&amp;B22+1)=CVSSv2!$D$5,CVSSv2!$D$16,IF(INDIRECT("Hallazgos!G"&amp;B22+1)=CVSSv2!$E$5,CVSSv2!$E$16,0)))</f>
        <v>0</v>
      </c>
      <c r="E22" s="53" t="n">
        <f aca="true">IF(INDIRECT("Hallazgos!G"&amp;B22+2)=CVSSv2!$C$6,CVSSv2!$C$17,IF(INDIRECT("Hallazgos!G"&amp;B22+2)=CVSSv2!$D$6,CVSSv2!$D$17,IF(INDIRECT("Hallazgos!G"&amp;B22+2)=CVSSv2!$E$6,CVSSv2!$E$17,0)))</f>
        <v>0</v>
      </c>
      <c r="F22" s="53" t="n">
        <f aca="true">IF(INDIRECT("Hallazgos!G"&amp;B22+6)=CVSSv2!$C$10,CVSSv2!$C$21,IF(INDIRECT("Hallazgos!G"&amp;B22+6)=CVSSv2!$D$10,CVSSv2!$D$21,IF(INDIRECT("Hallazgos!G"&amp;B22+6)=CVSSv2!$E$10,CVSSv2!$E$21,IF(INDIRECT("Hallazgos!G"&amp;B22+6)=CVSSv2!$F$10,CVSSv2!$F$21,0))))</f>
        <v>0</v>
      </c>
      <c r="G22" s="53"/>
      <c r="H22" s="53" t="n">
        <f aca="true">IF(INDIRECT("Hallazgos!G"&amp;B22+3)=CVSSv2!$C$7,CVSSv2!$C$18,IF(INDIRECT("Hallazgos!G"&amp;B22+3)=CVSSv2!$D$7,CVSSv2!$D$18,IF(INDIRECT("Hallazgos!G"&amp;B22+3)=CVSSv2!$E$7,CVSSv2!$E$18,0)))</f>
        <v>0</v>
      </c>
      <c r="I22" s="53" t="n">
        <f aca="true">IF(INDIRECT("Hallazgos!G"&amp;B22+4)=CVSSv2!$C$8,CVSSv2!$C$19,IF(INDIRECT("Hallazgos!G"&amp;B22+4)=CVSSv2!$D$8,CVSSv2!$D$19,IF(INDIRECT("Hallazgos!G"&amp;B22+4)=CVSSv2!$E$8,CVSSv2!$E$19,0)))</f>
        <v>0</v>
      </c>
      <c r="J22" s="53" t="n">
        <f aca="true">IF(INDIRECT("Hallazgos!G"&amp;B22+5)=CVSSv2!$C$9,CVSSv2!$C$20,IF(INDIRECT("Hallazgos!G"&amp;B22+5)=CVSSv2!$D$9,CVSSv2!$D$20,IF(INDIRECT("Hallazgos!G"&amp;B22+5)=CVSSv2!$E$9,CVSSv2!$E$20,0)))</f>
        <v>0</v>
      </c>
      <c r="K22" s="53"/>
      <c r="L22" s="53" t="str">
        <f aca="false">IF(P22&lt;1,"x",A22&amp;" ")</f>
        <v>x</v>
      </c>
      <c r="M22" s="53" t="n">
        <f aca="false">10*C22*D22*E22*F22</f>
        <v>0</v>
      </c>
      <c r="N22" s="53" t="n">
        <f aca="false">IF((5.21*(1-(1-H22)*(1-I22)*(1-J22)))=0,0.2,(5.21*(1-(1-H22)*(1-I22)*(1-J22))))</f>
        <v>0.2</v>
      </c>
      <c r="O22" s="53" t="str">
        <f aca="true">L22&amp;INDIRECT("Hallazgos!B"&amp;B22)&amp;" ("&amp;P22&amp;")"</f>
        <v>x (0)</v>
      </c>
      <c r="P22" s="53" t="n">
        <f aca="true">IF(INDIRECT("Hallazgos!I"&amp;B22)&gt;0,INDIRECT("Hallazgos!I"&amp;B22),0)</f>
        <v>0</v>
      </c>
    </row>
    <row r="23" customFormat="false" ht="15.75" hidden="false" customHeight="true" outlineLevel="0" collapsed="false">
      <c r="A23" s="61" t="n">
        <v>18</v>
      </c>
      <c r="B23" s="53" t="n">
        <f aca="false">((A23-1)*$B$3)+$B$2+1</f>
        <v>173</v>
      </c>
      <c r="C23" s="53" t="n">
        <f aca="true">IF(INDIRECT("Hallazgos!G"&amp;B23)=CVSSv2!$C$4,CVSSv2!$C$15,IF(INDIRECT("Hallazgos!G"&amp;B23)=CVSSv2!$D$4,CVSSv2!$D$15,IF(INDIRECT("Hallazgos!G"&amp;B23)=CVSSv2!$E$4,CVSSv2!$E$15,0)))</f>
        <v>0</v>
      </c>
      <c r="D23" s="53" t="n">
        <f aca="true">IF(INDIRECT("Hallazgos!G"&amp;B23+1)=CVSSv2!$C$5,CVSSv2!$C$16,IF(INDIRECT("Hallazgos!G"&amp;B23+1)=CVSSv2!$D$5,CVSSv2!$D$16,IF(INDIRECT("Hallazgos!G"&amp;B23+1)=CVSSv2!$E$5,CVSSv2!$E$16,0)))</f>
        <v>0</v>
      </c>
      <c r="E23" s="53" t="n">
        <f aca="true">IF(INDIRECT("Hallazgos!G"&amp;B23+2)=CVSSv2!$C$6,CVSSv2!$C$17,IF(INDIRECT("Hallazgos!G"&amp;B23+2)=CVSSv2!$D$6,CVSSv2!$D$17,IF(INDIRECT("Hallazgos!G"&amp;B23+2)=CVSSv2!$E$6,CVSSv2!$E$17,0)))</f>
        <v>0</v>
      </c>
      <c r="F23" s="53" t="n">
        <f aca="true">IF(INDIRECT("Hallazgos!G"&amp;B23+6)=CVSSv2!$C$10,CVSSv2!$C$21,IF(INDIRECT("Hallazgos!G"&amp;B23+6)=CVSSv2!$D$10,CVSSv2!$D$21,IF(INDIRECT("Hallazgos!G"&amp;B23+6)=CVSSv2!$E$10,CVSSv2!$E$21,IF(INDIRECT("Hallazgos!G"&amp;B23+6)=CVSSv2!$F$10,CVSSv2!$F$21,0))))</f>
        <v>0</v>
      </c>
      <c r="G23" s="53"/>
      <c r="H23" s="53" t="n">
        <f aca="true">IF(INDIRECT("Hallazgos!G"&amp;B23+3)=CVSSv2!$C$7,CVSSv2!$C$18,IF(INDIRECT("Hallazgos!G"&amp;B23+3)=CVSSv2!$D$7,CVSSv2!$D$18,IF(INDIRECT("Hallazgos!G"&amp;B23+3)=CVSSv2!$E$7,CVSSv2!$E$18,0)))</f>
        <v>0</v>
      </c>
      <c r="I23" s="53" t="n">
        <f aca="true">IF(INDIRECT("Hallazgos!G"&amp;B23+4)=CVSSv2!$C$8,CVSSv2!$C$19,IF(INDIRECT("Hallazgos!G"&amp;B23+4)=CVSSv2!$D$8,CVSSv2!$D$19,IF(INDIRECT("Hallazgos!G"&amp;B23+4)=CVSSv2!$E$8,CVSSv2!$E$19,0)))</f>
        <v>0</v>
      </c>
      <c r="J23" s="53" t="n">
        <f aca="true">IF(INDIRECT("Hallazgos!G"&amp;B23+5)=CVSSv2!$C$9,CVSSv2!$C$20,IF(INDIRECT("Hallazgos!G"&amp;B23+5)=CVSSv2!$D$9,CVSSv2!$D$20,IF(INDIRECT("Hallazgos!G"&amp;B23+5)=CVSSv2!$E$9,CVSSv2!$E$20,0)))</f>
        <v>0</v>
      </c>
      <c r="K23" s="53"/>
      <c r="L23" s="53" t="str">
        <f aca="false">IF(P23&lt;1,"x",A23&amp;" ")</f>
        <v>x</v>
      </c>
      <c r="M23" s="53" t="n">
        <f aca="false">10*C23*D23*E23*F23</f>
        <v>0</v>
      </c>
      <c r="N23" s="53" t="n">
        <f aca="false">IF((5.21*(1-(1-H23)*(1-I23)*(1-J23)))=0,0.2,(5.21*(1-(1-H23)*(1-I23)*(1-J23))))</f>
        <v>0.2</v>
      </c>
      <c r="O23" s="53" t="str">
        <f aca="true">L23&amp;INDIRECT("Hallazgos!B"&amp;B23)&amp;" ("&amp;P23&amp;")"</f>
        <v>x (0)</v>
      </c>
      <c r="P23" s="53" t="n">
        <f aca="true">IF(INDIRECT("Hallazgos!I"&amp;B23)&gt;0,INDIRECT("Hallazgos!I"&amp;B23),0)</f>
        <v>0</v>
      </c>
    </row>
    <row r="24" customFormat="false" ht="15.75" hidden="false" customHeight="true" outlineLevel="0" collapsed="false">
      <c r="A24" s="61" t="n">
        <v>19</v>
      </c>
      <c r="B24" s="53" t="n">
        <f aca="false">((A24-1)*$B$3)+$B$2+1</f>
        <v>183</v>
      </c>
      <c r="C24" s="53" t="n">
        <f aca="true">IF(INDIRECT("Hallazgos!G"&amp;B24)=CVSSv2!$C$4,CVSSv2!$C$15,IF(INDIRECT("Hallazgos!G"&amp;B24)=CVSSv2!$D$4,CVSSv2!$D$15,IF(INDIRECT("Hallazgos!G"&amp;B24)=CVSSv2!$E$4,CVSSv2!$E$15,0)))</f>
        <v>0</v>
      </c>
      <c r="D24" s="53" t="n">
        <f aca="true">IF(INDIRECT("Hallazgos!G"&amp;B24+1)=CVSSv2!$C$5,CVSSv2!$C$16,IF(INDIRECT("Hallazgos!G"&amp;B24+1)=CVSSv2!$D$5,CVSSv2!$D$16,IF(INDIRECT("Hallazgos!G"&amp;B24+1)=CVSSv2!$E$5,CVSSv2!$E$16,0)))</f>
        <v>0</v>
      </c>
      <c r="E24" s="53" t="n">
        <f aca="true">IF(INDIRECT("Hallazgos!G"&amp;B24+2)=CVSSv2!$C$6,CVSSv2!$C$17,IF(INDIRECT("Hallazgos!G"&amp;B24+2)=CVSSv2!$D$6,CVSSv2!$D$17,IF(INDIRECT("Hallazgos!G"&amp;B24+2)=CVSSv2!$E$6,CVSSv2!$E$17,0)))</f>
        <v>0</v>
      </c>
      <c r="F24" s="53" t="n">
        <f aca="true">IF(INDIRECT("Hallazgos!G"&amp;B24+6)=CVSSv2!$C$10,CVSSv2!$C$21,IF(INDIRECT("Hallazgos!G"&amp;B24+6)=CVSSv2!$D$10,CVSSv2!$D$21,IF(INDIRECT("Hallazgos!G"&amp;B24+6)=CVSSv2!$E$10,CVSSv2!$E$21,IF(INDIRECT("Hallazgos!G"&amp;B24+6)=CVSSv2!$F$10,CVSSv2!$F$21,0))))</f>
        <v>0</v>
      </c>
      <c r="G24" s="53"/>
      <c r="H24" s="53" t="n">
        <f aca="true">IF(INDIRECT("Hallazgos!G"&amp;B24+3)=CVSSv2!$C$7,CVSSv2!$C$18,IF(INDIRECT("Hallazgos!G"&amp;B24+3)=CVSSv2!$D$7,CVSSv2!$D$18,IF(INDIRECT("Hallazgos!G"&amp;B24+3)=CVSSv2!$E$7,CVSSv2!$E$18,0)))</f>
        <v>0</v>
      </c>
      <c r="I24" s="53" t="n">
        <f aca="true">IF(INDIRECT("Hallazgos!G"&amp;B24+4)=CVSSv2!$C$8,CVSSv2!$C$19,IF(INDIRECT("Hallazgos!G"&amp;B24+4)=CVSSv2!$D$8,CVSSv2!$D$19,IF(INDIRECT("Hallazgos!G"&amp;B24+4)=CVSSv2!$E$8,CVSSv2!$E$19,0)))</f>
        <v>0</v>
      </c>
      <c r="J24" s="53" t="n">
        <f aca="true">IF(INDIRECT("Hallazgos!G"&amp;B24+5)=CVSSv2!$C$9,CVSSv2!$C$20,IF(INDIRECT("Hallazgos!G"&amp;B24+5)=CVSSv2!$D$9,CVSSv2!$D$20,IF(INDIRECT("Hallazgos!G"&amp;B24+5)=CVSSv2!$E$9,CVSSv2!$E$20,0)))</f>
        <v>0</v>
      </c>
      <c r="K24" s="53"/>
      <c r="L24" s="53" t="str">
        <f aca="false">IF(P24&lt;1,"x",A24&amp;" ")</f>
        <v>19 </v>
      </c>
      <c r="M24" s="53" t="n">
        <f aca="false">10*C24*D24*E24*F24</f>
        <v>0</v>
      </c>
      <c r="N24" s="53" t="n">
        <f aca="false">IF((5.21*(1-(1-H24)*(1-I24)*(1-J24)))=0,0.2,(5.21*(1-(1-H24)*(1-I24)*(1-J24))))</f>
        <v>0.2</v>
      </c>
      <c r="O24" s="53" t="str">
        <f aca="true">L24&amp;INDIRECT("Hallazgos!B"&amp;B24)&amp;" ("&amp;P24&amp;")"</f>
        <v>19 Vulnerabilidad 16 (9)</v>
      </c>
      <c r="P24" s="53" t="n">
        <f aca="true">IF(INDIRECT("Hallazgos!I"&amp;B24)&gt;0,INDIRECT("Hallazgos!I"&amp;B24),0)</f>
        <v>9</v>
      </c>
    </row>
    <row r="25" customFormat="false" ht="15.75" hidden="false" customHeight="true" outlineLevel="0" collapsed="false">
      <c r="A25" s="61" t="n">
        <v>20</v>
      </c>
      <c r="B25" s="53" t="n">
        <f aca="false">((A25-1)*$B$3)+$B$2+1</f>
        <v>193</v>
      </c>
      <c r="C25" s="53" t="n">
        <f aca="true">IF(INDIRECT("Hallazgos!G"&amp;B25)=CVSSv2!$C$4,CVSSv2!$C$15,IF(INDIRECT("Hallazgos!G"&amp;B25)=CVSSv2!$D$4,CVSSv2!$D$15,IF(INDIRECT("Hallazgos!G"&amp;B25)=CVSSv2!$E$4,CVSSv2!$E$15,0)))</f>
        <v>0</v>
      </c>
      <c r="D25" s="53" t="n">
        <f aca="true">IF(INDIRECT("Hallazgos!G"&amp;B25+1)=CVSSv2!$C$5,CVSSv2!$C$16,IF(INDIRECT("Hallazgos!G"&amp;B25+1)=CVSSv2!$D$5,CVSSv2!$D$16,IF(INDIRECT("Hallazgos!G"&amp;B25+1)=CVSSv2!$E$5,CVSSv2!$E$16,0)))</f>
        <v>0</v>
      </c>
      <c r="E25" s="53" t="n">
        <f aca="true">IF(INDIRECT("Hallazgos!G"&amp;B25+2)=CVSSv2!$C$6,CVSSv2!$C$17,IF(INDIRECT("Hallazgos!G"&amp;B25+2)=CVSSv2!$D$6,CVSSv2!$D$17,IF(INDIRECT("Hallazgos!G"&amp;B25+2)=CVSSv2!$E$6,CVSSv2!$E$17,0)))</f>
        <v>0</v>
      </c>
      <c r="F25" s="53" t="n">
        <f aca="true">IF(INDIRECT("Hallazgos!G"&amp;B25+6)=CVSSv2!$C$10,CVSSv2!$C$21,IF(INDIRECT("Hallazgos!G"&amp;B25+6)=CVSSv2!$D$10,CVSSv2!$D$21,IF(INDIRECT("Hallazgos!G"&amp;B25+6)=CVSSv2!$E$10,CVSSv2!$E$21,IF(INDIRECT("Hallazgos!G"&amp;B25+6)=CVSSv2!$F$10,CVSSv2!$F$21,0))))</f>
        <v>0</v>
      </c>
      <c r="G25" s="53"/>
      <c r="H25" s="53" t="n">
        <f aca="true">IF(INDIRECT("Hallazgos!G"&amp;B25+3)=CVSSv2!$C$7,CVSSv2!$C$18,IF(INDIRECT("Hallazgos!G"&amp;B25+3)=CVSSv2!$D$7,CVSSv2!$D$18,IF(INDIRECT("Hallazgos!G"&amp;B25+3)=CVSSv2!$E$7,CVSSv2!$E$18,0)))</f>
        <v>0</v>
      </c>
      <c r="I25" s="53" t="n">
        <f aca="true">IF(INDIRECT("Hallazgos!G"&amp;B25+4)=CVSSv2!$C$8,CVSSv2!$C$19,IF(INDIRECT("Hallazgos!G"&amp;B25+4)=CVSSv2!$D$8,CVSSv2!$D$19,IF(INDIRECT("Hallazgos!G"&amp;B25+4)=CVSSv2!$E$8,CVSSv2!$E$19,0)))</f>
        <v>0</v>
      </c>
      <c r="J25" s="53" t="n">
        <f aca="true">IF(INDIRECT("Hallazgos!G"&amp;B25+5)=CVSSv2!$C$9,CVSSv2!$C$20,IF(INDIRECT("Hallazgos!G"&amp;B25+5)=CVSSv2!$D$9,CVSSv2!$D$20,IF(INDIRECT("Hallazgos!G"&amp;B25+5)=CVSSv2!$E$9,CVSSv2!$E$20,0)))</f>
        <v>0</v>
      </c>
      <c r="K25" s="53"/>
      <c r="L25" s="53" t="str">
        <f aca="false">IF(P25&lt;1,"x",A25&amp;" ")</f>
        <v>x</v>
      </c>
      <c r="M25" s="53" t="n">
        <f aca="false">10*C25*D25*E25*F25</f>
        <v>0</v>
      </c>
      <c r="N25" s="53" t="n">
        <f aca="false">IF((5.21*(1-(1-H25)*(1-I25)*(1-J25)))=0,0.2,(5.21*(1-(1-H25)*(1-I25)*(1-J25))))</f>
        <v>0.2</v>
      </c>
      <c r="O25" s="53" t="str">
        <f aca="true">L25&amp;INDIRECT("Hallazgos!B"&amp;B25)&amp;" ("&amp;P25&amp;")"</f>
        <v>x (0)</v>
      </c>
      <c r="P25" s="53" t="n">
        <f aca="true">IF(INDIRECT("Hallazgos!I"&amp;B25)&gt;0,INDIRECT("Hallazgos!I"&amp;B25),0)</f>
        <v>0</v>
      </c>
    </row>
    <row r="26" customFormat="false" ht="15.75" hidden="false" customHeight="true" outlineLevel="0" collapsed="false">
      <c r="A26" s="61" t="n">
        <v>21</v>
      </c>
      <c r="B26" s="53" t="n">
        <f aca="false">((A26-1)*$B$3)+$B$2+1</f>
        <v>203</v>
      </c>
      <c r="C26" s="53" t="n">
        <f aca="true">IF(INDIRECT("Hallazgos!G"&amp;B26)=CVSSv2!$C$4,CVSSv2!$C$15,IF(INDIRECT("Hallazgos!G"&amp;B26)=CVSSv2!$D$4,CVSSv2!$D$15,IF(INDIRECT("Hallazgos!G"&amp;B26)=CVSSv2!$E$4,CVSSv2!$E$15,0)))</f>
        <v>0</v>
      </c>
      <c r="D26" s="53" t="n">
        <f aca="true">IF(INDIRECT("Hallazgos!G"&amp;B26+1)=CVSSv2!$C$5,CVSSv2!$C$16,IF(INDIRECT("Hallazgos!G"&amp;B26+1)=CVSSv2!$D$5,CVSSv2!$D$16,IF(INDIRECT("Hallazgos!G"&amp;B26+1)=CVSSv2!$E$5,CVSSv2!$E$16,0)))</f>
        <v>0</v>
      </c>
      <c r="E26" s="53" t="n">
        <f aca="true">IF(INDIRECT("Hallazgos!G"&amp;B26+2)=CVSSv2!$C$6,CVSSv2!$C$17,IF(INDIRECT("Hallazgos!G"&amp;B26+2)=CVSSv2!$D$6,CVSSv2!$D$17,IF(INDIRECT("Hallazgos!G"&amp;B26+2)=CVSSv2!$E$6,CVSSv2!$E$17,0)))</f>
        <v>0</v>
      </c>
      <c r="F26" s="53" t="n">
        <f aca="true">IF(INDIRECT("Hallazgos!G"&amp;B26+6)=CVSSv2!$C$10,CVSSv2!$C$21,IF(INDIRECT("Hallazgos!G"&amp;B26+6)=CVSSv2!$D$10,CVSSv2!$D$21,IF(INDIRECT("Hallazgos!G"&amp;B26+6)=CVSSv2!$E$10,CVSSv2!$E$21,IF(INDIRECT("Hallazgos!G"&amp;B26+6)=CVSSv2!$F$10,CVSSv2!$F$21,0))))</f>
        <v>0</v>
      </c>
      <c r="G26" s="53"/>
      <c r="H26" s="53" t="n">
        <f aca="true">IF(INDIRECT("Hallazgos!G"&amp;B26+3)=CVSSv2!$C$7,CVSSv2!$C$18,IF(INDIRECT("Hallazgos!G"&amp;B26+3)=CVSSv2!$D$7,CVSSv2!$D$18,IF(INDIRECT("Hallazgos!G"&amp;B26+3)=CVSSv2!$E$7,CVSSv2!$E$18,0)))</f>
        <v>0</v>
      </c>
      <c r="I26" s="53" t="n">
        <f aca="true">IF(INDIRECT("Hallazgos!G"&amp;B26+4)=CVSSv2!$C$8,CVSSv2!$C$19,IF(INDIRECT("Hallazgos!G"&amp;B26+4)=CVSSv2!$D$8,CVSSv2!$D$19,IF(INDIRECT("Hallazgos!G"&amp;B26+4)=CVSSv2!$E$8,CVSSv2!$E$19,0)))</f>
        <v>0</v>
      </c>
      <c r="J26" s="53" t="n">
        <f aca="true">IF(INDIRECT("Hallazgos!G"&amp;B26+5)=CVSSv2!$C$9,CVSSv2!$C$20,IF(INDIRECT("Hallazgos!G"&amp;B26+5)=CVSSv2!$D$9,CVSSv2!$D$20,IF(INDIRECT("Hallazgos!G"&amp;B26+5)=CVSSv2!$E$9,CVSSv2!$E$20,0)))</f>
        <v>0</v>
      </c>
      <c r="K26" s="53"/>
      <c r="L26" s="53" t="str">
        <f aca="false">IF(P26&lt;1,"x",A26&amp;" ")</f>
        <v>x</v>
      </c>
      <c r="M26" s="53" t="n">
        <f aca="false">10*C26*D26*E26*F26</f>
        <v>0</v>
      </c>
      <c r="N26" s="53" t="n">
        <f aca="false">IF((5.21*(1-(1-H26)*(1-I26)*(1-J26)))=0,0.2,(5.21*(1-(1-H26)*(1-I26)*(1-J26))))</f>
        <v>0.2</v>
      </c>
      <c r="O26" s="53" t="str">
        <f aca="true">L26&amp;INDIRECT("Hallazgos!B"&amp;B26)&amp;" ("&amp;P26&amp;")"</f>
        <v>x (0)</v>
      </c>
      <c r="P26" s="53" t="n">
        <f aca="true">IF(INDIRECT("Hallazgos!I"&amp;B26)&gt;0,INDIRECT("Hallazgos!I"&amp;B26),0)</f>
        <v>0</v>
      </c>
    </row>
    <row r="27" customFormat="false" ht="15.75" hidden="false" customHeight="true" outlineLevel="0" collapsed="false">
      <c r="A27" s="61" t="n">
        <v>22</v>
      </c>
      <c r="B27" s="53" t="n">
        <f aca="false">((A27-1)*$B$3)+$B$2+1</f>
        <v>213</v>
      </c>
      <c r="C27" s="53" t="n">
        <f aca="true">IF(INDIRECT("Hallazgos!G"&amp;B27)=CVSSv2!$C$4,CVSSv2!$C$15,IF(INDIRECT("Hallazgos!G"&amp;B27)=CVSSv2!$D$4,CVSSv2!$D$15,IF(INDIRECT("Hallazgos!G"&amp;B27)=CVSSv2!$E$4,CVSSv2!$E$15,0)))</f>
        <v>0</v>
      </c>
      <c r="D27" s="53" t="n">
        <f aca="true">IF(INDIRECT("Hallazgos!G"&amp;B27+1)=CVSSv2!$C$5,CVSSv2!$C$16,IF(INDIRECT("Hallazgos!G"&amp;B27+1)=CVSSv2!$D$5,CVSSv2!$D$16,IF(INDIRECT("Hallazgos!G"&amp;B27+1)=CVSSv2!$E$5,CVSSv2!$E$16,0)))</f>
        <v>0</v>
      </c>
      <c r="E27" s="53" t="n">
        <f aca="true">IF(INDIRECT("Hallazgos!G"&amp;B27+2)=CVSSv2!$C$6,CVSSv2!$C$17,IF(INDIRECT("Hallazgos!G"&amp;B27+2)=CVSSv2!$D$6,CVSSv2!$D$17,IF(INDIRECT("Hallazgos!G"&amp;B27+2)=CVSSv2!$E$6,CVSSv2!$E$17,0)))</f>
        <v>0</v>
      </c>
      <c r="F27" s="53" t="n">
        <f aca="true">IF(INDIRECT("Hallazgos!G"&amp;B27+6)=CVSSv2!$C$10,CVSSv2!$C$21,IF(INDIRECT("Hallazgos!G"&amp;B27+6)=CVSSv2!$D$10,CVSSv2!$D$21,IF(INDIRECT("Hallazgos!G"&amp;B27+6)=CVSSv2!$E$10,CVSSv2!$E$21,IF(INDIRECT("Hallazgos!G"&amp;B27+6)=CVSSv2!$F$10,CVSSv2!$F$21,0))))</f>
        <v>0</v>
      </c>
      <c r="G27" s="53"/>
      <c r="H27" s="53" t="n">
        <f aca="true">IF(INDIRECT("Hallazgos!G"&amp;B27+3)=CVSSv2!$C$7,CVSSv2!$C$18,IF(INDIRECT("Hallazgos!G"&amp;B27+3)=CVSSv2!$D$7,CVSSv2!$D$18,IF(INDIRECT("Hallazgos!G"&amp;B27+3)=CVSSv2!$E$7,CVSSv2!$E$18,0)))</f>
        <v>0</v>
      </c>
      <c r="I27" s="53" t="n">
        <f aca="true">IF(INDIRECT("Hallazgos!G"&amp;B27+4)=CVSSv2!$C$8,CVSSv2!$C$19,IF(INDIRECT("Hallazgos!G"&amp;B27+4)=CVSSv2!$D$8,CVSSv2!$D$19,IF(INDIRECT("Hallazgos!G"&amp;B27+4)=CVSSv2!$E$8,CVSSv2!$E$19,0)))</f>
        <v>0</v>
      </c>
      <c r="J27" s="53" t="n">
        <f aca="true">IF(INDIRECT("Hallazgos!G"&amp;B27+5)=CVSSv2!$C$9,CVSSv2!$C$20,IF(INDIRECT("Hallazgos!G"&amp;B27+5)=CVSSv2!$D$9,CVSSv2!$D$20,IF(INDIRECT("Hallazgos!G"&amp;B27+5)=CVSSv2!$E$9,CVSSv2!$E$20,0)))</f>
        <v>0</v>
      </c>
      <c r="K27" s="53"/>
      <c r="L27" s="53" t="str">
        <f aca="false">IF(P27&lt;1,"x",A27&amp;" ")</f>
        <v>x</v>
      </c>
      <c r="M27" s="53" t="n">
        <f aca="false">10*C27*D27*E27*F27</f>
        <v>0</v>
      </c>
      <c r="N27" s="53" t="n">
        <f aca="false">IF((5.21*(1-(1-H27)*(1-I27)*(1-J27)))=0,0.2,(5.21*(1-(1-H27)*(1-I27)*(1-J27))))</f>
        <v>0.2</v>
      </c>
      <c r="O27" s="53" t="str">
        <f aca="true">L27&amp;INDIRECT("Hallazgos!B"&amp;B27)&amp;" ("&amp;P27&amp;")"</f>
        <v>x (0)</v>
      </c>
      <c r="P27" s="53" t="n">
        <f aca="true">IF(INDIRECT("Hallazgos!I"&amp;B27)&gt;0,INDIRECT("Hallazgos!I"&amp;B27),0)</f>
        <v>0</v>
      </c>
    </row>
    <row r="28" customFormat="false" ht="15.75" hidden="false" customHeight="true" outlineLevel="0" collapsed="false">
      <c r="A28" s="61" t="n">
        <v>23</v>
      </c>
      <c r="B28" s="53" t="n">
        <f aca="false">((A28-1)*$B$3)+$B$2+1</f>
        <v>223</v>
      </c>
      <c r="C28" s="53" t="n">
        <f aca="true">IF(INDIRECT("Hallazgos!G"&amp;B28)=CVSSv2!$C$4,CVSSv2!$C$15,IF(INDIRECT("Hallazgos!G"&amp;B28)=CVSSv2!$D$4,CVSSv2!$D$15,IF(INDIRECT("Hallazgos!G"&amp;B28)=CVSSv2!$E$4,CVSSv2!$E$15,0)))</f>
        <v>0</v>
      </c>
      <c r="D28" s="53" t="n">
        <f aca="true">IF(INDIRECT("Hallazgos!G"&amp;B28+1)=CVSSv2!$C$5,CVSSv2!$C$16,IF(INDIRECT("Hallazgos!G"&amp;B28+1)=CVSSv2!$D$5,CVSSv2!$D$16,IF(INDIRECT("Hallazgos!G"&amp;B28+1)=CVSSv2!$E$5,CVSSv2!$E$16,0)))</f>
        <v>0</v>
      </c>
      <c r="E28" s="53" t="n">
        <f aca="true">IF(INDIRECT("Hallazgos!G"&amp;B28+2)=CVSSv2!$C$6,CVSSv2!$C$17,IF(INDIRECT("Hallazgos!G"&amp;B28+2)=CVSSv2!$D$6,CVSSv2!$D$17,IF(INDIRECT("Hallazgos!G"&amp;B28+2)=CVSSv2!$E$6,CVSSv2!$E$17,0)))</f>
        <v>0</v>
      </c>
      <c r="F28" s="53" t="n">
        <f aca="true">IF(INDIRECT("Hallazgos!G"&amp;B28+6)=CVSSv2!$C$10,CVSSv2!$C$21,IF(INDIRECT("Hallazgos!G"&amp;B28+6)=CVSSv2!$D$10,CVSSv2!$D$21,IF(INDIRECT("Hallazgos!G"&amp;B28+6)=CVSSv2!$E$10,CVSSv2!$E$21,IF(INDIRECT("Hallazgos!G"&amp;B28+6)=CVSSv2!$F$10,CVSSv2!$F$21,0))))</f>
        <v>0</v>
      </c>
      <c r="G28" s="53"/>
      <c r="H28" s="53" t="n">
        <f aca="true">IF(INDIRECT("Hallazgos!G"&amp;B28+3)=CVSSv2!$C$7,CVSSv2!$C$18,IF(INDIRECT("Hallazgos!G"&amp;B28+3)=CVSSv2!$D$7,CVSSv2!$D$18,IF(INDIRECT("Hallazgos!G"&amp;B28+3)=CVSSv2!$E$7,CVSSv2!$E$18,0)))</f>
        <v>0</v>
      </c>
      <c r="I28" s="53" t="n">
        <f aca="true">IF(INDIRECT("Hallazgos!G"&amp;B28+4)=CVSSv2!$C$8,CVSSv2!$C$19,IF(INDIRECT("Hallazgos!G"&amp;B28+4)=CVSSv2!$D$8,CVSSv2!$D$19,IF(INDIRECT("Hallazgos!G"&amp;B28+4)=CVSSv2!$E$8,CVSSv2!$E$19,0)))</f>
        <v>0</v>
      </c>
      <c r="J28" s="53" t="n">
        <f aca="true">IF(INDIRECT("Hallazgos!G"&amp;B28+5)=CVSSv2!$C$9,CVSSv2!$C$20,IF(INDIRECT("Hallazgos!G"&amp;B28+5)=CVSSv2!$D$9,CVSSv2!$D$20,IF(INDIRECT("Hallazgos!G"&amp;B28+5)=CVSSv2!$E$9,CVSSv2!$E$20,0)))</f>
        <v>0</v>
      </c>
      <c r="K28" s="53"/>
      <c r="L28" s="53" t="str">
        <f aca="false">IF(P28&lt;1,"x",A28&amp;" ")</f>
        <v>x</v>
      </c>
      <c r="M28" s="53" t="n">
        <f aca="false">10*C28*D28*E28*F28</f>
        <v>0</v>
      </c>
      <c r="N28" s="53" t="n">
        <f aca="false">IF((5.21*(1-(1-H28)*(1-I28)*(1-J28)))=0,0.2,(5.21*(1-(1-H28)*(1-I28)*(1-J28))))</f>
        <v>0.2</v>
      </c>
      <c r="O28" s="53" t="str">
        <f aca="true">L28&amp;INDIRECT("Hallazgos!B"&amp;B28)&amp;" ("&amp;P28&amp;")"</f>
        <v>x (0)</v>
      </c>
      <c r="P28" s="53" t="n">
        <f aca="true">IF(INDIRECT("Hallazgos!I"&amp;B28)&gt;0,INDIRECT("Hallazgos!I"&amp;B28),0)</f>
        <v>0</v>
      </c>
    </row>
    <row r="29" customFormat="false" ht="15.75" hidden="false" customHeight="true" outlineLevel="0" collapsed="false">
      <c r="A29" s="61" t="n">
        <v>24</v>
      </c>
      <c r="B29" s="53" t="n">
        <f aca="false">((A29-1)*$B$3)+$B$2+1</f>
        <v>233</v>
      </c>
      <c r="C29" s="53" t="n">
        <f aca="true">IF(INDIRECT("Hallazgos!G"&amp;B29)=CVSSv2!$C$4,CVSSv2!$C$15,IF(INDIRECT("Hallazgos!G"&amp;B29)=CVSSv2!$D$4,CVSSv2!$D$15,IF(INDIRECT("Hallazgos!G"&amp;B29)=CVSSv2!$E$4,CVSSv2!$E$15,0)))</f>
        <v>0</v>
      </c>
      <c r="D29" s="53" t="n">
        <f aca="true">IF(INDIRECT("Hallazgos!G"&amp;B29+1)=CVSSv2!$C$5,CVSSv2!$C$16,IF(INDIRECT("Hallazgos!G"&amp;B29+1)=CVSSv2!$D$5,CVSSv2!$D$16,IF(INDIRECT("Hallazgos!G"&amp;B29+1)=CVSSv2!$E$5,CVSSv2!$E$16,0)))</f>
        <v>0</v>
      </c>
      <c r="E29" s="53" t="n">
        <f aca="true">IF(INDIRECT("Hallazgos!G"&amp;B29+2)=CVSSv2!$C$6,CVSSv2!$C$17,IF(INDIRECT("Hallazgos!G"&amp;B29+2)=CVSSv2!$D$6,CVSSv2!$D$17,IF(INDIRECT("Hallazgos!G"&amp;B29+2)=CVSSv2!$E$6,CVSSv2!$E$17,0)))</f>
        <v>0</v>
      </c>
      <c r="F29" s="53" t="n">
        <f aca="true">IF(INDIRECT("Hallazgos!G"&amp;B29+6)=CVSSv2!$C$10,CVSSv2!$C$21,IF(INDIRECT("Hallazgos!G"&amp;B29+6)=CVSSv2!$D$10,CVSSv2!$D$21,IF(INDIRECT("Hallazgos!G"&amp;B29+6)=CVSSv2!$E$10,CVSSv2!$E$21,IF(INDIRECT("Hallazgos!G"&amp;B29+6)=CVSSv2!$F$10,CVSSv2!$F$21,0))))</f>
        <v>0</v>
      </c>
      <c r="G29" s="53"/>
      <c r="H29" s="53" t="n">
        <f aca="true">IF(INDIRECT("Hallazgos!G"&amp;B29+3)=CVSSv2!$C$7,CVSSv2!$C$18,IF(INDIRECT("Hallazgos!G"&amp;B29+3)=CVSSv2!$D$7,CVSSv2!$D$18,IF(INDIRECT("Hallazgos!G"&amp;B29+3)=CVSSv2!$E$7,CVSSv2!$E$18,0)))</f>
        <v>0</v>
      </c>
      <c r="I29" s="53" t="n">
        <f aca="true">IF(INDIRECT("Hallazgos!G"&amp;B29+4)=CVSSv2!$C$8,CVSSv2!$C$19,IF(INDIRECT("Hallazgos!G"&amp;B29+4)=CVSSv2!$D$8,CVSSv2!$D$19,IF(INDIRECT("Hallazgos!G"&amp;B29+4)=CVSSv2!$E$8,CVSSv2!$E$19,0)))</f>
        <v>0</v>
      </c>
      <c r="J29" s="53" t="n">
        <f aca="true">IF(INDIRECT("Hallazgos!G"&amp;B29+5)=CVSSv2!$C$9,CVSSv2!$C$20,IF(INDIRECT("Hallazgos!G"&amp;B29+5)=CVSSv2!$D$9,CVSSv2!$D$20,IF(INDIRECT("Hallazgos!G"&amp;B29+5)=CVSSv2!$E$9,CVSSv2!$E$20,0)))</f>
        <v>0</v>
      </c>
      <c r="K29" s="53"/>
      <c r="L29" s="53" t="str">
        <f aca="false">IF(P29&lt;1,"x",A29&amp;" ")</f>
        <v>x</v>
      </c>
      <c r="M29" s="53" t="n">
        <f aca="false">10*C29*D29*E29*F29</f>
        <v>0</v>
      </c>
      <c r="N29" s="53" t="n">
        <f aca="false">IF((5.21*(1-(1-H29)*(1-I29)*(1-J29)))=0,0.2,(5.21*(1-(1-H29)*(1-I29)*(1-J29))))</f>
        <v>0.2</v>
      </c>
      <c r="O29" s="53" t="str">
        <f aca="true">L29&amp;INDIRECT("Hallazgos!B"&amp;B29)&amp;" ("&amp;P29&amp;")"</f>
        <v>x (0)</v>
      </c>
      <c r="P29" s="53" t="n">
        <f aca="true">IF(INDIRECT("Hallazgos!I"&amp;B29)&gt;0,INDIRECT("Hallazgos!I"&amp;B29),0)</f>
        <v>0</v>
      </c>
    </row>
    <row r="30" customFormat="false" ht="15.75" hidden="false" customHeight="true" outlineLevel="0" collapsed="false">
      <c r="A30" s="61" t="n">
        <v>25</v>
      </c>
      <c r="B30" s="53" t="n">
        <f aca="false">((A30-1)*$B$3)+$B$2+1</f>
        <v>243</v>
      </c>
      <c r="C30" s="53" t="n">
        <f aca="true">IF(INDIRECT("Hallazgos!G"&amp;B30)=CVSSv2!$C$4,CVSSv2!$C$15,IF(INDIRECT("Hallazgos!G"&amp;B30)=CVSSv2!$D$4,CVSSv2!$D$15,IF(INDIRECT("Hallazgos!G"&amp;B30)=CVSSv2!$E$4,CVSSv2!$E$15,0)))</f>
        <v>0</v>
      </c>
      <c r="D30" s="53" t="n">
        <f aca="true">IF(INDIRECT("Hallazgos!G"&amp;B30+1)=CVSSv2!$C$5,CVSSv2!$C$16,IF(INDIRECT("Hallazgos!G"&amp;B30+1)=CVSSv2!$D$5,CVSSv2!$D$16,IF(INDIRECT("Hallazgos!G"&amp;B30+1)=CVSSv2!$E$5,CVSSv2!$E$16,0)))</f>
        <v>0</v>
      </c>
      <c r="E30" s="53" t="n">
        <f aca="true">IF(INDIRECT("Hallazgos!G"&amp;B30+2)=CVSSv2!$C$6,CVSSv2!$C$17,IF(INDIRECT("Hallazgos!G"&amp;B30+2)=CVSSv2!$D$6,CVSSv2!$D$17,IF(INDIRECT("Hallazgos!G"&amp;B30+2)=CVSSv2!$E$6,CVSSv2!$E$17,0)))</f>
        <v>0</v>
      </c>
      <c r="F30" s="53" t="n">
        <f aca="true">IF(INDIRECT("Hallazgos!G"&amp;B30+6)=CVSSv2!$C$10,CVSSv2!$C$21,IF(INDIRECT("Hallazgos!G"&amp;B30+6)=CVSSv2!$D$10,CVSSv2!$D$21,IF(INDIRECT("Hallazgos!G"&amp;B30+6)=CVSSv2!$E$10,CVSSv2!$E$21,IF(INDIRECT("Hallazgos!G"&amp;B30+6)=CVSSv2!$F$10,CVSSv2!$F$21,0))))</f>
        <v>0</v>
      </c>
      <c r="G30" s="53"/>
      <c r="H30" s="53" t="n">
        <f aca="true">IF(INDIRECT("Hallazgos!G"&amp;B30+3)=CVSSv2!$C$7,CVSSv2!$C$18,IF(INDIRECT("Hallazgos!G"&amp;B30+3)=CVSSv2!$D$7,CVSSv2!$D$18,IF(INDIRECT("Hallazgos!G"&amp;B30+3)=CVSSv2!$E$7,CVSSv2!$E$18,0)))</f>
        <v>0</v>
      </c>
      <c r="I30" s="53" t="n">
        <f aca="true">IF(INDIRECT("Hallazgos!G"&amp;B30+4)=CVSSv2!$C$8,CVSSv2!$C$19,IF(INDIRECT("Hallazgos!G"&amp;B30+4)=CVSSv2!$D$8,CVSSv2!$D$19,IF(INDIRECT("Hallazgos!G"&amp;B30+4)=CVSSv2!$E$8,CVSSv2!$E$19,0)))</f>
        <v>0</v>
      </c>
      <c r="J30" s="53" t="n">
        <f aca="true">IF(INDIRECT("Hallazgos!G"&amp;B30+5)=CVSSv2!$C$9,CVSSv2!$C$20,IF(INDIRECT("Hallazgos!G"&amp;B30+5)=CVSSv2!$D$9,CVSSv2!$D$20,IF(INDIRECT("Hallazgos!G"&amp;B30+5)=CVSSv2!$E$9,CVSSv2!$E$20,0)))</f>
        <v>0</v>
      </c>
      <c r="K30" s="53"/>
      <c r="L30" s="53" t="str">
        <f aca="false">IF(P30&lt;1,"x",A30&amp;" ")</f>
        <v>25 </v>
      </c>
      <c r="M30" s="53" t="n">
        <f aca="false">10*C30*D30*E30*F30</f>
        <v>0</v>
      </c>
      <c r="N30" s="53" t="n">
        <f aca="false">IF((5.21*(1-(1-H30)*(1-I30)*(1-J30)))=0,0.2,(5.21*(1-(1-H30)*(1-I30)*(1-J30))))</f>
        <v>0.2</v>
      </c>
      <c r="O30" s="53" t="str">
        <f aca="true">L30&amp;INDIRECT("Hallazgos!B"&amp;B30)&amp;" ("&amp;P30&amp;")"</f>
        <v>25 Vulnerabilidad 21 (9)</v>
      </c>
      <c r="P30" s="53" t="n">
        <f aca="true">IF(INDIRECT("Hallazgos!I"&amp;B30)&gt;0,INDIRECT("Hallazgos!I"&amp;B30),0)</f>
        <v>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75"/>
    <col collapsed="false" customWidth="true" hidden="false" outlineLevel="0" max="2" min="2" style="0" width="12.23"/>
    <col collapsed="false" customWidth="true" hidden="false" outlineLevel="0" max="5" min="3" style="0" width="14.75"/>
    <col collapsed="false" customWidth="true" hidden="false" outlineLevel="0" max="6" min="6" style="0" width="69.64"/>
    <col collapsed="false" customWidth="true" hidden="false" outlineLevel="0" max="26" min="7" style="0" width="14.75"/>
    <col collapsed="false" customWidth="true" hidden="false" outlineLevel="0" max="1025" min="27" style="0" width="17.72"/>
  </cols>
  <sheetData>
    <row r="1" customFormat="false" ht="15.75" hidden="false" customHeight="true" outlineLevel="0" collapsed="false">
      <c r="A1" s="66" t="s">
        <v>922</v>
      </c>
      <c r="B1" s="66" t="s">
        <v>923</v>
      </c>
      <c r="C1" s="67"/>
      <c r="F1" s="68"/>
    </row>
    <row r="2" customFormat="false" ht="15.75" hidden="false" customHeight="true" outlineLevel="0" collapsed="false">
      <c r="A2" s="39" t="s">
        <v>924</v>
      </c>
      <c r="B2" s="69" t="str">
        <f aca="false">IFERROR(__xludf.dummyfunction("IF(IFERROR(QUERY(Hallazgos!H:I,""SELECT count(H) where H&gt;6.9 label count(H) ''""),0)=0,0,QUERY(Hallazgos!H:I,""SELECT count(H) where H&gt;6.9 label count(H)  ''""))"),"0")</f>
        <v>0</v>
      </c>
      <c r="C2" s="67"/>
      <c r="F2" s="68"/>
    </row>
    <row r="3" customFormat="false" ht="15.75" hidden="false" customHeight="true" outlineLevel="0" collapsed="false">
      <c r="A3" s="39" t="s">
        <v>925</v>
      </c>
      <c r="B3" s="70" t="str">
        <f aca="false">IFERROR(__xludf.dummyfunction("IF(IFERROR(QUERY(Hallazgos!H:I,""SELECT count(H) where H&gt;3.9 and H&lt;7 label count(H) ''""),0)=0,0,QUERY(Hallazgos!H:I,""SELECT count(H) where H&gt;3.9 and H&lt;7 label count(H) ''""))"),"0")</f>
        <v>0</v>
      </c>
      <c r="C3" s="56"/>
      <c r="F3" s="68"/>
    </row>
    <row r="4" customFormat="false" ht="15.75" hidden="false" customHeight="true" outlineLevel="0" collapsed="false">
      <c r="A4" s="39" t="s">
        <v>926</v>
      </c>
      <c r="B4" s="70" t="str">
        <f aca="false">IFERROR(__xludf.dummyfunction("IF(IFERROR(QUERY(Hallazgos!H:I,""SELECT count(H) where H&lt;4 label count(H) ''""),0)=0,0,QUERY(Hallazgos!H:I,""SELECT count(H) where H&lt;4 label count(H) ''""))"),"0")</f>
        <v>0</v>
      </c>
      <c r="C4" s="56"/>
      <c r="F4" s="68"/>
    </row>
    <row r="5" customFormat="false" ht="15.75" hidden="false" customHeight="true" outlineLevel="0" collapsed="false">
      <c r="A5" s="71"/>
      <c r="B5" s="71"/>
      <c r="F5" s="6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59"/>
    <col collapsed="false" customWidth="true" hidden="false" outlineLevel="0" max="2" min="2" style="0" width="6.99"/>
    <col collapsed="false" customWidth="true" hidden="false" outlineLevel="0" max="3" min="3" style="0" width="2.25"/>
    <col collapsed="false" customWidth="true" hidden="false" outlineLevel="0" max="4" min="4" style="0" width="6.11"/>
    <col collapsed="false" customWidth="true" hidden="false" outlineLevel="0" max="5" min="5" style="0" width="20.74"/>
    <col collapsed="false" customWidth="true" hidden="false" outlineLevel="0" max="11" min="6" style="0" width="6.11"/>
    <col collapsed="false" customWidth="true" hidden="false" outlineLevel="0" max="12" min="12" style="0" width="9.61"/>
    <col collapsed="false" customWidth="true" hidden="false" outlineLevel="0" max="15" min="13" style="0" width="6.11"/>
    <col collapsed="false" customWidth="true" hidden="false" outlineLevel="0" max="16" min="16" style="0" width="51.29"/>
    <col collapsed="false" customWidth="true" hidden="false" outlineLevel="0" max="17" min="17" style="0" width="4.37"/>
    <col collapsed="false" customWidth="true" hidden="false" outlineLevel="0" max="21" min="18" style="0" width="14.75"/>
    <col collapsed="false" customWidth="true" hidden="false" outlineLevel="0" max="22" min="22" style="0" width="2.5"/>
    <col collapsed="false" customWidth="true" hidden="false" outlineLevel="0" max="23" min="23" style="0" width="14.75"/>
    <col collapsed="false" customWidth="true" hidden="false" outlineLevel="0" max="24" min="24" style="0" width="4.37"/>
    <col collapsed="false" customWidth="true" hidden="false" outlineLevel="0" max="25" min="25" style="0" width="4.74"/>
    <col collapsed="false" customWidth="true" hidden="false" outlineLevel="0" max="26" min="26" style="0" width="14.75"/>
    <col collapsed="false" customWidth="true" hidden="false" outlineLevel="0" max="27" min="27" style="0" width="4.25"/>
    <col collapsed="false" customWidth="true" hidden="false" outlineLevel="0" max="28" min="28" style="0" width="5.87"/>
    <col collapsed="false" customWidth="true" hidden="false" outlineLevel="0" max="1025" min="29" style="0" width="17.72"/>
  </cols>
  <sheetData>
    <row r="1" customFormat="false" ht="15.75" hidden="false" customHeight="true" outlineLevel="0" collapsed="false">
      <c r="A1" s="72" t="s">
        <v>927</v>
      </c>
      <c r="B1" s="73" t="s">
        <v>928</v>
      </c>
      <c r="C1" s="54"/>
      <c r="D1" s="72" t="s">
        <v>929</v>
      </c>
      <c r="E1" s="72" t="s">
        <v>927</v>
      </c>
      <c r="F1" s="57" t="s">
        <v>930</v>
      </c>
      <c r="G1" s="57" t="s">
        <v>931</v>
      </c>
      <c r="H1" s="57" t="s">
        <v>932</v>
      </c>
      <c r="I1" s="54"/>
      <c r="J1" s="54"/>
      <c r="K1" s="54"/>
      <c r="L1" s="54" t="s">
        <v>933</v>
      </c>
      <c r="M1" s="54"/>
      <c r="N1" s="54"/>
      <c r="O1" s="54"/>
      <c r="P1" s="74" t="str">
        <f aca="false">IFERROR(__xludf.dummyfunction("QUERY(TRANSPOSE((SPLIT(SUBSTITUTE(CONCATENATE(ARRAYFORMULA(QUERY(Hallazgos!A:F,""SELECT E"")&amp;CHAR(9))), CHAR(10), CHAR(9)),CHAR(9)))),""SELECT Col1 WHERE Col1 starts with 'REQ'"")"),"#N/A")</f>
        <v>#N/A</v>
      </c>
      <c r="Q1" s="74" t="n">
        <f aca="true">IFERROR(MATCH(LEFT(P1,8),INDIRECT($L$1&amp;"!A:A"),1),2)</f>
        <v>2</v>
      </c>
      <c r="R1" s="74" t="str">
        <f aca="true">IF(Q1=2,"",INDIRECT($L$1&amp;"!C"&amp;Q1))</f>
        <v/>
      </c>
      <c r="S1" s="74" t="str">
        <f aca="true">IF(Q1=2,"",INDIRECT($L$1&amp;"!D"&amp;Q1))</f>
        <v/>
      </c>
      <c r="T1" s="74" t="str">
        <f aca="true">IF(Q1=2,"",INDIRECT($L$1&amp;"!E"&amp;Q1))</f>
        <v/>
      </c>
      <c r="U1" s="74" t="str">
        <f aca="true">IF(Q1=2,"",INDIRECT($L$1&amp;"!F"&amp;Q1))</f>
        <v/>
      </c>
      <c r="V1" s="74"/>
      <c r="W1" s="74" t="str">
        <f aca="false">IFERROR(__xludf.dummyfunction("ArrayFormula(Query(IF({1,1},IF(S:S="""","""",S:S)),""SELECT Col1, COUNT(Col2) WHERE Col1 &lt;&gt; '' GROUP BY Col1 Label Col1 '', COUNT(Col2) ''""))"),"#REF!")</f>
        <v>#REF!</v>
      </c>
      <c r="X1" s="74" t="n">
        <v>1</v>
      </c>
      <c r="Y1" s="74" t="str">
        <f aca="false">IFERROR(__xludf.dummyfunction("IF(W1="""","""",QUERY(Hallazgos!C:I,""SELECT max(H) WHERE E CONTAINS 'Activo:""&amp;W1&amp;""' LABEL max(H) ''""))"),"#REF!")</f>
        <v>#REF!</v>
      </c>
      <c r="Z1" s="74" t="str">
        <f aca="false">IFERROR(__xludf.dummyfunction("ArrayFormula(Query(IF({1,1},IF(T:T="""","""",T:T)),""SELECT Col1, COUNT(Col2) WHERE Col1 &lt;&gt; '' GROUP BY Col1 Label Col1 '', COUNT(Col2) ''""))"),"#REF!")</f>
        <v>#REF!</v>
      </c>
      <c r="AA1" s="74" t="n">
        <v>1</v>
      </c>
      <c r="AB1" s="74" t="str">
        <f aca="false">IFERROR(__xludf.dummyfunction("IF(Z1="""","""",QUERY(Hallazgos!C:I,""SELECT max(H) WHERE E CONTAINS 'Alcance:""&amp;Z1&amp;""' LABEL max(H) ''""))"),"#REF!")</f>
        <v>#REF!</v>
      </c>
    </row>
    <row r="2" customFormat="false" ht="15.75" hidden="false" customHeight="true" outlineLevel="0" collapsed="false">
      <c r="A2" s="72" t="str">
        <f aca="false">IFERROR(__xludf.dummyfunction("QUERY(Z:AA,""SELECT Z, AA WHERE Z &lt;&gt;'' ORDER BY AA DESC"")"),"#REF!")</f>
        <v>#REF!</v>
      </c>
      <c r="B2" s="57" t="n">
        <v>2</v>
      </c>
      <c r="C2" s="54"/>
      <c r="D2" s="72" t="str">
        <f aca="false">IFERROR(__xludf.dummyfunction("QUERY(Z:AB,""SELECT AB, Z WHERE Z&lt;&gt;'' ORDER BY AB DESC"")"),"#REF!")</f>
        <v>#REF!</v>
      </c>
      <c r="E2" s="75" t="s">
        <v>15</v>
      </c>
      <c r="F2" s="53" t="str">
        <f aca="false">IF(D2&gt;6.9,D2,0)</f>
        <v>#REF!</v>
      </c>
      <c r="G2" s="53" t="n">
        <f aca="false">IF(AND(D2&lt;7,D2&gt;3.9),D2,0)</f>
        <v>0</v>
      </c>
      <c r="H2" s="53" t="n">
        <f aca="false">IF(D2&lt;4,D2,0)</f>
        <v>0</v>
      </c>
      <c r="I2" s="54"/>
      <c r="J2" s="54"/>
      <c r="K2" s="54"/>
      <c r="L2" s="54"/>
      <c r="M2" s="54"/>
      <c r="N2" s="54"/>
      <c r="O2" s="54"/>
      <c r="P2" s="76" t="s">
        <v>934</v>
      </c>
      <c r="Q2" s="74" t="n">
        <f aca="true">IFERROR(MATCH(LEFT(P2,8),INDIRECT($L$1&amp;"!A:A"),1),2)</f>
        <v>4</v>
      </c>
      <c r="R2" s="74" t="str">
        <f aca="true">IF(Q2=2,"",INDIRECT($L$1&amp;"!C"&amp;Q2))</f>
        <v>Capa de Recursos</v>
      </c>
      <c r="S2" s="74" t="str">
        <f aca="true">IF(Q2=2,"",INDIRECT($L$1&amp;"!D"&amp;Q2))</f>
        <v>Activos de información</v>
      </c>
      <c r="T2" s="74" t="str">
        <f aca="true">IF(Q2=2,"",INDIRECT($L$1&amp;"!E"&amp;Q2))</f>
        <v>Adherencia</v>
      </c>
      <c r="U2" s="74" t="str">
        <f aca="true">IF(Q2=2,"",INDIRECT($L$1&amp;"!F"&amp;Q2))</f>
        <v>Análisis</v>
      </c>
      <c r="V2" s="74"/>
      <c r="W2" s="74" t="s">
        <v>95</v>
      </c>
      <c r="X2" s="74" t="n">
        <v>1</v>
      </c>
      <c r="Y2" s="74" t="str">
        <f aca="false">IFERROR(__xludf.dummyfunction("IF(W2="""","""",QUERY(Hallazgos!C:I,""SELECT max(H) WHERE E CONTAINS 'Activo:""&amp;W2&amp;""' LABEL max(H) ''""))"),"#N/A")</f>
        <v>#N/A</v>
      </c>
      <c r="Z2" s="74" t="s">
        <v>98</v>
      </c>
      <c r="AA2" s="74" t="n">
        <v>1</v>
      </c>
      <c r="AB2" s="74" t="str">
        <f aca="false">IFERROR(__xludf.dummyfunction("IF(Z2="""","""",QUERY(Hallazgos!C:I,""SELECT max(H) WHERE E CONTAINS 'Alcance:""&amp;Z2&amp;""' LABEL max(H) ''""))"),"#N/A")</f>
        <v>#N/A</v>
      </c>
    </row>
    <row r="3" customFormat="false" ht="15.75" hidden="false" customHeight="true" outlineLevel="0" collapsed="false">
      <c r="A3" s="72" t="s">
        <v>15</v>
      </c>
      <c r="B3" s="57" t="n">
        <v>1</v>
      </c>
      <c r="C3" s="54"/>
      <c r="D3" s="72" t="n">
        <v>10</v>
      </c>
      <c r="E3" s="75" t="s">
        <v>98</v>
      </c>
      <c r="F3" s="53" t="n">
        <f aca="false">IF(D3&gt;6.9,D3,0)</f>
        <v>10</v>
      </c>
      <c r="G3" s="53" t="n">
        <f aca="false">IF(AND(D3&lt;7,D3&gt;3.9),D3,0)</f>
        <v>0</v>
      </c>
      <c r="H3" s="53" t="n">
        <f aca="false">IF(D3&lt;4,D3,0)</f>
        <v>0</v>
      </c>
      <c r="I3" s="54"/>
      <c r="J3" s="54"/>
      <c r="K3" s="54"/>
      <c r="L3" s="54"/>
      <c r="M3" s="54"/>
      <c r="N3" s="54"/>
      <c r="O3" s="54"/>
      <c r="P3" s="74" t="s">
        <v>935</v>
      </c>
      <c r="Q3" s="74" t="n">
        <f aca="true">IFERROR(MATCH(LEFT(P3,8),INDIRECT($L$1&amp;"!A:A"),1),2)</f>
        <v>52</v>
      </c>
      <c r="R3" s="74" t="str">
        <f aca="true">IF(Q3=2,"",INDIRECT($L$1&amp;"!C"&amp;Q3))</f>
        <v>Capa de Aplicación</v>
      </c>
      <c r="S3" s="74" t="str">
        <f aca="true">IF(Q3=2,"",INDIRECT($L$1&amp;"!D"&amp;Q3))</f>
        <v>Arquitectura de seguridad</v>
      </c>
      <c r="T3" s="74" t="str">
        <f aca="true">IF(Q3=2,"",INDIRECT($L$1&amp;"!E"&amp;Q3))</f>
        <v>Confidencialidad</v>
      </c>
      <c r="U3" s="74" t="str">
        <f aca="true">IF(Q3=2,"",INDIRECT($L$1&amp;"!F"&amp;Q3))</f>
        <v>Construcción</v>
      </c>
      <c r="V3" s="74"/>
      <c r="W3" s="74" t="s">
        <v>189</v>
      </c>
      <c r="X3" s="74" t="n">
        <v>1</v>
      </c>
      <c r="Y3" s="74" t="str">
        <f aca="false">IFERROR(__xludf.dummyfunction("IF(W3="""","""",QUERY(Hallazgos!C:I,""SELECT max(H) WHERE E CONTAINS 'Activo:""&amp;W3&amp;""' LABEL max(H) ''""))"),"#N/A")</f>
        <v>#N/A</v>
      </c>
      <c r="Z3" s="74" t="s">
        <v>81</v>
      </c>
      <c r="AA3" s="74" t="n">
        <v>2</v>
      </c>
      <c r="AB3" s="74" t="str">
        <f aca="false">IFERROR(__xludf.dummyfunction("IF(Z3="""","""",QUERY(Hallazgos!C:I,""SELECT max(H) WHERE E CONTAINS 'Alcance:""&amp;Z3&amp;""' LABEL max(H) ''""))"),"#N/A")</f>
        <v>#N/A</v>
      </c>
    </row>
    <row r="4" customFormat="false" ht="15.75" hidden="false" customHeight="true" outlineLevel="0" collapsed="false">
      <c r="A4" s="72" t="s">
        <v>98</v>
      </c>
      <c r="B4" s="57" t="n">
        <v>1</v>
      </c>
      <c r="C4" s="54"/>
      <c r="D4" s="72" t="n">
        <v>10</v>
      </c>
      <c r="E4" s="75" t="s">
        <v>81</v>
      </c>
      <c r="F4" s="53" t="n">
        <f aca="false">IF(D4&gt;6.9,D4,0)</f>
        <v>10</v>
      </c>
      <c r="G4" s="53" t="n">
        <f aca="false">IF(AND(D4&lt;7,D4&gt;3.9),D4,0)</f>
        <v>0</v>
      </c>
      <c r="H4" s="53" t="n">
        <f aca="false">IF(D4&lt;4,D4,0)</f>
        <v>0</v>
      </c>
      <c r="I4" s="54"/>
      <c r="J4" s="54"/>
      <c r="K4" s="54"/>
      <c r="L4" s="54"/>
      <c r="M4" s="54"/>
      <c r="N4" s="54"/>
      <c r="O4" s="54"/>
      <c r="P4" s="74" t="s">
        <v>936</v>
      </c>
      <c r="Q4" s="74" t="n">
        <f aca="true">IFERROR(MATCH(LEFT(P4,8),INDIRECT($L$1&amp;"!A:A"),1),2)</f>
        <v>251</v>
      </c>
      <c r="R4" s="74" t="str">
        <f aca="true">IF(Q4=2,"",INDIRECT($L$1&amp;"!C"&amp;Q4))</f>
        <v>Capa de Recursos</v>
      </c>
      <c r="S4" s="74" t="str">
        <f aca="true">IF(Q4=2,"",INDIRECT($L$1&amp;"!D"&amp;Q4))</f>
        <v>Redes inalámbricas</v>
      </c>
      <c r="T4" s="74" t="str">
        <f aca="true">IF(Q4=2,"",INDIRECT($L$1&amp;"!E"&amp;Q4))</f>
        <v>Autorización</v>
      </c>
      <c r="U4" s="74" t="str">
        <f aca="true">IF(Q4=2,"",INDIRECT($L$1&amp;"!F"&amp;Q4))</f>
        <v>Operación</v>
      </c>
      <c r="V4" s="74"/>
      <c r="W4" s="74" t="s">
        <v>352</v>
      </c>
      <c r="X4" s="74" t="n">
        <v>1</v>
      </c>
      <c r="Y4" s="74" t="str">
        <f aca="false">IFERROR(__xludf.dummyfunction("IF(W4="""","""",QUERY(Hallazgos!C:I,""SELECT max(H) WHERE E CONTAINS 'Activo:""&amp;W4&amp;""' LABEL max(H) ''""))"),"#N/A")</f>
        <v>#N/A</v>
      </c>
      <c r="Z4" s="74" t="s">
        <v>116</v>
      </c>
      <c r="AA4" s="74" t="n">
        <v>1</v>
      </c>
      <c r="AB4" s="74" t="str">
        <f aca="false">IFERROR(__xludf.dummyfunction("IF(Z4="""","""",QUERY(Hallazgos!C:I,""SELECT max(H) WHERE E CONTAINS 'Alcance:""&amp;Z4&amp;""' LABEL max(H) ''""))"),"#N/A")</f>
        <v>#N/A</v>
      </c>
    </row>
    <row r="5" customFormat="false" ht="15.75" hidden="false" customHeight="true" outlineLevel="0" collapsed="false">
      <c r="A5" s="72" t="s">
        <v>116</v>
      </c>
      <c r="B5" s="57" t="n">
        <v>1</v>
      </c>
      <c r="C5" s="54"/>
      <c r="D5" s="72" t="n">
        <v>10</v>
      </c>
      <c r="E5" s="75" t="s">
        <v>116</v>
      </c>
      <c r="F5" s="53" t="n">
        <f aca="false">IF(D5&gt;6.9,D5,0)</f>
        <v>10</v>
      </c>
      <c r="G5" s="53" t="n">
        <f aca="false">IF(AND(D5&lt;7,D5&gt;3.9),D5,0)</f>
        <v>0</v>
      </c>
      <c r="H5" s="53" t="n">
        <f aca="false">IF(D5&lt;4,D5,0)</f>
        <v>0</v>
      </c>
      <c r="I5" s="54"/>
      <c r="J5" s="54"/>
      <c r="K5" s="54"/>
      <c r="L5" s="54"/>
      <c r="M5" s="54"/>
      <c r="N5" s="54"/>
      <c r="O5" s="54"/>
      <c r="P5" s="74" t="s">
        <v>937</v>
      </c>
      <c r="Q5" s="74" t="n">
        <f aca="true">IFERROR(MATCH(LEFT(P5,8),INDIRECT($L$1&amp;"!A:A"),1),2)</f>
        <v>42</v>
      </c>
      <c r="R5" s="74" t="str">
        <f aca="true">IF(Q5=2,"",INDIRECT($L$1&amp;"!C"&amp;Q5))</f>
        <v>Capa de Aplicación</v>
      </c>
      <c r="S5" s="74" t="str">
        <f aca="true">IF(Q5=2,"",INDIRECT($L$1&amp;"!D"&amp;Q5))</f>
        <v>Archivos</v>
      </c>
      <c r="T5" s="74" t="str">
        <f aca="true">IF(Q5=2,"",INDIRECT($L$1&amp;"!E"&amp;Q5))</f>
        <v>Integridad</v>
      </c>
      <c r="U5" s="74" t="str">
        <f aca="true">IF(Q5=2,"",INDIRECT($L$1&amp;"!F"&amp;Q5))</f>
        <v>Operación</v>
      </c>
      <c r="V5" s="74"/>
      <c r="W5" s="74" t="s">
        <v>791</v>
      </c>
      <c r="X5" s="74" t="n">
        <v>1</v>
      </c>
      <c r="Y5" s="74" t="str">
        <f aca="false">IFERROR(__xludf.dummyfunction("IF(W5="""","""",QUERY(Hallazgos!C:I,""SELECT max(H) WHERE E CONTAINS 'Activo:""&amp;W5&amp;""' LABEL max(H) ''""))"),"#N/A")</f>
        <v>#N/A</v>
      </c>
      <c r="Z5" s="74"/>
      <c r="AA5" s="74"/>
      <c r="AB5" s="74" t="str">
        <f aca="false">IFERROR(__xludf.dummyfunction("IF(Z5="""","""",QUERY(Hallazgos!C:I,""SELECT max(H) WHERE E CONTAINS 'Alcance:""&amp;Z5&amp;""' LABEL max(H) ''""))"),"")</f>
        <v/>
      </c>
    </row>
    <row r="6" customFormat="false" ht="15.75" hidden="false" customHeight="true" outlineLevel="0" collapsed="false">
      <c r="A6" s="72"/>
      <c r="B6" s="57"/>
      <c r="C6" s="54"/>
      <c r="D6" s="72"/>
      <c r="E6" s="75"/>
      <c r="F6" s="53" t="n">
        <f aca="false">IF(D6&gt;6.9,D6,0)</f>
        <v>0</v>
      </c>
      <c r="G6" s="53" t="n">
        <f aca="false">IF(AND(D6&lt;7,D6&gt;3.9),D6,0)</f>
        <v>0</v>
      </c>
      <c r="H6" s="53" t="n">
        <f aca="false">IF(D6&lt;4,D6,0)</f>
        <v>0</v>
      </c>
      <c r="I6" s="54"/>
      <c r="J6" s="54"/>
      <c r="K6" s="54"/>
      <c r="L6" s="54"/>
      <c r="M6" s="54"/>
      <c r="N6" s="54"/>
      <c r="O6" s="54"/>
      <c r="P6" s="74"/>
      <c r="Q6" s="74" t="n">
        <f aca="true">IFERROR(MATCH(LEFT(P6,8),INDIRECT($L$1&amp;"!A:A"),1),2)</f>
        <v>2</v>
      </c>
      <c r="R6" s="74" t="str">
        <f aca="true">IF(Q6=2,"",INDIRECT($L$1&amp;"!C"&amp;Q6))</f>
        <v/>
      </c>
      <c r="S6" s="74" t="str">
        <f aca="true">IF(Q6=2,"",INDIRECT($L$1&amp;"!D"&amp;Q6))</f>
        <v/>
      </c>
      <c r="T6" s="74" t="str">
        <f aca="true">IF(Q6=2,"",INDIRECT($L$1&amp;"!E"&amp;Q6))</f>
        <v/>
      </c>
      <c r="U6" s="74" t="str">
        <f aca="true">IF(Q6=2,"",INDIRECT($L$1&amp;"!F"&amp;Q6))</f>
        <v/>
      </c>
      <c r="V6" s="74"/>
      <c r="W6" s="74"/>
      <c r="X6" s="74"/>
      <c r="Y6" s="74" t="str">
        <f aca="false">IFERROR(__xludf.dummyfunction("IF(W6="""","""",QUERY(Hallazgos!C:I,""SELECT max(H) WHERE E CONTAINS 'Activo:""&amp;W6&amp;""' LABEL max(H) ''""))"),"")</f>
        <v/>
      </c>
      <c r="Z6" s="74"/>
      <c r="AA6" s="74"/>
      <c r="AB6" s="74" t="str">
        <f aca="false">IFERROR(__xludf.dummyfunction("IF(Z6="""","""",QUERY(Hallazgos!C:I,""SELECT max(H) WHERE E CONTAINS 'Alcance:""&amp;Z6&amp;""' LABEL max(H) ''""))"),"")</f>
        <v/>
      </c>
    </row>
    <row r="7" customFormat="false" ht="15.75" hidden="false" customHeight="true" outlineLevel="0" collapsed="false">
      <c r="A7" s="72"/>
      <c r="B7" s="57"/>
      <c r="C7" s="57"/>
      <c r="D7" s="72"/>
      <c r="E7" s="75"/>
      <c r="F7" s="53" t="n">
        <f aca="false">IF(D7&gt;6.9,D7,0)</f>
        <v>0</v>
      </c>
      <c r="G7" s="53" t="n">
        <f aca="false">IF(AND(D7&lt;7,D7&gt;3.9),D7,0)</f>
        <v>0</v>
      </c>
      <c r="H7" s="53" t="n">
        <f aca="false">IF(D7&lt;4,D7,0)</f>
        <v>0</v>
      </c>
      <c r="I7" s="54"/>
      <c r="J7" s="54"/>
      <c r="K7" s="54"/>
      <c r="L7" s="54"/>
      <c r="M7" s="54"/>
      <c r="N7" s="54"/>
      <c r="O7" s="54"/>
      <c r="P7" s="77"/>
      <c r="Q7" s="74" t="n">
        <f aca="true">IFERROR(MATCH(LEFT(P7,8),INDIRECT($L$1&amp;"!A:A"),1),2)</f>
        <v>2</v>
      </c>
      <c r="R7" s="74" t="str">
        <f aca="true">IF(Q7=2,"",INDIRECT($L$1&amp;"!C"&amp;Q7))</f>
        <v/>
      </c>
      <c r="S7" s="74" t="str">
        <f aca="true">IF(Q7=2,"",INDIRECT($L$1&amp;"!D"&amp;Q7))</f>
        <v/>
      </c>
      <c r="T7" s="74" t="str">
        <f aca="true">IF(Q7=2,"",INDIRECT($L$1&amp;"!E"&amp;Q7))</f>
        <v/>
      </c>
      <c r="U7" s="74" t="str">
        <f aca="true">IF(Q7=2,"",INDIRECT($L$1&amp;"!F"&amp;Q7))</f>
        <v/>
      </c>
      <c r="V7" s="74"/>
      <c r="W7" s="74"/>
      <c r="X7" s="74"/>
      <c r="Y7" s="74" t="str">
        <f aca="false">IFERROR(__xludf.dummyfunction("IF(W7="""","""",QUERY(Hallazgos!C:I,""SELECT max(H) WHERE E CONTAINS 'Activo:""&amp;W7&amp;""' LABEL max(H) ''""))"),"")</f>
        <v/>
      </c>
      <c r="Z7" s="74"/>
      <c r="AA7" s="74"/>
      <c r="AB7" s="74" t="str">
        <f aca="false">IFERROR(__xludf.dummyfunction("IF(Z7="""","""",QUERY(Hallazgos!C:I,""SELECT max(H) WHERE E CONTAINS 'Alcance:""&amp;Z7&amp;""' LABEL max(H) ''""))"),"")</f>
        <v/>
      </c>
    </row>
    <row r="8" customFormat="false" ht="15.75" hidden="false" customHeight="true" outlineLevel="0" collapsed="false">
      <c r="A8" s="78"/>
      <c r="B8" s="79"/>
      <c r="C8" s="57"/>
      <c r="D8" s="72"/>
      <c r="E8" s="75"/>
      <c r="F8" s="53" t="n">
        <f aca="false">IF(D8&gt;6.9,D8,0)</f>
        <v>0</v>
      </c>
      <c r="G8" s="53" t="n">
        <f aca="false">IF(AND(D8&lt;7,D8&gt;3.9),D8,0)</f>
        <v>0</v>
      </c>
      <c r="H8" s="53" t="n">
        <f aca="false">IF(D8&lt;4,D8,0)</f>
        <v>0</v>
      </c>
      <c r="I8" s="54"/>
      <c r="J8" s="54"/>
      <c r="K8" s="54"/>
      <c r="L8" s="54"/>
      <c r="M8" s="54"/>
      <c r="N8" s="54"/>
      <c r="O8" s="54"/>
      <c r="P8" s="77"/>
      <c r="Q8" s="74" t="n">
        <f aca="true">IFERROR(MATCH(LEFT(P8,8),INDIRECT($L$1&amp;"!A:A"),1),2)</f>
        <v>2</v>
      </c>
      <c r="R8" s="74" t="str">
        <f aca="true">IF(Q8=2,"",INDIRECT($L$1&amp;"!C"&amp;Q8))</f>
        <v/>
      </c>
      <c r="S8" s="74" t="str">
        <f aca="true">IF(Q8=2,"",INDIRECT($L$1&amp;"!D"&amp;Q8))</f>
        <v/>
      </c>
      <c r="T8" s="74" t="str">
        <f aca="true">IF(Q8=2,"",INDIRECT($L$1&amp;"!E"&amp;Q8))</f>
        <v/>
      </c>
      <c r="U8" s="74" t="str">
        <f aca="true">IF(Q8=2,"",INDIRECT($L$1&amp;"!F"&amp;Q8))</f>
        <v/>
      </c>
      <c r="V8" s="74"/>
      <c r="W8" s="74"/>
      <c r="X8" s="74"/>
      <c r="Y8" s="74" t="str">
        <f aca="false">IFERROR(__xludf.dummyfunction("IF(W8="""","""",QUERY(Hallazgos!C:I,""SELECT max(H) WHERE E CONTAINS 'Activo:""&amp;W8&amp;""' LABEL max(H) ''""))"),"")</f>
        <v/>
      </c>
      <c r="Z8" s="74"/>
      <c r="AA8" s="74"/>
      <c r="AB8" s="74" t="str">
        <f aca="false">IFERROR(__xludf.dummyfunction("IF(Z8="""","""",QUERY(Hallazgos!C:I,""SELECT max(H) WHERE E CONTAINS 'Alcance:""&amp;Z8&amp;""' LABEL max(H) ''""))"),"")</f>
        <v/>
      </c>
    </row>
    <row r="9" customFormat="false" ht="15.75" hidden="false" customHeight="true" outlineLevel="0" collapsed="false">
      <c r="A9" s="72"/>
      <c r="B9" s="57"/>
      <c r="C9" s="57"/>
      <c r="D9" s="72"/>
      <c r="E9" s="75"/>
      <c r="F9" s="53" t="n">
        <f aca="false">IF(D9&gt;6.9,D9,0)</f>
        <v>0</v>
      </c>
      <c r="G9" s="53" t="n">
        <f aca="false">IF(AND(D9&lt;7,D9&gt;3.9),D9,0)</f>
        <v>0</v>
      </c>
      <c r="H9" s="53" t="n">
        <f aca="false">IF(D9&lt;4,D9,0)</f>
        <v>0</v>
      </c>
      <c r="I9" s="54"/>
      <c r="J9" s="54"/>
      <c r="K9" s="54"/>
      <c r="L9" s="54"/>
      <c r="M9" s="54"/>
      <c r="N9" s="54"/>
      <c r="O9" s="54"/>
      <c r="P9" s="74"/>
      <c r="Q9" s="74" t="n">
        <f aca="true">IFERROR(MATCH(LEFT(P9,8),INDIRECT($L$1&amp;"!A:A"),1),2)</f>
        <v>2</v>
      </c>
      <c r="R9" s="74" t="str">
        <f aca="true">IF(Q9=2,"",INDIRECT($L$1&amp;"!C"&amp;Q9))</f>
        <v/>
      </c>
      <c r="S9" s="74" t="str">
        <f aca="true">IF(Q9=2,"",INDIRECT($L$1&amp;"!D"&amp;Q9))</f>
        <v/>
      </c>
      <c r="T9" s="74" t="str">
        <f aca="true">IF(Q9=2,"",INDIRECT($L$1&amp;"!E"&amp;Q9))</f>
        <v/>
      </c>
      <c r="U9" s="74" t="str">
        <f aca="true">IF(Q9=2,"",INDIRECT($L$1&amp;"!F"&amp;Q9))</f>
        <v/>
      </c>
      <c r="V9" s="74"/>
      <c r="W9" s="74"/>
      <c r="X9" s="74"/>
      <c r="Y9" s="74" t="str">
        <f aca="false">IFERROR(__xludf.dummyfunction("IF(W9="""","""",QUERY(Hallazgos!C:I,""SELECT max(H) WHERE E CONTAINS 'Activo:""&amp;W9&amp;""' LABEL max(H) ''""))"),"")</f>
        <v/>
      </c>
      <c r="Z9" s="74"/>
      <c r="AA9" s="74"/>
      <c r="AB9" s="74" t="str">
        <f aca="false">IFERROR(__xludf.dummyfunction("IF(Z9="""","""",QUERY(Hallazgos!C:I,""SELECT max(H) WHERE E CONTAINS 'Alcance:""&amp;Z9&amp;""' LABEL max(H) ''""))"),"")</f>
        <v/>
      </c>
    </row>
    <row r="10" customFormat="false" ht="15.75" hidden="false" customHeight="true" outlineLevel="0" collapsed="false">
      <c r="A10" s="72"/>
      <c r="B10" s="57"/>
      <c r="C10" s="54"/>
      <c r="D10" s="72"/>
      <c r="E10" s="75"/>
      <c r="F10" s="53" t="n">
        <f aca="false">IF(D10&gt;6.9,D10,0)</f>
        <v>0</v>
      </c>
      <c r="G10" s="53" t="n">
        <f aca="false">IF(AND(D10&lt;7,D10&gt;3.9),D10,0)</f>
        <v>0</v>
      </c>
      <c r="H10" s="53" t="n">
        <f aca="false">IF(D10&lt;4,D10,0)</f>
        <v>0</v>
      </c>
      <c r="I10" s="54"/>
      <c r="J10" s="54"/>
      <c r="K10" s="54"/>
      <c r="L10" s="54"/>
      <c r="M10" s="54"/>
      <c r="N10" s="54"/>
      <c r="O10" s="54"/>
      <c r="P10" s="74"/>
      <c r="Q10" s="74" t="n">
        <f aca="true">IFERROR(MATCH(LEFT(P10,8),INDIRECT($L$1&amp;"!A:A"),1),2)</f>
        <v>2</v>
      </c>
      <c r="R10" s="74" t="str">
        <f aca="true">IF(Q10=2,"",INDIRECT($L$1&amp;"!C"&amp;Q10))</f>
        <v/>
      </c>
      <c r="S10" s="74" t="str">
        <f aca="true">IF(Q10=2,"",INDIRECT($L$1&amp;"!D"&amp;Q10))</f>
        <v/>
      </c>
      <c r="T10" s="74" t="str">
        <f aca="true">IF(Q10=2,"",INDIRECT($L$1&amp;"!E"&amp;Q10))</f>
        <v/>
      </c>
      <c r="U10" s="74" t="str">
        <f aca="true">IF(Q10=2,"",INDIRECT($L$1&amp;"!F"&amp;Q10))</f>
        <v/>
      </c>
      <c r="V10" s="74"/>
      <c r="W10" s="74"/>
      <c r="X10" s="74"/>
      <c r="Y10" s="74" t="str">
        <f aca="false">IFERROR(__xludf.dummyfunction("IF(W10="""","""",QUERY(Hallazgos!C:I,""SELECT max(H) WHERE E CONTAINS 'Activo:""&amp;W10&amp;""' LABEL max(H) ''""))"),"")</f>
        <v/>
      </c>
      <c r="Z10" s="74"/>
      <c r="AA10" s="74"/>
      <c r="AB10" s="74" t="str">
        <f aca="false">IFERROR(__xludf.dummyfunction("IF(Z10="""","""",QUERY(Hallazgos!C:I,""SELECT max(H) WHERE E CONTAINS 'Alcance:""&amp;Z10&amp;""' LABEL max(H) ''""))"),"")</f>
        <v/>
      </c>
    </row>
    <row r="11" customFormat="false" ht="15.75" hidden="false" customHeight="true" outlineLevel="0" collapsed="false">
      <c r="A11" s="72"/>
      <c r="B11" s="57"/>
      <c r="C11" s="54"/>
      <c r="D11" s="72"/>
      <c r="E11" s="75"/>
      <c r="F11" s="53" t="n">
        <f aca="false">IF(D11&gt;6.9,D11,0)</f>
        <v>0</v>
      </c>
      <c r="G11" s="53" t="n">
        <f aca="false">IF(AND(D11&lt;7,D11&gt;3.9),D11,0)</f>
        <v>0</v>
      </c>
      <c r="H11" s="53" t="n">
        <f aca="false">IF(D11&lt;4,D11,0)</f>
        <v>0</v>
      </c>
      <c r="I11" s="54"/>
      <c r="J11" s="54"/>
      <c r="K11" s="54"/>
      <c r="L11" s="54"/>
      <c r="M11" s="54"/>
      <c r="N11" s="54"/>
      <c r="O11" s="54"/>
      <c r="P11" s="74"/>
      <c r="Q11" s="74" t="n">
        <f aca="true">IFERROR(MATCH(LEFT(P11,8),INDIRECT($L$1&amp;"!A:A"),1),2)</f>
        <v>2</v>
      </c>
      <c r="R11" s="74" t="str">
        <f aca="true">IF(Q11=2,"",INDIRECT($L$1&amp;"!C"&amp;Q11))</f>
        <v/>
      </c>
      <c r="S11" s="74" t="str">
        <f aca="true">IF(Q11=2,"",INDIRECT($L$1&amp;"!D"&amp;Q11))</f>
        <v/>
      </c>
      <c r="T11" s="74" t="str">
        <f aca="true">IF(Q11=2,"",INDIRECT($L$1&amp;"!E"&amp;Q11))</f>
        <v/>
      </c>
      <c r="U11" s="74" t="str">
        <f aca="true">IF(Q11=2,"",INDIRECT($L$1&amp;"!F"&amp;Q11))</f>
        <v/>
      </c>
      <c r="V11" s="74"/>
      <c r="W11" s="74"/>
      <c r="X11" s="74"/>
      <c r="Y11" s="74" t="str">
        <f aca="false">IFERROR(__xludf.dummyfunction("IF(W11="""","""",QUERY(Hallazgos!C:I,""SELECT max(H) WHERE E CONTAINS 'Activo:""&amp;W11&amp;""' LABEL max(H) ''""))"),"")</f>
        <v/>
      </c>
      <c r="Z11" s="74"/>
      <c r="AA11" s="74"/>
      <c r="AB11" s="74" t="str">
        <f aca="false">IFERROR(__xludf.dummyfunction("IF(Z11="""","""",QUERY(Hallazgos!C:I,""SELECT max(H) WHERE E CONTAINS 'Alcance:""&amp;Z11&amp;""' LABEL max(H) ''""))"),"")</f>
        <v/>
      </c>
    </row>
    <row r="12" customFormat="false" ht="15.75" hidden="false" customHeight="true" outlineLevel="0" collapsed="false">
      <c r="A12" s="72"/>
      <c r="B12" s="57"/>
      <c r="C12" s="54"/>
      <c r="D12" s="72"/>
      <c r="E12" s="75"/>
      <c r="F12" s="53" t="n">
        <f aca="false">IF(D12&gt;6.9,D12,0)</f>
        <v>0</v>
      </c>
      <c r="G12" s="53" t="n">
        <f aca="false">IF(AND(D12&lt;7,D12&gt;3.9),D12,0)</f>
        <v>0</v>
      </c>
      <c r="H12" s="53" t="n">
        <f aca="false">IF(D12&lt;4,D12,0)</f>
        <v>0</v>
      </c>
      <c r="I12" s="54"/>
      <c r="J12" s="54"/>
      <c r="K12" s="54"/>
      <c r="L12" s="54"/>
      <c r="M12" s="54"/>
      <c r="N12" s="54"/>
      <c r="O12" s="54"/>
      <c r="P12" s="74"/>
      <c r="Q12" s="74" t="n">
        <f aca="true">IFERROR(MATCH(LEFT(P12,8),INDIRECT($L$1&amp;"!A:A"),1),2)</f>
        <v>2</v>
      </c>
      <c r="R12" s="74" t="str">
        <f aca="true">IF(Q12=2,"",INDIRECT($L$1&amp;"!C"&amp;Q12))</f>
        <v/>
      </c>
      <c r="S12" s="74" t="str">
        <f aca="true">IF(Q12=2,"",INDIRECT($L$1&amp;"!D"&amp;Q12))</f>
        <v/>
      </c>
      <c r="T12" s="74" t="str">
        <f aca="true">IF(Q12=2,"",INDIRECT($L$1&amp;"!E"&amp;Q12))</f>
        <v/>
      </c>
      <c r="U12" s="74" t="str">
        <f aca="true">IF(Q12=2,"",INDIRECT($L$1&amp;"!F"&amp;Q12))</f>
        <v/>
      </c>
      <c r="V12" s="74"/>
      <c r="W12" s="74"/>
      <c r="X12" s="74"/>
      <c r="Y12" s="74" t="str">
        <f aca="false">IFERROR(__xludf.dummyfunction("IF(W12="""","""",QUERY(Hallazgos!C:I,""SELECT max(H) WHERE E CONTAINS 'Activo:""&amp;W12&amp;""' LABEL max(H) ''""))"),"")</f>
        <v/>
      </c>
      <c r="Z12" s="74"/>
      <c r="AA12" s="74"/>
      <c r="AB12" s="74" t="str">
        <f aca="false">IFERROR(__xludf.dummyfunction("IF(Z12="""","""",QUERY(Hallazgos!C:I,""SELECT max(H) WHERE E CONTAINS 'Alcance:""&amp;Z12&amp;""' LABEL max(H) ''""))"),"")</f>
        <v/>
      </c>
    </row>
    <row r="13" customFormat="false" ht="15.75" hidden="false" customHeight="true" outlineLevel="0" collapsed="false">
      <c r="A13" s="78"/>
      <c r="B13" s="79"/>
      <c r="C13" s="54"/>
      <c r="D13" s="72"/>
      <c r="E13" s="75"/>
      <c r="F13" s="53" t="n">
        <f aca="false">IF(D13&gt;6.9,D13,0)</f>
        <v>0</v>
      </c>
      <c r="G13" s="53" t="n">
        <f aca="false">IF(AND(D13&lt;7,D13&gt;3.9),D13,0)</f>
        <v>0</v>
      </c>
      <c r="H13" s="53" t="n">
        <f aca="false">IF(D13&lt;4,D13,0)</f>
        <v>0</v>
      </c>
      <c r="I13" s="54"/>
      <c r="J13" s="54"/>
      <c r="K13" s="54"/>
      <c r="L13" s="54" t="str">
        <f aca="false">IFERROR(__xludf.dummyfunction("IF(I13="""","""",QUERY(Hallazgos!D:I,""SELECT max(J) WHERE G CONTAINS '""&amp;I13&amp;""' LABEL max(J) ''""))"),"")</f>
        <v/>
      </c>
      <c r="M13" s="54"/>
      <c r="N13" s="54"/>
      <c r="O13" s="54"/>
      <c r="P13" s="74"/>
      <c r="Q13" s="74" t="n">
        <f aca="true">IFERROR(MATCH(LEFT(P13,8),INDIRECT($L$1&amp;"!A:A"),1),2)</f>
        <v>2</v>
      </c>
      <c r="R13" s="74" t="str">
        <f aca="true">IF(Q13=2,"",INDIRECT($L$1&amp;"!C"&amp;Q13))</f>
        <v/>
      </c>
      <c r="S13" s="74" t="str">
        <f aca="true">IF(Q13=2,"",INDIRECT($L$1&amp;"!D"&amp;Q13))</f>
        <v/>
      </c>
      <c r="T13" s="74" t="str">
        <f aca="true">IF(Q13=2,"",INDIRECT($L$1&amp;"!E"&amp;Q13))</f>
        <v/>
      </c>
      <c r="U13" s="74" t="str">
        <f aca="true">IF(Q13=2,"",INDIRECT($L$1&amp;"!F"&amp;Q13))</f>
        <v/>
      </c>
      <c r="V13" s="74"/>
      <c r="W13" s="74"/>
      <c r="X13" s="74"/>
      <c r="Y13" s="74" t="str">
        <f aca="false">IFERROR(__xludf.dummyfunction("IF(W13="""","""",QUERY(Hallazgos!C:I,""SELECT max(H) WHERE E CONTAINS 'Activo:""&amp;W13&amp;""' LABEL max(H) ''""))"),"")</f>
        <v/>
      </c>
      <c r="Z13" s="74"/>
      <c r="AA13" s="74"/>
      <c r="AB13" s="74" t="str">
        <f aca="false">IFERROR(__xludf.dummyfunction("IF(Z13="""","""",QUERY(Hallazgos!C:I,""SELECT max(H) WHERE E CONTAINS 'Alcance:""&amp;Z13&amp;""' LABEL max(H) ''""))"),"")</f>
        <v/>
      </c>
    </row>
    <row r="14" customFormat="false" ht="15.75" hidden="false" customHeight="true" outlineLevel="0" collapsed="false">
      <c r="A14" s="72"/>
      <c r="B14" s="57"/>
      <c r="C14" s="54"/>
      <c r="D14" s="72"/>
      <c r="E14" s="75"/>
      <c r="F14" s="53" t="n">
        <f aca="false">IF(D14&gt;6.9,D14,0)</f>
        <v>0</v>
      </c>
      <c r="G14" s="53" t="n">
        <f aca="false">IF(AND(D14&lt;7,D14&gt;3.9),D14,0)</f>
        <v>0</v>
      </c>
      <c r="H14" s="53" t="n">
        <f aca="false">IF(D14&lt;4,D14,0)</f>
        <v>0</v>
      </c>
      <c r="I14" s="54"/>
      <c r="J14" s="54"/>
      <c r="K14" s="54"/>
      <c r="L14" s="54" t="str">
        <f aca="false">IFERROR(__xludf.dummyfunction("IF(I14="""","""",QUERY(Hallazgos!D:I,""SELECT max(J) WHERE G CONTAINS '""&amp;I14&amp;""' LABEL max(J) ''""))"),"")</f>
        <v/>
      </c>
      <c r="M14" s="54"/>
      <c r="N14" s="54"/>
      <c r="O14" s="54"/>
      <c r="P14" s="74"/>
      <c r="Q14" s="74" t="n">
        <f aca="true">IFERROR(MATCH(LEFT(P14,8),INDIRECT($L$1&amp;"!A:A"),1),2)</f>
        <v>2</v>
      </c>
      <c r="R14" s="74" t="str">
        <f aca="true">IF(Q14=2,"",INDIRECT($L$1&amp;"!C"&amp;Q14))</f>
        <v/>
      </c>
      <c r="S14" s="74" t="str">
        <f aca="true">IF(Q14=2,"",INDIRECT($L$1&amp;"!D"&amp;Q14))</f>
        <v/>
      </c>
      <c r="T14" s="74" t="str">
        <f aca="true">IF(Q14=2,"",INDIRECT($L$1&amp;"!E"&amp;Q14))</f>
        <v/>
      </c>
      <c r="U14" s="74" t="str">
        <f aca="true">IF(Q14=2,"",INDIRECT($L$1&amp;"!F"&amp;Q14))</f>
        <v/>
      </c>
      <c r="V14" s="74"/>
      <c r="W14" s="74"/>
      <c r="X14" s="74"/>
      <c r="Y14" s="74" t="str">
        <f aca="false">IFERROR(__xludf.dummyfunction("IF(W14="""","""",QUERY(Hallazgos!C:I,""SELECT max(H) WHERE E CONTAINS 'Activo:""&amp;W14&amp;""' LABEL max(H) ''""))"),"")</f>
        <v/>
      </c>
      <c r="Z14" s="74"/>
      <c r="AA14" s="74"/>
      <c r="AB14" s="74" t="str">
        <f aca="false">IFERROR(__xludf.dummyfunction("IF(Z14="""","""",QUERY(Hallazgos!C:I,""SELECT max(H) WHERE E CONTAINS 'Alcance:""&amp;Z14&amp;""' LABEL max(H) ''""))"),"")</f>
        <v/>
      </c>
    </row>
    <row r="15" customFormat="false" ht="15.75" hidden="false" customHeight="true" outlineLevel="0" collapsed="false">
      <c r="A15" s="72"/>
      <c r="B15" s="57"/>
      <c r="C15" s="54"/>
      <c r="D15" s="72"/>
      <c r="E15" s="75"/>
      <c r="F15" s="53" t="n">
        <f aca="false">IF(D15&gt;6.9,D15,0)</f>
        <v>0</v>
      </c>
      <c r="G15" s="53" t="n">
        <f aca="false">IF(AND(D15&lt;7,D15&gt;3.9),D15,0)</f>
        <v>0</v>
      </c>
      <c r="H15" s="53" t="n">
        <f aca="false">IF(D15&lt;4,D15,0)</f>
        <v>0</v>
      </c>
      <c r="I15" s="54"/>
      <c r="J15" s="54"/>
      <c r="K15" s="54"/>
      <c r="L15" s="54" t="str">
        <f aca="false">IFERROR(__xludf.dummyfunction("IF(I15="""","""",QUERY(Hallazgos!D:I,""SELECT max(J) WHERE G CONTAINS '""&amp;I15&amp;""' LABEL max(J) ''""))"),"")</f>
        <v/>
      </c>
      <c r="M15" s="54"/>
      <c r="N15" s="54"/>
      <c r="O15" s="54"/>
      <c r="P15" s="74"/>
      <c r="Q15" s="74" t="n">
        <f aca="true">IFERROR(MATCH(LEFT(P15,8),INDIRECT($L$1&amp;"!A:A"),1),2)</f>
        <v>2</v>
      </c>
      <c r="R15" s="74" t="str">
        <f aca="true">IF(Q15=2,"",INDIRECT($L$1&amp;"!C"&amp;Q15))</f>
        <v/>
      </c>
      <c r="S15" s="74" t="str">
        <f aca="true">IF(Q15=2,"",INDIRECT($L$1&amp;"!D"&amp;Q15))</f>
        <v/>
      </c>
      <c r="T15" s="74" t="str">
        <f aca="true">IF(Q15=2,"",INDIRECT($L$1&amp;"!E"&amp;Q15))</f>
        <v/>
      </c>
      <c r="U15" s="74" t="str">
        <f aca="true">IF(Q15=2,"",INDIRECT($L$1&amp;"!F"&amp;Q15))</f>
        <v/>
      </c>
      <c r="V15" s="74"/>
      <c r="W15" s="74"/>
      <c r="X15" s="74"/>
      <c r="Y15" s="74" t="str">
        <f aca="false">IFERROR(__xludf.dummyfunction("IF(W15="""","""",QUERY(Hallazgos!C:I,""SELECT max(H) WHERE E CONTAINS 'Activo:""&amp;W15&amp;""' LABEL max(H) ''""))"),"")</f>
        <v/>
      </c>
      <c r="Z15" s="74"/>
      <c r="AA15" s="74"/>
      <c r="AB15" s="74" t="str">
        <f aca="false">IFERROR(__xludf.dummyfunction("IF(Z15="""","""",QUERY(Hallazgos!C:I,""SELECT max(H) WHERE E CONTAINS 'Alcance:""&amp;Z15&amp;""' LABEL max(H) ''""))"),"")</f>
        <v/>
      </c>
    </row>
    <row r="16" customFormat="false" ht="15.75" hidden="false" customHeight="true" outlineLevel="0" collapsed="false">
      <c r="A16" s="72"/>
      <c r="B16" s="57"/>
      <c r="C16" s="54"/>
      <c r="D16" s="72"/>
      <c r="E16" s="75"/>
      <c r="F16" s="53" t="n">
        <f aca="false">IF(D16&gt;6.9,D16,0)</f>
        <v>0</v>
      </c>
      <c r="G16" s="53" t="n">
        <f aca="false">IF(AND(D16&lt;7,D16&gt;3.9),D16,0)</f>
        <v>0</v>
      </c>
      <c r="H16" s="53" t="n">
        <f aca="false">IF(D16&lt;4,D16,0)</f>
        <v>0</v>
      </c>
      <c r="I16" s="54"/>
      <c r="J16" s="54"/>
      <c r="K16" s="54"/>
      <c r="L16" s="54" t="str">
        <f aca="false">IFERROR(__xludf.dummyfunction("IF(I16="""","""",QUERY(Hallazgos!D:I,""SELECT max(J) WHERE G CONTAINS '""&amp;I16&amp;""' LABEL max(J) ''""))"),"")</f>
        <v/>
      </c>
      <c r="M16" s="54"/>
      <c r="N16" s="54"/>
      <c r="O16" s="54"/>
      <c r="P16" s="74"/>
      <c r="Q16" s="74" t="n">
        <f aca="true">IFERROR(MATCH(LEFT(P16,8),INDIRECT($L$1&amp;"!A:A"),1),2)</f>
        <v>2</v>
      </c>
      <c r="R16" s="74" t="str">
        <f aca="true">IF(Q16=2,"",INDIRECT($L$1&amp;"!C"&amp;Q16))</f>
        <v/>
      </c>
      <c r="S16" s="74" t="str">
        <f aca="true">IF(Q16=2,"",INDIRECT($L$1&amp;"!D"&amp;Q16))</f>
        <v/>
      </c>
      <c r="T16" s="74" t="str">
        <f aca="true">IF(Q16=2,"",INDIRECT($L$1&amp;"!E"&amp;Q16))</f>
        <v/>
      </c>
      <c r="U16" s="74" t="str">
        <f aca="true">IF(Q16=2,"",INDIRECT($L$1&amp;"!F"&amp;Q16))</f>
        <v/>
      </c>
      <c r="V16" s="74"/>
      <c r="W16" s="74"/>
      <c r="X16" s="74"/>
      <c r="Y16" s="74" t="str">
        <f aca="false">IFERROR(__xludf.dummyfunction("IF(W16="""","""",QUERY(Hallazgos!C:I,""SELECT max(H) WHERE E CONTAINS 'Activo:""&amp;W16&amp;""' LABEL max(H) ''""))"),"")</f>
        <v/>
      </c>
      <c r="Z16" s="74"/>
      <c r="AA16" s="74"/>
      <c r="AB16" s="74" t="str">
        <f aca="false">IFERROR(__xludf.dummyfunction("IF(Z16="""","""",QUERY(Hallazgos!C:I,""SELECT max(H) WHERE E CONTAINS 'Alcance:""&amp;Z16&amp;""' LABEL max(H) ''""))"),"")</f>
        <v/>
      </c>
    </row>
    <row r="17" customFormat="false" ht="15.75" hidden="false" customHeight="true" outlineLevel="0" collapsed="false">
      <c r="A17" s="72"/>
      <c r="B17" s="57"/>
      <c r="C17" s="54"/>
      <c r="D17" s="72"/>
      <c r="E17" s="75"/>
      <c r="F17" s="53" t="n">
        <f aca="false">IF(D17&gt;6.9,D17,0)</f>
        <v>0</v>
      </c>
      <c r="G17" s="53" t="n">
        <f aca="false">IF(AND(D17&lt;7,D17&gt;3.9),D17,0)</f>
        <v>0</v>
      </c>
      <c r="H17" s="53" t="n">
        <f aca="false">IF(D17&lt;4,D17,0)</f>
        <v>0</v>
      </c>
      <c r="I17" s="54"/>
      <c r="J17" s="54"/>
      <c r="K17" s="54"/>
      <c r="L17" s="54" t="str">
        <f aca="false">IFERROR(__xludf.dummyfunction("IF(I17="""","""",QUERY(Hallazgos!D:I,""SELECT max(J) WHERE G CONTAINS '""&amp;I17&amp;""' LABEL max(J) ''""))"),"")</f>
        <v/>
      </c>
      <c r="M17" s="54"/>
      <c r="N17" s="54"/>
      <c r="O17" s="54"/>
      <c r="P17" s="74"/>
      <c r="Q17" s="74" t="n">
        <f aca="true">IFERROR(MATCH(LEFT(P17,8),INDIRECT($L$1&amp;"!A:A"),1),2)</f>
        <v>2</v>
      </c>
      <c r="R17" s="74" t="str">
        <f aca="true">IF(Q17=2,"",INDIRECT($L$1&amp;"!C"&amp;Q17))</f>
        <v/>
      </c>
      <c r="S17" s="74" t="str">
        <f aca="true">IF(Q17=2,"",INDIRECT($L$1&amp;"!D"&amp;Q17))</f>
        <v/>
      </c>
      <c r="T17" s="74" t="str">
        <f aca="true">IF(Q17=2,"",INDIRECT($L$1&amp;"!E"&amp;Q17))</f>
        <v/>
      </c>
      <c r="U17" s="74" t="str">
        <f aca="true">IF(Q17=2,"",INDIRECT($L$1&amp;"!F"&amp;Q17))</f>
        <v/>
      </c>
      <c r="V17" s="74"/>
      <c r="W17" s="74"/>
      <c r="X17" s="74"/>
      <c r="Y17" s="74" t="str">
        <f aca="false">IFERROR(__xludf.dummyfunction("IF(W17="""","""",QUERY(Hallazgos!C:I,""SELECT max(H) WHERE E CONTAINS 'Activo:""&amp;W17&amp;""' LABEL max(H) ''""))"),"")</f>
        <v/>
      </c>
      <c r="Z17" s="74"/>
      <c r="AA17" s="74"/>
      <c r="AB17" s="74" t="str">
        <f aca="false">IFERROR(__xludf.dummyfunction("IF(Z17="""","""",QUERY(Hallazgos!C:I,""SELECT max(H) WHERE E CONTAINS 'Alcance:""&amp;Z17&amp;""' LABEL max(H) ''""))"),"")</f>
        <v/>
      </c>
    </row>
    <row r="18" customFormat="false" ht="15.75" hidden="false" customHeight="true" outlineLevel="0" collapsed="false">
      <c r="A18" s="72"/>
      <c r="B18" s="57"/>
      <c r="C18" s="54"/>
      <c r="D18" s="72"/>
      <c r="E18" s="75"/>
      <c r="F18" s="53" t="n">
        <f aca="false">IF(D18&gt;6.9,D18,0)</f>
        <v>0</v>
      </c>
      <c r="G18" s="53" t="n">
        <f aca="false">IF(AND(D18&lt;7,D18&gt;3.9),D18,0)</f>
        <v>0</v>
      </c>
      <c r="H18" s="53" t="n">
        <f aca="false">IF(D18&lt;4,D18,0)</f>
        <v>0</v>
      </c>
      <c r="I18" s="54"/>
      <c r="J18" s="54"/>
      <c r="K18" s="54"/>
      <c r="L18" s="54" t="str">
        <f aca="false">IFERROR(__xludf.dummyfunction("IF(I18="""","""",QUERY(Hallazgos!D:I,""SELECT max(J) WHERE G CONTAINS '""&amp;I18&amp;""' LABEL max(J) ''""))"),"")</f>
        <v/>
      </c>
      <c r="M18" s="54"/>
      <c r="N18" s="54"/>
      <c r="O18" s="54"/>
      <c r="P18" s="74"/>
      <c r="Q18" s="74" t="n">
        <f aca="true">IFERROR(MATCH(LEFT(P18,8),INDIRECT($L$1&amp;"!A:A"),1),2)</f>
        <v>2</v>
      </c>
      <c r="R18" s="74" t="str">
        <f aca="true">IF(Q18=2,"",INDIRECT($L$1&amp;"!C"&amp;Q18))</f>
        <v/>
      </c>
      <c r="S18" s="74" t="str">
        <f aca="true">IF(Q18=2,"",INDIRECT($L$1&amp;"!D"&amp;Q18))</f>
        <v/>
      </c>
      <c r="T18" s="74" t="str">
        <f aca="true">IF(Q18=2,"",INDIRECT($L$1&amp;"!E"&amp;Q18))</f>
        <v/>
      </c>
      <c r="U18" s="74" t="str">
        <f aca="true">IF(Q18=2,"",INDIRECT($L$1&amp;"!F"&amp;Q18))</f>
        <v/>
      </c>
      <c r="V18" s="74"/>
      <c r="W18" s="74"/>
      <c r="X18" s="74"/>
      <c r="Y18" s="74" t="str">
        <f aca="false">IFERROR(__xludf.dummyfunction("IF(W18="""","""",QUERY(Hallazgos!C:I,""SELECT max(H) WHERE E CONTAINS 'Activo:""&amp;W18&amp;""' LABEL max(H) ''""))"),"")</f>
        <v/>
      </c>
      <c r="Z18" s="74"/>
      <c r="AA18" s="74"/>
      <c r="AB18" s="74" t="str">
        <f aca="false">IFERROR(__xludf.dummyfunction("IF(Z18="""","""",QUERY(Hallazgos!C:I,""SELECT max(H) WHERE E CONTAINS 'Alcance:""&amp;Z18&amp;""' LABEL max(H) ''""))"),"")</f>
        <v/>
      </c>
    </row>
    <row r="19" customFormat="false" ht="15.75" hidden="false" customHeight="true" outlineLevel="0" collapsed="false">
      <c r="A19" s="72"/>
      <c r="B19" s="57"/>
      <c r="C19" s="54"/>
      <c r="D19" s="72"/>
      <c r="E19" s="75"/>
      <c r="F19" s="53" t="n">
        <f aca="false">IF(D19&gt;6.9,D19,0)</f>
        <v>0</v>
      </c>
      <c r="G19" s="53" t="n">
        <f aca="false">IF(AND(D19&lt;7,D19&gt;3.9),D19,0)</f>
        <v>0</v>
      </c>
      <c r="H19" s="53" t="n">
        <f aca="false">IF(D19&lt;4,D19,0)</f>
        <v>0</v>
      </c>
      <c r="I19" s="54"/>
      <c r="J19" s="54"/>
      <c r="K19" s="54"/>
      <c r="L19" s="54" t="str">
        <f aca="false">IFERROR(__xludf.dummyfunction("IF(I19="""","""",QUERY(Hallazgos!D:I,""SELECT max(J) WHERE G CONTAINS '""&amp;I19&amp;""' LABEL max(J) ''""))"),"")</f>
        <v/>
      </c>
      <c r="M19" s="54"/>
      <c r="N19" s="54"/>
      <c r="O19" s="54"/>
      <c r="P19" s="74"/>
      <c r="Q19" s="74" t="n">
        <f aca="true">IFERROR(MATCH(LEFT(P19,8),INDIRECT($L$1&amp;"!A:A"),1),2)</f>
        <v>2</v>
      </c>
      <c r="R19" s="74" t="str">
        <f aca="true">IF(Q19=2,"",INDIRECT($L$1&amp;"!C"&amp;Q19))</f>
        <v/>
      </c>
      <c r="S19" s="74" t="str">
        <f aca="true">IF(Q19=2,"",INDIRECT($L$1&amp;"!D"&amp;Q19))</f>
        <v/>
      </c>
      <c r="T19" s="74" t="str">
        <f aca="true">IF(Q19=2,"",INDIRECT($L$1&amp;"!E"&amp;Q19))</f>
        <v/>
      </c>
      <c r="U19" s="74" t="str">
        <f aca="true">IF(Q19=2,"",INDIRECT($L$1&amp;"!F"&amp;Q19))</f>
        <v/>
      </c>
      <c r="V19" s="74"/>
      <c r="W19" s="74"/>
      <c r="X19" s="74"/>
      <c r="Y19" s="74" t="str">
        <f aca="false">IFERROR(__xludf.dummyfunction("IF(W19="""","""",QUERY(Hallazgos!C:I,""SELECT max(H) WHERE E CONTAINS 'Activo:""&amp;W19&amp;""' LABEL max(H) ''""))"),"")</f>
        <v/>
      </c>
      <c r="Z19" s="74"/>
      <c r="AA19" s="74"/>
      <c r="AB19" s="74" t="str">
        <f aca="false">IFERROR(__xludf.dummyfunction("IF(Z19="""","""",QUERY(Hallazgos!C:I,""SELECT max(H) WHERE E CONTAINS 'Alcance:""&amp;Z19&amp;""' LABEL max(H) ''""))"),"")</f>
        <v/>
      </c>
    </row>
    <row r="20" customFormat="false" ht="15.75" hidden="false" customHeight="true" outlineLevel="0" collapsed="false">
      <c r="A20" s="72"/>
      <c r="B20" s="57"/>
      <c r="C20" s="54"/>
      <c r="D20" s="72"/>
      <c r="E20" s="75"/>
      <c r="F20" s="53" t="n">
        <f aca="false">IF(D20&gt;6.9,D20,0)</f>
        <v>0</v>
      </c>
      <c r="G20" s="53" t="n">
        <f aca="false">IF(AND(D20&lt;7,D20&gt;3.9),D20,0)</f>
        <v>0</v>
      </c>
      <c r="H20" s="53" t="n">
        <f aca="false">IF(D20&lt;4,D20,0)</f>
        <v>0</v>
      </c>
      <c r="I20" s="54"/>
      <c r="J20" s="54"/>
      <c r="K20" s="54"/>
      <c r="L20" s="54" t="str">
        <f aca="false">IFERROR(__xludf.dummyfunction("IF(I20="""","""",QUERY(Hallazgos!D:I,""SELECT max(J) WHERE G CONTAINS '""&amp;I20&amp;""' LABEL max(J) ''""))"),"")</f>
        <v/>
      </c>
      <c r="M20" s="54"/>
      <c r="N20" s="54"/>
      <c r="O20" s="54"/>
      <c r="P20" s="74"/>
      <c r="Q20" s="74" t="n">
        <f aca="true">IFERROR(MATCH(LEFT(P20,8),INDIRECT($L$1&amp;"!A:A"),1),2)</f>
        <v>2</v>
      </c>
      <c r="R20" s="74" t="str">
        <f aca="true">IF(Q20=2,"",INDIRECT($L$1&amp;"!C"&amp;Q20))</f>
        <v/>
      </c>
      <c r="S20" s="74" t="str">
        <f aca="true">IF(Q20=2,"",INDIRECT($L$1&amp;"!D"&amp;Q20))</f>
        <v/>
      </c>
      <c r="T20" s="74" t="str">
        <f aca="true">IF(Q20=2,"",INDIRECT($L$1&amp;"!E"&amp;Q20))</f>
        <v/>
      </c>
      <c r="U20" s="74" t="str">
        <f aca="true">IF(Q20=2,"",INDIRECT($L$1&amp;"!F"&amp;Q20))</f>
        <v/>
      </c>
      <c r="V20" s="74"/>
      <c r="W20" s="74"/>
      <c r="X20" s="74"/>
      <c r="Y20" s="74" t="str">
        <f aca="false">IFERROR(__xludf.dummyfunction("IF(W20="""","""",QUERY(Hallazgos!C:I,""SELECT max(H) WHERE E CONTAINS 'Activo:""&amp;W20&amp;""' LABEL max(H) ''""))"),"")</f>
        <v/>
      </c>
      <c r="Z20" s="74"/>
      <c r="AA20" s="74"/>
      <c r="AB20" s="74" t="str">
        <f aca="false">IFERROR(__xludf.dummyfunction("IF(Z20="""","""",QUERY(Hallazgos!C:I,""SELECT max(H) WHERE E CONTAINS 'Alcance:""&amp;Z20&amp;""' LABEL max(H) ''""))"),"")</f>
        <v/>
      </c>
    </row>
    <row r="21" customFormat="false" ht="15.75" hidden="false" customHeight="true" outlineLevel="0" collapsed="false">
      <c r="A21" s="72"/>
      <c r="B21" s="57"/>
      <c r="C21" s="54"/>
      <c r="D21" s="72"/>
      <c r="E21" s="75"/>
      <c r="F21" s="53" t="n">
        <f aca="false">IF(D21&gt;6.9,D21,0)</f>
        <v>0</v>
      </c>
      <c r="G21" s="53" t="n">
        <f aca="false">IF(AND(D21&lt;7,D21&gt;3.9),D21,0)</f>
        <v>0</v>
      </c>
      <c r="H21" s="53" t="n">
        <f aca="false">IF(D21&lt;4,D21,0)</f>
        <v>0</v>
      </c>
      <c r="I21" s="54"/>
      <c r="J21" s="54"/>
      <c r="K21" s="54"/>
      <c r="L21" s="54" t="str">
        <f aca="false">IFERROR(__xludf.dummyfunction("IF(I21="""","""",QUERY(Hallazgos!D:I,""SELECT max(J) WHERE G CONTAINS '""&amp;I21&amp;""' LABEL max(J) ''""))"),"")</f>
        <v/>
      </c>
      <c r="M21" s="54"/>
      <c r="N21" s="54"/>
      <c r="O21" s="54"/>
      <c r="P21" s="74"/>
      <c r="Q21" s="74" t="n">
        <f aca="true">IFERROR(MATCH(LEFT(P21,8),INDIRECT($L$1&amp;"!A:A"),1),2)</f>
        <v>2</v>
      </c>
      <c r="R21" s="74" t="str">
        <f aca="true">IF(Q21=2,"",INDIRECT($L$1&amp;"!C"&amp;Q21))</f>
        <v/>
      </c>
      <c r="S21" s="74" t="str">
        <f aca="true">IF(Q21=2,"",INDIRECT($L$1&amp;"!D"&amp;Q21))</f>
        <v/>
      </c>
      <c r="T21" s="74" t="str">
        <f aca="true">IF(Q21=2,"",INDIRECT($L$1&amp;"!E"&amp;Q21))</f>
        <v/>
      </c>
      <c r="U21" s="74" t="str">
        <f aca="true">IF(Q21=2,"",INDIRECT($L$1&amp;"!F"&amp;Q21))</f>
        <v/>
      </c>
      <c r="V21" s="74"/>
      <c r="W21" s="74"/>
      <c r="X21" s="74"/>
      <c r="Y21" s="74" t="str">
        <f aca="false">IFERROR(__xludf.dummyfunction("IF(W21="""","""",QUERY(Hallazgos!C:I,""SELECT max(H) WHERE E CONTAINS 'Activo:""&amp;W21&amp;""' LABEL max(H) ''""))"),"")</f>
        <v/>
      </c>
      <c r="Z21" s="74"/>
      <c r="AA21" s="74"/>
      <c r="AB21" s="74" t="str">
        <f aca="false">IFERROR(__xludf.dummyfunction("IF(Z21="""","""",QUERY(Hallazgos!C:I,""SELECT max(H) WHERE E CONTAINS 'Alcance:""&amp;Z21&amp;""' LABEL max(H) ''""))"),"")</f>
        <v/>
      </c>
    </row>
    <row r="22" customFormat="false" ht="15.75" hidden="false" customHeight="true" outlineLevel="0" collapsed="false">
      <c r="A22" s="72"/>
      <c r="B22" s="57"/>
      <c r="C22" s="54"/>
      <c r="D22" s="72"/>
      <c r="E22" s="75"/>
      <c r="F22" s="53" t="n">
        <f aca="false">IF(D22&gt;6.9,D22,0)</f>
        <v>0</v>
      </c>
      <c r="G22" s="53" t="n">
        <f aca="false">IF(AND(D22&lt;7,D22&gt;3.9),D22,0)</f>
        <v>0</v>
      </c>
      <c r="H22" s="53" t="n">
        <f aca="false">IF(D22&lt;4,D22,0)</f>
        <v>0</v>
      </c>
      <c r="I22" s="54"/>
      <c r="J22" s="54"/>
      <c r="K22" s="54"/>
      <c r="L22" s="54" t="str">
        <f aca="false">IFERROR(__xludf.dummyfunction("IF(I22="""","""",QUERY(Hallazgos!D:I,""SELECT max(J) WHERE G CONTAINS '""&amp;I22&amp;""' LABEL max(J) ''""))"),"")</f>
        <v/>
      </c>
      <c r="M22" s="54"/>
      <c r="N22" s="54"/>
      <c r="O22" s="54"/>
      <c r="P22" s="74"/>
      <c r="Q22" s="74" t="n">
        <f aca="true">IFERROR(MATCH(LEFT(P22,8),INDIRECT($L$1&amp;"!A:A"),1),2)</f>
        <v>2</v>
      </c>
      <c r="R22" s="74" t="str">
        <f aca="true">IF(Q22=2,"",INDIRECT($L$1&amp;"!C"&amp;Q22))</f>
        <v/>
      </c>
      <c r="S22" s="74" t="str">
        <f aca="true">IF(Q22=2,"",INDIRECT($L$1&amp;"!D"&amp;Q22))</f>
        <v/>
      </c>
      <c r="T22" s="74" t="str">
        <f aca="true">IF(Q22=2,"",INDIRECT($L$1&amp;"!E"&amp;Q22))</f>
        <v/>
      </c>
      <c r="U22" s="74" t="str">
        <f aca="true">IF(Q22=2,"",INDIRECT($L$1&amp;"!F"&amp;Q22))</f>
        <v/>
      </c>
      <c r="V22" s="74"/>
      <c r="W22" s="74"/>
      <c r="X22" s="74"/>
      <c r="Y22" s="74" t="str">
        <f aca="false">IFERROR(__xludf.dummyfunction("IF(W22="""","""",QUERY(Hallazgos!C:I,""SELECT max(H) WHERE E CONTAINS 'Activo:""&amp;W22&amp;""' LABEL max(H) ''""))"),"")</f>
        <v/>
      </c>
      <c r="Z22" s="74"/>
      <c r="AA22" s="74"/>
      <c r="AB22" s="74" t="str">
        <f aca="false">IFERROR(__xludf.dummyfunction("IF(Z22="""","""",QUERY(Hallazgos!C:I,""SELECT max(H) WHERE E CONTAINS 'Alcance:""&amp;Z22&amp;""' LABEL max(H) ''""))"),"")</f>
        <v/>
      </c>
    </row>
    <row r="23" customFormat="false" ht="15.75" hidden="false" customHeight="true" outlineLevel="0" collapsed="false">
      <c r="A23" s="72"/>
      <c r="B23" s="57"/>
      <c r="C23" s="54"/>
      <c r="D23" s="72"/>
      <c r="E23" s="75"/>
      <c r="F23" s="74"/>
      <c r="G23" s="54" t="str">
        <f aca="false">LEFT(F23,3)</f>
        <v/>
      </c>
      <c r="H23" s="54" t="str">
        <f aca="false">LEFT(F23,3)</f>
        <v/>
      </c>
      <c r="I23" s="54"/>
      <c r="J23" s="54"/>
      <c r="K23" s="54"/>
      <c r="L23" s="54" t="str">
        <f aca="false">IFERROR(__xludf.dummyfunction("IF(I23="""","""",QUERY(Hallazgos!D:I,""SELECT max(J) WHERE G CONTAINS '""&amp;I23&amp;""' LABEL max(J) ''""))"),"")</f>
        <v/>
      </c>
      <c r="M23" s="54"/>
      <c r="N23" s="54"/>
      <c r="O23" s="54"/>
      <c r="P23" s="74"/>
      <c r="Q23" s="74" t="n">
        <f aca="true">IFERROR(MATCH(LEFT(P23,8),INDIRECT($L$1&amp;"!A:A"),1),2)</f>
        <v>2</v>
      </c>
      <c r="R23" s="74" t="str">
        <f aca="true">IF(Q23=2,"",INDIRECT($L$1&amp;"!C"&amp;Q23))</f>
        <v/>
      </c>
      <c r="S23" s="74" t="str">
        <f aca="true">IF(Q23=2,"",INDIRECT($L$1&amp;"!D"&amp;Q23))</f>
        <v/>
      </c>
      <c r="T23" s="74" t="str">
        <f aca="true">IF(Q23=2,"",INDIRECT($L$1&amp;"!E"&amp;Q23))</f>
        <v/>
      </c>
      <c r="U23" s="74" t="str">
        <f aca="true">IF(Q23=2,"",INDIRECT($L$1&amp;"!F"&amp;Q23))</f>
        <v/>
      </c>
      <c r="V23" s="74"/>
      <c r="W23" s="74"/>
      <c r="X23" s="74"/>
      <c r="Y23" s="74" t="str">
        <f aca="false">IFERROR(__xludf.dummyfunction("IF(W23="""","""",QUERY(Hallazgos!C:I,""SELECT max(H) WHERE E CONTAINS 'Activo:""&amp;W23&amp;""' LABEL max(H) ''""))"),"")</f>
        <v/>
      </c>
      <c r="Z23" s="74"/>
      <c r="AA23" s="74"/>
      <c r="AB23" s="74" t="str">
        <f aca="false">IFERROR(__xludf.dummyfunction("IF(Z23="""","""",QUERY(Hallazgos!C:I,""SELECT max(H) WHERE E CONTAINS 'Alcance:""&amp;Z23&amp;""' LABEL max(H) ''""))"),"")</f>
        <v/>
      </c>
    </row>
    <row r="24" customFormat="false" ht="15.75" hidden="false" customHeight="true" outlineLevel="0" collapsed="false">
      <c r="A24" s="72" t="s">
        <v>938</v>
      </c>
      <c r="B24" s="73" t="s">
        <v>928</v>
      </c>
      <c r="C24" s="54"/>
      <c r="D24" s="72" t="s">
        <v>929</v>
      </c>
      <c r="E24" s="72" t="s">
        <v>938</v>
      </c>
      <c r="F24" s="57" t="s">
        <v>930</v>
      </c>
      <c r="G24" s="57" t="s">
        <v>931</v>
      </c>
      <c r="H24" s="57" t="s">
        <v>932</v>
      </c>
      <c r="I24" s="54"/>
      <c r="J24" s="54"/>
      <c r="K24" s="54"/>
      <c r="L24" s="54" t="str">
        <f aca="false">IFERROR(__xludf.dummyfunction("IF(I24="""","""",QUERY(Hallazgos!D:I,""SELECT max(J) WHERE G CONTAINS '""&amp;I24&amp;""' LABEL max(J) ''""))"),"")</f>
        <v/>
      </c>
      <c r="M24" s="54"/>
      <c r="N24" s="54"/>
      <c r="O24" s="54"/>
      <c r="P24" s="74"/>
      <c r="Q24" s="74" t="n">
        <f aca="true">IFERROR(MATCH(LEFT(P24,8),INDIRECT($L$1&amp;"!A:A"),1),2)</f>
        <v>2</v>
      </c>
      <c r="R24" s="74" t="str">
        <f aca="true">IF(Q24=2,"",INDIRECT($L$1&amp;"!C"&amp;Q24))</f>
        <v/>
      </c>
      <c r="S24" s="74" t="str">
        <f aca="true">IF(Q24=2,"",INDIRECT($L$1&amp;"!D"&amp;Q24))</f>
        <v/>
      </c>
      <c r="T24" s="74" t="str">
        <f aca="true">IF(Q24=2,"",INDIRECT($L$1&amp;"!E"&amp;Q24))</f>
        <v/>
      </c>
      <c r="U24" s="74" t="str">
        <f aca="true">IF(Q24=2,"",INDIRECT($L$1&amp;"!F"&amp;Q24))</f>
        <v/>
      </c>
      <c r="V24" s="74"/>
      <c r="W24" s="74"/>
      <c r="X24" s="74"/>
      <c r="Y24" s="74" t="str">
        <f aca="false">IFERROR(__xludf.dummyfunction("IF(W24="""","""",QUERY(Hallazgos!C:I,""SELECT max(H) WHERE E CONTAINS 'Activo:""&amp;W24&amp;""' LABEL max(H) ''""))"),"")</f>
        <v/>
      </c>
      <c r="Z24" s="74"/>
      <c r="AA24" s="74"/>
      <c r="AB24" s="74" t="str">
        <f aca="false">IFERROR(__xludf.dummyfunction("IF(Z24="""","""",QUERY(Hallazgos!C:I,""SELECT max(H) WHERE E CONTAINS 'Alcance:""&amp;Z24&amp;""' LABEL max(H) ''""))"),"")</f>
        <v/>
      </c>
    </row>
    <row r="25" customFormat="false" ht="15.75" hidden="false" customHeight="true" outlineLevel="0" collapsed="false">
      <c r="A25" s="72" t="str">
        <f aca="false">IFERROR(__xludf.dummyfunction("QUERY(W:X,""SELECT W, X WHERE W &lt;&gt;'' ORDER BY X DESC"")"),"#REF!")</f>
        <v>#REF!</v>
      </c>
      <c r="B25" s="57" t="n">
        <v>1</v>
      </c>
      <c r="C25" s="54"/>
      <c r="D25" s="72" t="str">
        <f aca="false">IFERROR(__xludf.dummyfunction("QUERY(W:Y,""SELECT Y, W WHERE W&lt;&gt;'' ORDER BY Y DESC"")"),"#REF!")</f>
        <v>#REF!</v>
      </c>
      <c r="E25" s="75" t="s">
        <v>14</v>
      </c>
      <c r="F25" s="53" t="str">
        <f aca="false">IF(D25&gt;6.9,D25,0)</f>
        <v>#REF!</v>
      </c>
      <c r="G25" s="53" t="n">
        <f aca="false">IF(AND(D25&lt;7,D25&gt;3.9),D25,0)</f>
        <v>0</v>
      </c>
      <c r="H25" s="53" t="n">
        <f aca="false">IF(D25&lt;4,D25,0)</f>
        <v>0</v>
      </c>
      <c r="I25" s="54"/>
      <c r="J25" s="54"/>
      <c r="K25" s="54"/>
      <c r="L25" s="54" t="str">
        <f aca="false">IFERROR(__xludf.dummyfunction("IF(I25="""","""",QUERY(Hallazgos!D:I,""SELECT max(J) WHERE G CONTAINS '""&amp;I25&amp;""' LABEL max(J) ''""))"),"")</f>
        <v/>
      </c>
      <c r="M25" s="54"/>
      <c r="N25" s="54"/>
      <c r="O25" s="54"/>
      <c r="P25" s="74"/>
      <c r="Q25" s="74" t="n">
        <f aca="true">IFERROR(MATCH(LEFT(P25,8),INDIRECT($L$1&amp;"!A:A"),1),2)</f>
        <v>2</v>
      </c>
      <c r="R25" s="74" t="str">
        <f aca="true">IF(Q25=2,"",INDIRECT($L$1&amp;"!C"&amp;Q25))</f>
        <v/>
      </c>
      <c r="S25" s="74" t="str">
        <f aca="true">IF(Q25=2,"",INDIRECT($L$1&amp;"!D"&amp;Q25))</f>
        <v/>
      </c>
      <c r="T25" s="74" t="str">
        <f aca="true">IF(Q25=2,"",INDIRECT($L$1&amp;"!E"&amp;Q25))</f>
        <v/>
      </c>
      <c r="U25" s="74" t="str">
        <f aca="true">IF(Q25=2,"",INDIRECT($L$1&amp;"!F"&amp;Q25))</f>
        <v/>
      </c>
      <c r="V25" s="74"/>
      <c r="W25" s="74"/>
      <c r="X25" s="74"/>
      <c r="Y25" s="74" t="str">
        <f aca="false">IFERROR(__xludf.dummyfunction("IF(W25="""","""",QUERY(Hallazgos!C:I,""SELECT max(H) WHERE E CONTAINS 'Activo:""&amp;W25&amp;""' LABEL max(H) ''""))"),"")</f>
        <v/>
      </c>
      <c r="Z25" s="74"/>
      <c r="AA25" s="74"/>
      <c r="AB25" s="74" t="str">
        <f aca="false">IFERROR(__xludf.dummyfunction("IF(Z25="""","""",QUERY(Hallazgos!C:I,""SELECT max(H) WHERE E CONTAINS 'Alcance:""&amp;Z25&amp;""' LABEL max(H) ''""))"),"")</f>
        <v/>
      </c>
    </row>
    <row r="26" customFormat="false" ht="15.75" hidden="false" customHeight="true" outlineLevel="0" collapsed="false">
      <c r="A26" s="72" t="s">
        <v>95</v>
      </c>
      <c r="B26" s="57" t="n">
        <v>1</v>
      </c>
      <c r="C26" s="54"/>
      <c r="D26" s="72" t="n">
        <v>10</v>
      </c>
      <c r="E26" s="75" t="s">
        <v>95</v>
      </c>
      <c r="F26" s="53" t="n">
        <f aca="false">IF(D26&gt;6.9,D26,0)</f>
        <v>10</v>
      </c>
      <c r="G26" s="53" t="n">
        <f aca="false">IF(AND(D26&lt;7,D26&gt;3.9),D26,0)</f>
        <v>0</v>
      </c>
      <c r="H26" s="53" t="n">
        <f aca="false">IF(D26&lt;4,D26,0)</f>
        <v>0</v>
      </c>
      <c r="I26" s="54"/>
      <c r="J26" s="54"/>
      <c r="K26" s="54"/>
      <c r="L26" s="54"/>
      <c r="M26" s="54"/>
      <c r="N26" s="54"/>
      <c r="O26" s="54"/>
      <c r="P26" s="74"/>
      <c r="Q26" s="74" t="n">
        <f aca="true">IFERROR(MATCH(LEFT(P26,8),INDIRECT($L$1&amp;"!A:A"),1),2)</f>
        <v>2</v>
      </c>
      <c r="R26" s="74" t="str">
        <f aca="true">IF(Q26=2,"",INDIRECT($L$1&amp;"!C"&amp;Q26))</f>
        <v/>
      </c>
      <c r="S26" s="74" t="str">
        <f aca="true">IF(Q26=2,"",INDIRECT($L$1&amp;"!D"&amp;Q26))</f>
        <v/>
      </c>
      <c r="T26" s="74" t="str">
        <f aca="true">IF(Q26=2,"",INDIRECT($L$1&amp;"!E"&amp;Q26))</f>
        <v/>
      </c>
      <c r="U26" s="74" t="str">
        <f aca="true">IF(Q26=2,"",INDIRECT($L$1&amp;"!F"&amp;Q26))</f>
        <v/>
      </c>
      <c r="V26" s="74"/>
      <c r="W26" s="74"/>
      <c r="X26" s="74"/>
      <c r="Y26" s="74" t="str">
        <f aca="false">IFERROR(__xludf.dummyfunction("IF(W26="""","""",QUERY(Hallazgos!C:I,""SELECT max(H) WHERE E CONTAINS 'Activo:""&amp;W26&amp;""' LABEL max(H) ''""))"),"")</f>
        <v/>
      </c>
      <c r="Z26" s="74"/>
      <c r="AA26" s="74"/>
      <c r="AB26" s="74" t="str">
        <f aca="false">IFERROR(__xludf.dummyfunction("IF(Z26="""","""",QUERY(Hallazgos!C:I,""SELECT max(H) WHERE E CONTAINS 'Alcance:""&amp;Z26&amp;""' LABEL max(H) ''""))"),"")</f>
        <v/>
      </c>
    </row>
    <row r="27" customFormat="false" ht="15.75" hidden="false" customHeight="true" outlineLevel="0" collapsed="false">
      <c r="A27" s="72" t="s">
        <v>189</v>
      </c>
      <c r="B27" s="57" t="n">
        <v>1</v>
      </c>
      <c r="C27" s="54"/>
      <c r="D27" s="72" t="n">
        <v>10</v>
      </c>
      <c r="E27" s="75" t="s">
        <v>189</v>
      </c>
      <c r="F27" s="53" t="n">
        <f aca="false">IF(D27&gt;6.9,D27,0)</f>
        <v>10</v>
      </c>
      <c r="G27" s="53" t="n">
        <f aca="false">IF(AND(D27&lt;7,D27&gt;3.9),D27,0)</f>
        <v>0</v>
      </c>
      <c r="H27" s="53" t="n">
        <f aca="false">IF(D27&lt;4,D27,0)</f>
        <v>0</v>
      </c>
      <c r="I27" s="54"/>
      <c r="J27" s="54"/>
      <c r="K27" s="54"/>
      <c r="L27" s="54"/>
      <c r="M27" s="54"/>
      <c r="N27" s="54"/>
      <c r="O27" s="54"/>
      <c r="P27" s="74"/>
      <c r="Q27" s="74" t="n">
        <f aca="true">IFERROR(MATCH(LEFT(P27,8),INDIRECT($L$1&amp;"!A:A"),1),2)</f>
        <v>2</v>
      </c>
      <c r="R27" s="74" t="str">
        <f aca="true">IF(Q27=2,"",INDIRECT($L$1&amp;"!C"&amp;Q27))</f>
        <v/>
      </c>
      <c r="S27" s="74" t="str">
        <f aca="true">IF(Q27=2,"",INDIRECT($L$1&amp;"!D"&amp;Q27))</f>
        <v/>
      </c>
      <c r="T27" s="74" t="str">
        <f aca="true">IF(Q27=2,"",INDIRECT($L$1&amp;"!E"&amp;Q27))</f>
        <v/>
      </c>
      <c r="U27" s="74" t="str">
        <f aca="true">IF(Q27=2,"",INDIRECT($L$1&amp;"!F"&amp;Q27))</f>
        <v/>
      </c>
      <c r="V27" s="74"/>
      <c r="W27" s="74"/>
      <c r="X27" s="74"/>
      <c r="Y27" s="74" t="str">
        <f aca="false">IFERROR(__xludf.dummyfunction("IF(W27="""","""",QUERY(Hallazgos!C:I,""SELECT max(H) WHERE E CONTAINS 'Activo:""&amp;W27&amp;""' LABEL max(H) ''""))"),"")</f>
        <v/>
      </c>
      <c r="Z27" s="74"/>
      <c r="AA27" s="74"/>
      <c r="AB27" s="74" t="str">
        <f aca="false">IFERROR(__xludf.dummyfunction("IF(Z27="""","""",QUERY(Hallazgos!C:I,""SELECT max(H) WHERE E CONTAINS 'Alcance:""&amp;Z27&amp;""' LABEL max(H) ''""))"),"")</f>
        <v/>
      </c>
    </row>
    <row r="28" customFormat="false" ht="15.75" hidden="false" customHeight="true" outlineLevel="0" collapsed="false">
      <c r="A28" s="72" t="s">
        <v>352</v>
      </c>
      <c r="B28" s="57" t="n">
        <v>1</v>
      </c>
      <c r="C28" s="54"/>
      <c r="D28" s="72" t="n">
        <v>10</v>
      </c>
      <c r="E28" s="75" t="s">
        <v>352</v>
      </c>
      <c r="F28" s="53" t="n">
        <f aca="false">IF(D28&gt;6.9,D28,0)</f>
        <v>10</v>
      </c>
      <c r="G28" s="53" t="n">
        <f aca="false">IF(AND(D28&lt;7,D28&gt;3.9),D28,0)</f>
        <v>0</v>
      </c>
      <c r="H28" s="53" t="n">
        <f aca="false">IF(D28&lt;4,D28,0)</f>
        <v>0</v>
      </c>
      <c r="I28" s="54"/>
      <c r="J28" s="54"/>
      <c r="K28" s="54"/>
      <c r="L28" s="54"/>
      <c r="M28" s="54"/>
      <c r="N28" s="54"/>
      <c r="O28" s="54"/>
      <c r="P28" s="74"/>
      <c r="Q28" s="74" t="n">
        <f aca="true">IFERROR(MATCH(LEFT(P28,8),INDIRECT($L$1&amp;"!A:A"),1),2)</f>
        <v>2</v>
      </c>
      <c r="R28" s="74" t="str">
        <f aca="true">IF(Q28=2,"",INDIRECT($L$1&amp;"!C"&amp;Q28))</f>
        <v/>
      </c>
      <c r="S28" s="74" t="str">
        <f aca="true">IF(Q28=2,"",INDIRECT($L$1&amp;"!D"&amp;Q28))</f>
        <v/>
      </c>
      <c r="T28" s="74" t="str">
        <f aca="true">IF(Q28=2,"",INDIRECT($L$1&amp;"!E"&amp;Q28))</f>
        <v/>
      </c>
      <c r="U28" s="74" t="str">
        <f aca="true">IF(Q28=2,"",INDIRECT($L$1&amp;"!F"&amp;Q28))</f>
        <v/>
      </c>
      <c r="V28" s="74"/>
      <c r="W28" s="74"/>
      <c r="X28" s="74"/>
      <c r="Y28" s="74" t="str">
        <f aca="false">IFERROR(__xludf.dummyfunction("IF(W28="""","""",QUERY(Hallazgos!C:I,""SELECT max(H) WHERE E CONTAINS 'Activo:""&amp;W28&amp;""' LABEL max(H) ''""))"),"")</f>
        <v/>
      </c>
      <c r="Z28" s="74"/>
      <c r="AA28" s="74"/>
      <c r="AB28" s="74" t="str">
        <f aca="false">IFERROR(__xludf.dummyfunction("IF(Z28="""","""",QUERY(Hallazgos!C:I,""SELECT max(H) WHERE E CONTAINS 'Alcance:""&amp;Z28&amp;""' LABEL max(H) ''""))"),"")</f>
        <v/>
      </c>
    </row>
    <row r="29" customFormat="false" ht="15.75" hidden="false" customHeight="true" outlineLevel="0" collapsed="false">
      <c r="A29" s="72" t="s">
        <v>791</v>
      </c>
      <c r="B29" s="57" t="n">
        <v>1</v>
      </c>
      <c r="C29" s="54"/>
      <c r="D29" s="72" t="n">
        <v>10</v>
      </c>
      <c r="E29" s="75" t="s">
        <v>791</v>
      </c>
      <c r="F29" s="53" t="n">
        <f aca="false">IF(D29&gt;6.9,D29,0)</f>
        <v>10</v>
      </c>
      <c r="G29" s="53" t="n">
        <f aca="false">IF(AND(D29&lt;7,D29&gt;3.9),D29,0)</f>
        <v>0</v>
      </c>
      <c r="H29" s="53" t="n">
        <f aca="false">IF(D29&lt;4,D29,0)</f>
        <v>0</v>
      </c>
      <c r="I29" s="54"/>
      <c r="J29" s="54"/>
      <c r="K29" s="54"/>
      <c r="L29" s="54"/>
      <c r="M29" s="54"/>
      <c r="N29" s="54"/>
      <c r="O29" s="54"/>
      <c r="P29" s="74"/>
      <c r="Q29" s="74" t="n">
        <f aca="true">IFERROR(MATCH(LEFT(P29,8),INDIRECT($L$1&amp;"!A:A"),1),2)</f>
        <v>2</v>
      </c>
      <c r="R29" s="74" t="str">
        <f aca="true">IF(Q29=2,"",INDIRECT($L$1&amp;"!C"&amp;Q29))</f>
        <v/>
      </c>
      <c r="S29" s="74" t="str">
        <f aca="true">IF(Q29=2,"",INDIRECT($L$1&amp;"!D"&amp;Q29))</f>
        <v/>
      </c>
      <c r="T29" s="74" t="str">
        <f aca="true">IF(Q29=2,"",INDIRECT($L$1&amp;"!E"&amp;Q29))</f>
        <v/>
      </c>
      <c r="U29" s="74" t="str">
        <f aca="true">IF(Q29=2,"",INDIRECT($L$1&amp;"!F"&amp;Q29))</f>
        <v/>
      </c>
      <c r="V29" s="74"/>
      <c r="W29" s="74"/>
      <c r="X29" s="74"/>
      <c r="Y29" s="74" t="str">
        <f aca="false">IFERROR(__xludf.dummyfunction("IF(W29="""","""",QUERY(Hallazgos!C:I,""SELECT max(H) WHERE E CONTAINS 'Activo:""&amp;W29&amp;""' LABEL max(H) ''""))"),"")</f>
        <v/>
      </c>
      <c r="Z29" s="74"/>
      <c r="AA29" s="74"/>
      <c r="AB29" s="74" t="str">
        <f aca="false">IFERROR(__xludf.dummyfunction("IF(Z29="""","""",QUERY(Hallazgos!C:I,""SELECT max(H) WHERE E CONTAINS 'Alcance:""&amp;Z29&amp;""' LABEL max(H) ''""))"),"")</f>
        <v/>
      </c>
    </row>
    <row r="30" customFormat="false" ht="15.75" hidden="false" customHeight="true" outlineLevel="0" collapsed="false">
      <c r="A30" s="72"/>
      <c r="B30" s="57"/>
      <c r="C30" s="54"/>
      <c r="D30" s="72"/>
      <c r="E30" s="75"/>
      <c r="F30" s="53" t="n">
        <f aca="false">IF(D30&gt;6.9,D30,0)</f>
        <v>0</v>
      </c>
      <c r="G30" s="53" t="n">
        <f aca="false">IF(AND(D30&lt;7,D30&gt;3.9),D30,0)</f>
        <v>0</v>
      </c>
      <c r="H30" s="53" t="n">
        <f aca="false">IF(D30&lt;4,D30,0)</f>
        <v>0</v>
      </c>
      <c r="I30" s="54"/>
      <c r="J30" s="54"/>
      <c r="K30" s="54"/>
      <c r="L30" s="54"/>
      <c r="M30" s="54"/>
      <c r="N30" s="54"/>
      <c r="O30" s="54"/>
      <c r="P30" s="74"/>
      <c r="Q30" s="74" t="n">
        <f aca="true">IFERROR(MATCH(LEFT(P30,8),INDIRECT($L$1&amp;"!A:A"),1),2)</f>
        <v>2</v>
      </c>
      <c r="R30" s="74" t="str">
        <f aca="true">IF(Q30=2,"",INDIRECT($L$1&amp;"!C"&amp;Q30))</f>
        <v/>
      </c>
      <c r="S30" s="74" t="str">
        <f aca="true">IF(Q30=2,"",INDIRECT($L$1&amp;"!D"&amp;Q30))</f>
        <v/>
      </c>
      <c r="T30" s="74" t="str">
        <f aca="true">IF(Q30=2,"",INDIRECT($L$1&amp;"!E"&amp;Q30))</f>
        <v/>
      </c>
      <c r="U30" s="74" t="str">
        <f aca="true">IF(Q30=2,"",INDIRECT($L$1&amp;"!F"&amp;Q30))</f>
        <v/>
      </c>
      <c r="V30" s="74"/>
      <c r="W30" s="74"/>
      <c r="X30" s="74"/>
      <c r="Y30" s="74" t="str">
        <f aca="false">IFERROR(__xludf.dummyfunction("IF(W30="""","""",QUERY(Hallazgos!C:I,""SELECT max(H) WHERE E CONTAINS 'Activo:""&amp;W30&amp;""' LABEL max(H) ''""))"),"")</f>
        <v/>
      </c>
      <c r="Z30" s="74"/>
      <c r="AA30" s="74"/>
      <c r="AB30" s="74" t="str">
        <f aca="false">IFERROR(__xludf.dummyfunction("IF(Z30="""","""",QUERY(Hallazgos!C:I,""SELECT max(H) WHERE E CONTAINS 'Alcance:""&amp;Z30&amp;""' LABEL max(H) ''""))"),"")</f>
        <v/>
      </c>
    </row>
    <row r="31" customFormat="false" ht="15.75" hidden="false" customHeight="true" outlineLevel="0" collapsed="false">
      <c r="A31" s="72"/>
      <c r="B31" s="57"/>
      <c r="C31" s="54"/>
      <c r="D31" s="72"/>
      <c r="E31" s="75"/>
      <c r="F31" s="53" t="n">
        <f aca="false">IF(D31&gt;6.9,D31,0)</f>
        <v>0</v>
      </c>
      <c r="G31" s="53" t="n">
        <f aca="false">IF(AND(D31&lt;7,D31&gt;3.9),D31,0)</f>
        <v>0</v>
      </c>
      <c r="H31" s="53" t="n">
        <f aca="false">IF(D31&lt;4,D31,0)</f>
        <v>0</v>
      </c>
      <c r="I31" s="54"/>
      <c r="J31" s="54"/>
      <c r="K31" s="54"/>
      <c r="L31" s="54"/>
      <c r="M31" s="54"/>
      <c r="N31" s="54"/>
      <c r="O31" s="54"/>
      <c r="P31" s="74"/>
      <c r="Q31" s="74" t="n">
        <f aca="true">IFERROR(MATCH(LEFT(P31,8),INDIRECT($L$1&amp;"!A:A"),1),2)</f>
        <v>2</v>
      </c>
      <c r="R31" s="74" t="str">
        <f aca="true">IF(Q31=2,"",INDIRECT($L$1&amp;"!C"&amp;Q31))</f>
        <v/>
      </c>
      <c r="S31" s="74" t="str">
        <f aca="true">IF(Q31=2,"",INDIRECT($L$1&amp;"!D"&amp;Q31))</f>
        <v/>
      </c>
      <c r="T31" s="74" t="str">
        <f aca="true">IF(Q31=2,"",INDIRECT($L$1&amp;"!E"&amp;Q31))</f>
        <v/>
      </c>
      <c r="U31" s="74" t="str">
        <f aca="true">IF(Q31=2,"",INDIRECT($L$1&amp;"!F"&amp;Q31))</f>
        <v/>
      </c>
      <c r="V31" s="74"/>
      <c r="W31" s="74"/>
      <c r="X31" s="74"/>
      <c r="Y31" s="74" t="str">
        <f aca="false">IFERROR(__xludf.dummyfunction("IF(W31="""","""",QUERY(Hallazgos!C:I,""SELECT max(H) WHERE E CONTAINS 'Activo:""&amp;W31&amp;""' LABEL max(H) ''""))"),"")</f>
        <v/>
      </c>
      <c r="Z31" s="74"/>
      <c r="AA31" s="74"/>
      <c r="AB31" s="74" t="str">
        <f aca="false">IFERROR(__xludf.dummyfunction("IF(Z31="""","""",QUERY(Hallazgos!C:I,""SELECT max(H) WHERE E CONTAINS 'Alcance:""&amp;Z31&amp;""' LABEL max(H) ''""))"),"")</f>
        <v/>
      </c>
    </row>
    <row r="32" customFormat="false" ht="15.75" hidden="false" customHeight="true" outlineLevel="0" collapsed="false">
      <c r="A32" s="72"/>
      <c r="B32" s="57"/>
      <c r="C32" s="54"/>
      <c r="D32" s="72"/>
      <c r="E32" s="75"/>
      <c r="F32" s="53" t="n">
        <f aca="false">IF(D32&gt;6.9,D32,0)</f>
        <v>0</v>
      </c>
      <c r="G32" s="53" t="n">
        <f aca="false">IF(AND(D32&lt;7,D32&gt;3.9),D32,0)</f>
        <v>0</v>
      </c>
      <c r="H32" s="53" t="n">
        <f aca="false">IF(D32&lt;4,D32,0)</f>
        <v>0</v>
      </c>
      <c r="I32" s="54"/>
      <c r="J32" s="54"/>
      <c r="K32" s="54"/>
      <c r="L32" s="54"/>
      <c r="M32" s="54"/>
      <c r="N32" s="54"/>
      <c r="O32" s="54"/>
      <c r="P32" s="74"/>
      <c r="Q32" s="74" t="n">
        <f aca="true">IFERROR(MATCH(LEFT(P32,8),INDIRECT($L$1&amp;"!A:A"),1),2)</f>
        <v>2</v>
      </c>
      <c r="R32" s="74" t="str">
        <f aca="true">IF(Q32=2,"",INDIRECT($L$1&amp;"!C"&amp;Q32))</f>
        <v/>
      </c>
      <c r="S32" s="74" t="str">
        <f aca="true">IF(Q32=2,"",INDIRECT($L$1&amp;"!D"&amp;Q32))</f>
        <v/>
      </c>
      <c r="T32" s="74" t="str">
        <f aca="true">IF(Q32=2,"",INDIRECT($L$1&amp;"!E"&amp;Q32))</f>
        <v/>
      </c>
      <c r="U32" s="74" t="str">
        <f aca="true">IF(Q32=2,"",INDIRECT($L$1&amp;"!F"&amp;Q32))</f>
        <v/>
      </c>
      <c r="V32" s="74"/>
      <c r="W32" s="74"/>
      <c r="X32" s="74"/>
      <c r="Y32" s="74" t="str">
        <f aca="false">IFERROR(__xludf.dummyfunction("IF(W32="""","""",QUERY(Hallazgos!C:I,""SELECT max(H) WHERE E CONTAINS 'Activo:""&amp;W32&amp;""' LABEL max(H) ''""))"),"")</f>
        <v/>
      </c>
      <c r="Z32" s="74"/>
      <c r="AA32" s="74"/>
      <c r="AB32" s="74" t="str">
        <f aca="false">IFERROR(__xludf.dummyfunction("IF(Z32="""","""",QUERY(Hallazgos!C:I,""SELECT max(H) WHERE E CONTAINS 'Alcance:""&amp;Z32&amp;""' LABEL max(H) ''""))"),"")</f>
        <v/>
      </c>
    </row>
    <row r="33" customFormat="false" ht="15.75" hidden="false" customHeight="true" outlineLevel="0" collapsed="false">
      <c r="A33" s="72"/>
      <c r="B33" s="57"/>
      <c r="C33" s="54"/>
      <c r="D33" s="72"/>
      <c r="E33" s="75"/>
      <c r="F33" s="53" t="n">
        <f aca="false">IF(D33&gt;6.9,D33,0)</f>
        <v>0</v>
      </c>
      <c r="G33" s="53" t="n">
        <f aca="false">IF(AND(D33&lt;7,D33&gt;3.9),D33,0)</f>
        <v>0</v>
      </c>
      <c r="H33" s="53" t="n">
        <f aca="false">IF(D33&lt;4,D33,0)</f>
        <v>0</v>
      </c>
      <c r="I33" s="54"/>
      <c r="J33" s="54"/>
      <c r="K33" s="54"/>
      <c r="L33" s="54"/>
      <c r="M33" s="54"/>
      <c r="N33" s="54"/>
      <c r="O33" s="54"/>
      <c r="P33" s="74"/>
      <c r="Q33" s="74" t="n">
        <f aca="true">IFERROR(MATCH(LEFT(P33,8),INDIRECT($L$1&amp;"!A:A"),1),2)</f>
        <v>2</v>
      </c>
      <c r="R33" s="74" t="str">
        <f aca="true">IF(Q33=2,"",INDIRECT($L$1&amp;"!C"&amp;Q33))</f>
        <v/>
      </c>
      <c r="S33" s="74" t="str">
        <f aca="true">IF(Q33=2,"",INDIRECT($L$1&amp;"!D"&amp;Q33))</f>
        <v/>
      </c>
      <c r="T33" s="74" t="str">
        <f aca="true">IF(Q33=2,"",INDIRECT($L$1&amp;"!E"&amp;Q33))</f>
        <v/>
      </c>
      <c r="U33" s="74" t="str">
        <f aca="true">IF(Q33=2,"",INDIRECT($L$1&amp;"!F"&amp;Q33))</f>
        <v/>
      </c>
      <c r="V33" s="74"/>
      <c r="W33" s="74"/>
      <c r="X33" s="74"/>
      <c r="Y33" s="74" t="str">
        <f aca="false">IFERROR(__xludf.dummyfunction("IF(W33="""","""",QUERY(Hallazgos!C:I,""SELECT max(H) WHERE E CONTAINS 'Activo:""&amp;W33&amp;""' LABEL max(H) ''""))"),"")</f>
        <v/>
      </c>
      <c r="Z33" s="74"/>
      <c r="AA33" s="74"/>
      <c r="AB33" s="74" t="str">
        <f aca="false">IFERROR(__xludf.dummyfunction("IF(Z33="""","""",QUERY(Hallazgos!C:I,""SELECT max(H) WHERE E CONTAINS 'Alcance:""&amp;Z33&amp;""' LABEL max(H) ''""))"),"")</f>
        <v/>
      </c>
    </row>
    <row r="34" customFormat="false" ht="15.75" hidden="false" customHeight="true" outlineLevel="0" collapsed="false">
      <c r="A34" s="72"/>
      <c r="B34" s="57"/>
      <c r="C34" s="54"/>
      <c r="D34" s="72"/>
      <c r="E34" s="75"/>
      <c r="F34" s="53" t="n">
        <f aca="false">IF(D34&gt;6.9,D34,0)</f>
        <v>0</v>
      </c>
      <c r="G34" s="53" t="n">
        <f aca="false">IF(AND(D34&lt;7,D34&gt;3.9),D34,0)</f>
        <v>0</v>
      </c>
      <c r="H34" s="53" t="n">
        <f aca="false">IF(D34&lt;4,D34,0)</f>
        <v>0</v>
      </c>
      <c r="I34" s="54"/>
      <c r="J34" s="54"/>
      <c r="K34" s="54"/>
      <c r="L34" s="54"/>
      <c r="M34" s="54"/>
      <c r="N34" s="54"/>
      <c r="O34" s="54"/>
      <c r="P34" s="74"/>
      <c r="Q34" s="74" t="n">
        <f aca="true">IFERROR(MATCH(LEFT(P34,8),INDIRECT($L$1&amp;"!A:A"),1),2)</f>
        <v>2</v>
      </c>
      <c r="R34" s="74" t="str">
        <f aca="true">IF(Q34=2,"",INDIRECT($L$1&amp;"!C"&amp;Q34))</f>
        <v/>
      </c>
      <c r="S34" s="74" t="str">
        <f aca="true">IF(Q34=2,"",INDIRECT($L$1&amp;"!D"&amp;Q34))</f>
        <v/>
      </c>
      <c r="T34" s="74" t="str">
        <f aca="true">IF(Q34=2,"",INDIRECT($L$1&amp;"!E"&amp;Q34))</f>
        <v/>
      </c>
      <c r="U34" s="74" t="str">
        <f aca="true">IF(Q34=2,"",INDIRECT($L$1&amp;"!F"&amp;Q34))</f>
        <v/>
      </c>
      <c r="V34" s="74"/>
      <c r="W34" s="74"/>
      <c r="X34" s="74"/>
      <c r="Y34" s="74" t="str">
        <f aca="false">IFERROR(__xludf.dummyfunction("IF(W34="""","""",QUERY(Hallazgos!C:I,""SELECT max(H) WHERE E CONTAINS 'Activo:""&amp;W34&amp;""' LABEL max(H) ''""))"),"")</f>
        <v/>
      </c>
      <c r="Z34" s="74"/>
      <c r="AA34" s="74"/>
      <c r="AB34" s="74" t="str">
        <f aca="false">IFERROR(__xludf.dummyfunction("IF(Z34="""","""",QUERY(Hallazgos!C:I,""SELECT max(H) WHERE E CONTAINS 'Alcance:""&amp;Z34&amp;""' LABEL max(H) ''""))"),"")</f>
        <v/>
      </c>
    </row>
    <row r="35" customFormat="false" ht="15.75" hidden="false" customHeight="true" outlineLevel="0" collapsed="false">
      <c r="A35" s="75"/>
      <c r="B35" s="57"/>
      <c r="C35" s="57"/>
      <c r="D35" s="72"/>
      <c r="E35" s="72"/>
      <c r="F35" s="53" t="n">
        <f aca="false">IF(D35&gt;6.9,D35,0)</f>
        <v>0</v>
      </c>
      <c r="G35" s="53" t="n">
        <f aca="false">IF(AND(D35&lt;7,D35&gt;3.9),D35,0)</f>
        <v>0</v>
      </c>
      <c r="H35" s="53" t="n">
        <f aca="false">IF(D35&lt;4,D35,0)</f>
        <v>0</v>
      </c>
      <c r="I35" s="54"/>
      <c r="J35" s="54"/>
      <c r="K35" s="54"/>
      <c r="L35" s="54"/>
      <c r="M35" s="54"/>
      <c r="N35" s="54"/>
      <c r="O35" s="54"/>
      <c r="P35" s="74"/>
      <c r="Q35" s="74" t="n">
        <f aca="true">IFERROR(MATCH(LEFT(P35,8),INDIRECT($L$1&amp;"!A:A"),1),2)</f>
        <v>2</v>
      </c>
      <c r="R35" s="74" t="str">
        <f aca="true">IF(Q35=2,"",INDIRECT($L$1&amp;"!C"&amp;Q35))</f>
        <v/>
      </c>
      <c r="S35" s="74" t="str">
        <f aca="true">IF(Q35=2,"",INDIRECT($L$1&amp;"!D"&amp;Q35))</f>
        <v/>
      </c>
      <c r="T35" s="74" t="str">
        <f aca="true">IF(Q35=2,"",INDIRECT($L$1&amp;"!E"&amp;Q35))</f>
        <v/>
      </c>
      <c r="U35" s="74" t="str">
        <f aca="true">IF(Q35=2,"",INDIRECT($L$1&amp;"!F"&amp;Q35))</f>
        <v/>
      </c>
      <c r="V35" s="74"/>
      <c r="W35" s="74"/>
      <c r="X35" s="74"/>
      <c r="Y35" s="74" t="str">
        <f aca="false">IFERROR(__xludf.dummyfunction("IF(W35="""","""",QUERY(Hallazgos!C:I,""SELECT max(H) WHERE E CONTAINS 'Activo:""&amp;W35&amp;""' LABEL max(H) ''""))"),"")</f>
        <v/>
      </c>
      <c r="Z35" s="74"/>
      <c r="AA35" s="74"/>
      <c r="AB35" s="74" t="str">
        <f aca="false">IFERROR(__xludf.dummyfunction("IF(Z35="""","""",QUERY(Hallazgos!C:I,""SELECT max(H) WHERE E CONTAINS 'Alcance:""&amp;Z35&amp;""' LABEL max(H) ''""))"),"")</f>
        <v/>
      </c>
    </row>
    <row r="36" customFormat="false" ht="15.75" hidden="false" customHeight="true" outlineLevel="0" collapsed="false">
      <c r="A36" s="72"/>
      <c r="B36" s="57"/>
      <c r="C36" s="54"/>
      <c r="D36" s="72"/>
      <c r="E36" s="75"/>
      <c r="F36" s="53" t="n">
        <f aca="false">IF(D36&gt;6.9,D36,0)</f>
        <v>0</v>
      </c>
      <c r="G36" s="53" t="n">
        <f aca="false">IF(AND(D36&lt;7,D36&gt;3.9),D36,0)</f>
        <v>0</v>
      </c>
      <c r="H36" s="53" t="n">
        <f aca="false">IF(D36&lt;4,D36,0)</f>
        <v>0</v>
      </c>
      <c r="I36" s="54"/>
      <c r="J36" s="54"/>
      <c r="K36" s="54"/>
      <c r="L36" s="54"/>
      <c r="M36" s="54"/>
      <c r="N36" s="54"/>
      <c r="O36" s="54"/>
      <c r="P36" s="74"/>
      <c r="Q36" s="74" t="n">
        <f aca="true">IFERROR(MATCH(LEFT(P36,8),INDIRECT($L$1&amp;"!A:A"),1),2)</f>
        <v>2</v>
      </c>
      <c r="R36" s="74" t="str">
        <f aca="true">IF(Q36=2,"",INDIRECT($L$1&amp;"!C"&amp;Q36))</f>
        <v/>
      </c>
      <c r="S36" s="74" t="str">
        <f aca="true">IF(Q36=2,"",INDIRECT($L$1&amp;"!D"&amp;Q36))</f>
        <v/>
      </c>
      <c r="T36" s="74" t="str">
        <f aca="true">IF(Q36=2,"",INDIRECT($L$1&amp;"!E"&amp;Q36))</f>
        <v/>
      </c>
      <c r="U36" s="74" t="str">
        <f aca="true">IF(Q36=2,"",INDIRECT($L$1&amp;"!F"&amp;Q36))</f>
        <v/>
      </c>
      <c r="V36" s="74"/>
      <c r="W36" s="74"/>
      <c r="X36" s="74"/>
      <c r="Y36" s="74" t="str">
        <f aca="false">IFERROR(__xludf.dummyfunction("IF(W36="""","""",QUERY(Hallazgos!C:I,""SELECT max(H) WHERE E CONTAINS 'Activo:""&amp;W36&amp;""' LABEL max(H) ''""))"),"")</f>
        <v/>
      </c>
      <c r="Z36" s="74"/>
      <c r="AA36" s="74"/>
      <c r="AB36" s="74" t="str">
        <f aca="false">IFERROR(__xludf.dummyfunction("IF(Z36="""","""",QUERY(Hallazgos!C:I,""SELECT max(H) WHERE E CONTAINS 'Alcance:""&amp;Z36&amp;""' LABEL max(H) ''""))"),"")</f>
        <v/>
      </c>
    </row>
    <row r="37" customFormat="false" ht="15.75" hidden="false" customHeight="true" outlineLevel="0" collapsed="false">
      <c r="A37" s="72"/>
      <c r="B37" s="57"/>
      <c r="C37" s="54"/>
      <c r="D37" s="72"/>
      <c r="E37" s="75"/>
      <c r="F37" s="53" t="n">
        <f aca="false">IF(D37&gt;6.9,D37,0)</f>
        <v>0</v>
      </c>
      <c r="G37" s="53" t="n">
        <f aca="false">IF(AND(D37&lt;7,D37&gt;3.9),D37,0)</f>
        <v>0</v>
      </c>
      <c r="H37" s="53" t="n">
        <f aca="false">IF(D37&lt;4,D37,0)</f>
        <v>0</v>
      </c>
      <c r="I37" s="54"/>
      <c r="J37" s="54"/>
      <c r="K37" s="54"/>
      <c r="L37" s="54"/>
      <c r="M37" s="54"/>
      <c r="N37" s="54"/>
      <c r="O37" s="54"/>
      <c r="P37" s="74"/>
      <c r="Q37" s="74" t="n">
        <f aca="true">IFERROR(MATCH(LEFT(P37,8),INDIRECT($L$1&amp;"!A:A"),1),2)</f>
        <v>2</v>
      </c>
      <c r="R37" s="74" t="str">
        <f aca="true">IF(Q37=2,"",INDIRECT($L$1&amp;"!C"&amp;Q37))</f>
        <v/>
      </c>
      <c r="S37" s="74" t="str">
        <f aca="true">IF(Q37=2,"",INDIRECT($L$1&amp;"!D"&amp;Q37))</f>
        <v/>
      </c>
      <c r="T37" s="74" t="str">
        <f aca="true">IF(Q37=2,"",INDIRECT($L$1&amp;"!E"&amp;Q37))</f>
        <v/>
      </c>
      <c r="U37" s="74" t="str">
        <f aca="true">IF(Q37=2,"",INDIRECT($L$1&amp;"!F"&amp;Q37))</f>
        <v/>
      </c>
      <c r="V37" s="74"/>
      <c r="W37" s="74"/>
      <c r="X37" s="74"/>
      <c r="Y37" s="74" t="str">
        <f aca="false">IFERROR(__xludf.dummyfunction("IF(W37="""","""",QUERY(Hallazgos!C:I,""SELECT max(H) WHERE E CONTAINS 'Activo:""&amp;W37&amp;""' LABEL max(H) ''""))"),"")</f>
        <v/>
      </c>
      <c r="Z37" s="74"/>
      <c r="AA37" s="74"/>
      <c r="AB37" s="74" t="str">
        <f aca="false">IFERROR(__xludf.dummyfunction("IF(Z37="""","""",QUERY(Hallazgos!C:I,""SELECT max(H) WHERE E CONTAINS 'Alcance:""&amp;Z37&amp;""' LABEL max(H) ''""))"),"")</f>
        <v/>
      </c>
    </row>
    <row r="38" customFormat="false" ht="15.75" hidden="false" customHeight="true" outlineLevel="0" collapsed="false">
      <c r="A38" s="72"/>
      <c r="B38" s="57"/>
      <c r="C38" s="54"/>
      <c r="D38" s="72"/>
      <c r="E38" s="75"/>
      <c r="F38" s="53" t="n">
        <f aca="false">IF(D38&gt;6.9,D38,0)</f>
        <v>0</v>
      </c>
      <c r="G38" s="53" t="n">
        <f aca="false">IF(AND(D38&lt;7,D38&gt;3.9),D38,0)</f>
        <v>0</v>
      </c>
      <c r="H38" s="53" t="n">
        <f aca="false">IF(D38&lt;4,D38,0)</f>
        <v>0</v>
      </c>
      <c r="I38" s="54"/>
      <c r="J38" s="54"/>
      <c r="K38" s="54"/>
      <c r="L38" s="54"/>
      <c r="M38" s="54"/>
      <c r="N38" s="54"/>
      <c r="O38" s="54"/>
      <c r="P38" s="74"/>
      <c r="Q38" s="74" t="n">
        <f aca="true">IFERROR(MATCH(LEFT(P38,8),INDIRECT($L$1&amp;"!A:A"),1),2)</f>
        <v>2</v>
      </c>
      <c r="R38" s="74" t="str">
        <f aca="true">IF(Q38=2,"",INDIRECT($L$1&amp;"!C"&amp;Q38))</f>
        <v/>
      </c>
      <c r="S38" s="74" t="str">
        <f aca="true">IF(Q38=2,"",INDIRECT($L$1&amp;"!D"&amp;Q38))</f>
        <v/>
      </c>
      <c r="T38" s="74" t="str">
        <f aca="true">IF(Q38=2,"",INDIRECT($L$1&amp;"!E"&amp;Q38))</f>
        <v/>
      </c>
      <c r="U38" s="74" t="str">
        <f aca="true">IF(Q38=2,"",INDIRECT($L$1&amp;"!F"&amp;Q38))</f>
        <v/>
      </c>
      <c r="V38" s="74"/>
      <c r="W38" s="74"/>
      <c r="X38" s="74"/>
      <c r="Y38" s="74" t="str">
        <f aca="false">IFERROR(__xludf.dummyfunction("IF(W38="""","""",QUERY(Hallazgos!C:I,""SELECT max(H) WHERE E CONTAINS 'Activo:""&amp;W38&amp;""' LABEL max(H) ''""))"),"")</f>
        <v/>
      </c>
      <c r="Z38" s="74"/>
      <c r="AA38" s="74"/>
      <c r="AB38" s="74" t="str">
        <f aca="false">IFERROR(__xludf.dummyfunction("IF(Z38="""","""",QUERY(Hallazgos!C:I,""SELECT max(H) WHERE E CONTAINS 'Alcance:""&amp;Z38&amp;""' LABEL max(H) ''""))"),"")</f>
        <v/>
      </c>
    </row>
    <row r="39" customFormat="false" ht="15.75" hidden="false" customHeight="true" outlineLevel="0" collapsed="false">
      <c r="A39" s="72"/>
      <c r="B39" s="57"/>
      <c r="C39" s="54"/>
      <c r="D39" s="72"/>
      <c r="E39" s="75"/>
      <c r="F39" s="53" t="n">
        <f aca="false">IF(D39&gt;6.9,D39,0)</f>
        <v>0</v>
      </c>
      <c r="G39" s="53" t="n">
        <f aca="false">IF(AND(D39&lt;7,D39&gt;3.9),D39,0)</f>
        <v>0</v>
      </c>
      <c r="H39" s="53" t="n">
        <f aca="false">IF(D39&lt;4,D39,0)</f>
        <v>0</v>
      </c>
      <c r="I39" s="54"/>
      <c r="J39" s="54"/>
      <c r="K39" s="54"/>
      <c r="L39" s="54"/>
      <c r="M39" s="54"/>
      <c r="N39" s="54"/>
      <c r="O39" s="54"/>
      <c r="P39" s="74"/>
      <c r="Q39" s="74" t="n">
        <f aca="true">IFERROR(MATCH(LEFT(P39,8),INDIRECT($L$1&amp;"!A:A"),1),2)</f>
        <v>2</v>
      </c>
      <c r="R39" s="74" t="str">
        <f aca="true">IF(Q39=2,"",INDIRECT($L$1&amp;"!C"&amp;Q39))</f>
        <v/>
      </c>
      <c r="S39" s="74" t="str">
        <f aca="true">IF(Q39=2,"",INDIRECT($L$1&amp;"!D"&amp;Q39))</f>
        <v/>
      </c>
      <c r="T39" s="74" t="str">
        <f aca="true">IF(Q39=2,"",INDIRECT($L$1&amp;"!E"&amp;Q39))</f>
        <v/>
      </c>
      <c r="U39" s="74" t="str">
        <f aca="true">IF(Q39=2,"",INDIRECT($L$1&amp;"!F"&amp;Q39))</f>
        <v/>
      </c>
      <c r="V39" s="74"/>
      <c r="W39" s="74"/>
      <c r="X39" s="74"/>
      <c r="Y39" s="74" t="str">
        <f aca="false">IFERROR(__xludf.dummyfunction("IF(W39="""","""",QUERY(Hallazgos!C:I,""SELECT max(H) WHERE E CONTAINS 'Activo:""&amp;W39&amp;""' LABEL max(H) ''""))"),"")</f>
        <v/>
      </c>
      <c r="Z39" s="74"/>
      <c r="AA39" s="74"/>
      <c r="AB39" s="74" t="str">
        <f aca="false">IFERROR(__xludf.dummyfunction("IF(Z39="""","""",QUERY(Hallazgos!C:I,""SELECT max(H) WHERE E CONTAINS 'Alcance:""&amp;Z39&amp;""' LABEL max(H) ''""))"),"")</f>
        <v/>
      </c>
    </row>
    <row r="40" customFormat="false" ht="15.75" hidden="false" customHeight="true" outlineLevel="0" collapsed="false">
      <c r="A40" s="72"/>
      <c r="B40" s="57"/>
      <c r="C40" s="54"/>
      <c r="D40" s="72"/>
      <c r="E40" s="75"/>
      <c r="F40" s="53" t="n">
        <f aca="false">IF(D40&gt;6.9,D40,0)</f>
        <v>0</v>
      </c>
      <c r="G40" s="53" t="n">
        <f aca="false">IF(AND(D40&lt;7,D40&gt;3.9),D40,0)</f>
        <v>0</v>
      </c>
      <c r="H40" s="53" t="n">
        <f aca="false">IF(D40&lt;4,D40,0)</f>
        <v>0</v>
      </c>
      <c r="I40" s="54"/>
      <c r="J40" s="54"/>
      <c r="K40" s="54"/>
      <c r="L40" s="54"/>
      <c r="M40" s="54"/>
      <c r="N40" s="54"/>
      <c r="O40" s="54"/>
      <c r="P40" s="74"/>
      <c r="Q40" s="74" t="n">
        <f aca="true">IFERROR(MATCH(LEFT(P40,8),INDIRECT($L$1&amp;"!A:A"),1),2)</f>
        <v>2</v>
      </c>
      <c r="R40" s="74" t="str">
        <f aca="true">IF(Q40=2,"",INDIRECT($L$1&amp;"!C"&amp;Q40))</f>
        <v/>
      </c>
      <c r="S40" s="74" t="str">
        <f aca="true">IF(Q40=2,"",INDIRECT($L$1&amp;"!D"&amp;Q40))</f>
        <v/>
      </c>
      <c r="T40" s="74" t="str">
        <f aca="true">IF(Q40=2,"",INDIRECT($L$1&amp;"!E"&amp;Q40))</f>
        <v/>
      </c>
      <c r="U40" s="74" t="str">
        <f aca="true">IF(Q40=2,"",INDIRECT($L$1&amp;"!F"&amp;Q40))</f>
        <v/>
      </c>
      <c r="V40" s="74"/>
      <c r="W40" s="74"/>
      <c r="X40" s="74"/>
      <c r="Y40" s="74" t="str">
        <f aca="false">IFERROR(__xludf.dummyfunction("IF(W40="""","""",QUERY(Hallazgos!C:I,""SELECT max(H) WHERE E CONTAINS 'Activo:""&amp;W40&amp;""' LABEL max(H) ''""))"),"")</f>
        <v/>
      </c>
      <c r="Z40" s="74"/>
      <c r="AA40" s="74"/>
      <c r="AB40" s="74" t="str">
        <f aca="false">IFERROR(__xludf.dummyfunction("IF(Z40="""","""",QUERY(Hallazgos!C:I,""SELECT max(H) WHERE E CONTAINS 'Alcance:""&amp;Z40&amp;""' LABEL max(H) ''""))"),"")</f>
        <v/>
      </c>
    </row>
    <row r="41" customFormat="false" ht="15.75" hidden="false" customHeight="true" outlineLevel="0" collapsed="false">
      <c r="A41" s="72"/>
      <c r="B41" s="57"/>
      <c r="C41" s="54"/>
      <c r="D41" s="72"/>
      <c r="E41" s="75"/>
      <c r="F41" s="53" t="n">
        <f aca="false">IF(D41&gt;6.9,D41,0)</f>
        <v>0</v>
      </c>
      <c r="G41" s="53" t="n">
        <f aca="false">IF(AND(D41&lt;7,D41&gt;3.9),D41,0)</f>
        <v>0</v>
      </c>
      <c r="H41" s="53" t="n">
        <f aca="false">IF(D41&lt;4,D41,0)</f>
        <v>0</v>
      </c>
      <c r="I41" s="54"/>
      <c r="J41" s="54"/>
      <c r="K41" s="54"/>
      <c r="L41" s="54"/>
      <c r="M41" s="54"/>
      <c r="N41" s="54"/>
      <c r="O41" s="54"/>
      <c r="P41" s="74"/>
      <c r="Q41" s="74" t="n">
        <f aca="true">IFERROR(MATCH(LEFT(P41,8),INDIRECT($L$1&amp;"!A:A"),1),2)</f>
        <v>2</v>
      </c>
      <c r="R41" s="74" t="str">
        <f aca="true">IF(Q41=2,"",INDIRECT($L$1&amp;"!C"&amp;Q41))</f>
        <v/>
      </c>
      <c r="S41" s="74" t="str">
        <f aca="true">IF(Q41=2,"",INDIRECT($L$1&amp;"!D"&amp;Q41))</f>
        <v/>
      </c>
      <c r="T41" s="74" t="str">
        <f aca="true">IF(Q41=2,"",INDIRECT($L$1&amp;"!E"&amp;Q41))</f>
        <v/>
      </c>
      <c r="U41" s="74" t="str">
        <f aca="true">IF(Q41=2,"",INDIRECT($L$1&amp;"!F"&amp;Q41))</f>
        <v/>
      </c>
      <c r="V41" s="74"/>
      <c r="W41" s="74"/>
      <c r="X41" s="74"/>
      <c r="Y41" s="74" t="str">
        <f aca="false">IFERROR(__xludf.dummyfunction("IF(W41="""","""",QUERY(Hallazgos!C:I,""SELECT max(H) WHERE E CONTAINS 'Activo:""&amp;W41&amp;""' LABEL max(H) ''""))"),"")</f>
        <v/>
      </c>
      <c r="Z41" s="74"/>
      <c r="AA41" s="74"/>
      <c r="AB41" s="74" t="str">
        <f aca="false">IFERROR(__xludf.dummyfunction("IF(Z41="""","""",QUERY(Hallazgos!C:I,""SELECT max(H) WHERE E CONTAINS 'Alcance:""&amp;Z41&amp;""' LABEL max(H) ''""))"),"")</f>
        <v/>
      </c>
    </row>
    <row r="42" customFormat="false" ht="15.75" hidden="false" customHeight="true" outlineLevel="0" collapsed="false">
      <c r="A42" s="72"/>
      <c r="B42" s="57"/>
      <c r="C42" s="54"/>
      <c r="D42" s="72"/>
      <c r="E42" s="75"/>
      <c r="F42" s="53" t="n">
        <f aca="false">IF(D42&gt;6.9,D42,0)</f>
        <v>0</v>
      </c>
      <c r="G42" s="53" t="n">
        <f aca="false">IF(AND(D42&lt;7,D42&gt;3.9),D42,0)</f>
        <v>0</v>
      </c>
      <c r="H42" s="53" t="n">
        <f aca="false">IF(D42&lt;4,D42,0)</f>
        <v>0</v>
      </c>
      <c r="I42" s="54"/>
      <c r="J42" s="54"/>
      <c r="K42" s="54"/>
      <c r="L42" s="54"/>
      <c r="M42" s="54"/>
      <c r="N42" s="54"/>
      <c r="O42" s="54"/>
      <c r="P42" s="74"/>
      <c r="Q42" s="74" t="n">
        <f aca="true">IFERROR(MATCH(LEFT(P42,8),INDIRECT($L$1&amp;"!A:A"),1),2)</f>
        <v>2</v>
      </c>
      <c r="R42" s="74" t="str">
        <f aca="true">IF(Q42=2,"",INDIRECT($L$1&amp;"!C"&amp;Q42))</f>
        <v/>
      </c>
      <c r="S42" s="74" t="str">
        <f aca="true">IF(Q42=2,"",INDIRECT($L$1&amp;"!D"&amp;Q42))</f>
        <v/>
      </c>
      <c r="T42" s="74" t="str">
        <f aca="true">IF(Q42=2,"",INDIRECT($L$1&amp;"!E"&amp;Q42))</f>
        <v/>
      </c>
      <c r="U42" s="74" t="str">
        <f aca="true">IF(Q42=2,"",INDIRECT($L$1&amp;"!F"&amp;Q42))</f>
        <v/>
      </c>
      <c r="V42" s="74"/>
      <c r="W42" s="74"/>
      <c r="X42" s="74"/>
      <c r="Y42" s="74" t="str">
        <f aca="false">IFERROR(__xludf.dummyfunction("IF(W42="""","""",QUERY(Hallazgos!C:I,""SELECT max(H) WHERE E CONTAINS 'Activo:""&amp;W42&amp;""' LABEL max(H) ''""))"),"")</f>
        <v/>
      </c>
      <c r="Z42" s="74"/>
      <c r="AA42" s="74"/>
      <c r="AB42" s="74" t="str">
        <f aca="false">IFERROR(__xludf.dummyfunction("IF(Z42="""","""",QUERY(Hallazgos!C:I,""SELECT max(H) WHERE E CONTAINS 'Alcance:""&amp;Z42&amp;""' LABEL max(H) ''""))"),"")</f>
        <v/>
      </c>
    </row>
    <row r="43" customFormat="false" ht="15.75" hidden="false" customHeight="true" outlineLevel="0" collapsed="false">
      <c r="A43" s="72"/>
      <c r="B43" s="57"/>
      <c r="C43" s="54"/>
      <c r="D43" s="72"/>
      <c r="E43" s="75"/>
      <c r="F43" s="53" t="n">
        <f aca="false">IF(D43&gt;6.9,D43,0)</f>
        <v>0</v>
      </c>
      <c r="G43" s="53" t="n">
        <f aca="false">IF(AND(D43&lt;7,D43&gt;3.9),D43,0)</f>
        <v>0</v>
      </c>
      <c r="H43" s="53" t="n">
        <f aca="false">IF(D43&lt;4,D43,0)</f>
        <v>0</v>
      </c>
      <c r="I43" s="54"/>
      <c r="J43" s="54"/>
      <c r="K43" s="54"/>
      <c r="L43" s="54"/>
      <c r="M43" s="54"/>
      <c r="N43" s="54"/>
      <c r="O43" s="54"/>
      <c r="P43" s="74"/>
      <c r="Q43" s="74" t="n">
        <f aca="true">IFERROR(MATCH(LEFT(P43,8),INDIRECT($L$1&amp;"!A:A"),1),2)</f>
        <v>2</v>
      </c>
      <c r="R43" s="74" t="str">
        <f aca="true">IF(Q43=2,"",INDIRECT($L$1&amp;"!C"&amp;Q43))</f>
        <v/>
      </c>
      <c r="S43" s="74" t="str">
        <f aca="true">IF(Q43=2,"",INDIRECT($L$1&amp;"!D"&amp;Q43))</f>
        <v/>
      </c>
      <c r="T43" s="74" t="str">
        <f aca="true">IF(Q43=2,"",INDIRECT($L$1&amp;"!E"&amp;Q43))</f>
        <v/>
      </c>
      <c r="U43" s="74" t="str">
        <f aca="true">IF(Q43=2,"",INDIRECT($L$1&amp;"!F"&amp;Q43))</f>
        <v/>
      </c>
      <c r="V43" s="74"/>
      <c r="W43" s="74"/>
      <c r="X43" s="74"/>
      <c r="Y43" s="74" t="str">
        <f aca="false">IFERROR(__xludf.dummyfunction("IF(W43="""","""",QUERY(Hallazgos!C:I,""SELECT max(H) WHERE E CONTAINS 'Activo:""&amp;W43&amp;""' LABEL max(H) ''""))"),"")</f>
        <v/>
      </c>
      <c r="Z43" s="74"/>
      <c r="AA43" s="74"/>
      <c r="AB43" s="74" t="str">
        <f aca="false">IFERROR(__xludf.dummyfunction("IF(Z43="""","""",QUERY(Hallazgos!C:I,""SELECT max(H) WHERE E CONTAINS 'Alcance:""&amp;Z43&amp;""' LABEL max(H) ''""))"),"")</f>
        <v/>
      </c>
    </row>
    <row r="44" customFormat="false" ht="15.75" hidden="false" customHeight="true" outlineLevel="0" collapsed="false">
      <c r="A44" s="72"/>
      <c r="B44" s="57"/>
      <c r="C44" s="54"/>
      <c r="D44" s="72"/>
      <c r="E44" s="75"/>
      <c r="F44" s="74"/>
      <c r="G44" s="54" t="str">
        <f aca="false">LEFT(F44,3)</f>
        <v/>
      </c>
      <c r="H44" s="54" t="str">
        <f aca="false">LEFT(F44,3)</f>
        <v/>
      </c>
      <c r="I44" s="54"/>
      <c r="J44" s="54"/>
      <c r="K44" s="54"/>
      <c r="L44" s="54"/>
      <c r="M44" s="54"/>
      <c r="N44" s="54"/>
      <c r="O44" s="54"/>
      <c r="P44" s="74"/>
      <c r="Q44" s="74"/>
      <c r="R44" s="74"/>
      <c r="S44" s="74"/>
      <c r="T44" s="74"/>
      <c r="U44" s="74"/>
      <c r="V44" s="74"/>
      <c r="W44" s="74"/>
      <c r="X44" s="74"/>
      <c r="Y44" s="74"/>
      <c r="Z44" s="74"/>
      <c r="AA44" s="74"/>
      <c r="AB44" s="6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6.73"/>
    <col collapsed="false" customWidth="true" hidden="false" outlineLevel="0" max="2" min="2" style="0" width="8.36"/>
    <col collapsed="false" customWidth="true" hidden="false" outlineLevel="0" max="3" min="3" style="0" width="14.6"/>
    <col collapsed="false" customWidth="true" hidden="false" outlineLevel="0" max="4" min="4" style="0" width="15.35"/>
    <col collapsed="false" customWidth="true" hidden="false" outlineLevel="0" max="5" min="5" style="0" width="11.98"/>
    <col collapsed="false" customWidth="true" hidden="false" outlineLevel="0" max="6" min="6" style="0" width="11.23"/>
    <col collapsed="false" customWidth="true" hidden="false" outlineLevel="0" max="7" min="7" style="0" width="2.87"/>
    <col collapsed="false" customWidth="true" hidden="false" outlineLevel="0" max="26" min="8" style="0" width="14.75"/>
    <col collapsed="false" customWidth="true" hidden="false" outlineLevel="0" max="1025" min="27" style="0" width="17.72"/>
  </cols>
  <sheetData>
    <row r="1" customFormat="false" ht="15.75" hidden="false" customHeight="true" outlineLevel="0" collapsed="false">
      <c r="A1" s="80" t="s">
        <v>939</v>
      </c>
      <c r="B1" s="80"/>
      <c r="C1" s="80"/>
      <c r="D1" s="80"/>
      <c r="E1" s="80"/>
      <c r="F1" s="80"/>
      <c r="G1" s="53"/>
    </row>
    <row r="2" customFormat="false" ht="15.75" hidden="false" customHeight="true" outlineLevel="0" collapsed="false">
      <c r="A2" s="81"/>
      <c r="B2" s="81"/>
      <c r="C2" s="81"/>
      <c r="D2" s="81"/>
      <c r="E2" s="81"/>
      <c r="F2" s="81"/>
      <c r="G2" s="53"/>
    </row>
    <row r="3" customFormat="false" ht="15.75" hidden="false" customHeight="true" outlineLevel="0" collapsed="false">
      <c r="A3" s="82" t="s">
        <v>940</v>
      </c>
      <c r="B3" s="82" t="s">
        <v>941</v>
      </c>
      <c r="C3" s="82" t="s">
        <v>942</v>
      </c>
      <c r="D3" s="82"/>
      <c r="E3" s="82"/>
      <c r="F3" s="82"/>
      <c r="G3" s="56"/>
    </row>
    <row r="4" customFormat="false" ht="15.75" hidden="false" customHeight="true" outlineLevel="0" collapsed="false">
      <c r="A4" s="83" t="s">
        <v>943</v>
      </c>
      <c r="B4" s="59" t="s">
        <v>944</v>
      </c>
      <c r="C4" s="83" t="s">
        <v>945</v>
      </c>
      <c r="D4" s="83" t="s">
        <v>946</v>
      </c>
      <c r="E4" s="83" t="s">
        <v>706</v>
      </c>
      <c r="F4" s="83"/>
      <c r="G4" s="56"/>
    </row>
    <row r="5" customFormat="false" ht="15.75" hidden="false" customHeight="true" outlineLevel="0" collapsed="false">
      <c r="A5" s="83" t="s">
        <v>947</v>
      </c>
      <c r="B5" s="59" t="s">
        <v>948</v>
      </c>
      <c r="C5" s="83" t="s">
        <v>709</v>
      </c>
      <c r="D5" s="83" t="s">
        <v>949</v>
      </c>
      <c r="E5" s="83" t="s">
        <v>950</v>
      </c>
      <c r="F5" s="83"/>
      <c r="G5" s="56"/>
    </row>
    <row r="6" customFormat="false" ht="15.75" hidden="false" customHeight="true" outlineLevel="0" collapsed="false">
      <c r="A6" s="83" t="s">
        <v>951</v>
      </c>
      <c r="B6" s="59" t="s">
        <v>952</v>
      </c>
      <c r="C6" s="83" t="s">
        <v>953</v>
      </c>
      <c r="D6" s="83" t="s">
        <v>954</v>
      </c>
      <c r="E6" s="83" t="s">
        <v>711</v>
      </c>
      <c r="F6" s="83"/>
      <c r="G6" s="56"/>
    </row>
    <row r="7" customFormat="false" ht="15.75" hidden="false" customHeight="true" outlineLevel="0" collapsed="false">
      <c r="A7" s="83" t="s">
        <v>955</v>
      </c>
      <c r="B7" s="59" t="s">
        <v>956</v>
      </c>
      <c r="C7" s="83" t="s">
        <v>710</v>
      </c>
      <c r="D7" s="83" t="s">
        <v>957</v>
      </c>
      <c r="E7" s="83" t="s">
        <v>958</v>
      </c>
      <c r="F7" s="83"/>
      <c r="G7" s="56"/>
    </row>
    <row r="8" customFormat="false" ht="15.75" hidden="false" customHeight="true" outlineLevel="0" collapsed="false">
      <c r="A8" s="83" t="s">
        <v>959</v>
      </c>
      <c r="B8" s="59" t="s">
        <v>960</v>
      </c>
      <c r="C8" s="83" t="s">
        <v>710</v>
      </c>
      <c r="D8" s="83" t="s">
        <v>957</v>
      </c>
      <c r="E8" s="83" t="s">
        <v>958</v>
      </c>
      <c r="F8" s="83"/>
      <c r="G8" s="56"/>
    </row>
    <row r="9" customFormat="false" ht="15.75" hidden="false" customHeight="true" outlineLevel="0" collapsed="false">
      <c r="A9" s="83" t="s">
        <v>961</v>
      </c>
      <c r="B9" s="59" t="s">
        <v>962</v>
      </c>
      <c r="C9" s="83" t="s">
        <v>710</v>
      </c>
      <c r="D9" s="83" t="s">
        <v>957</v>
      </c>
      <c r="E9" s="83" t="s">
        <v>958</v>
      </c>
      <c r="F9" s="83"/>
      <c r="G9" s="56"/>
    </row>
    <row r="10" customFormat="false" ht="15.75" hidden="false" customHeight="true" outlineLevel="0" collapsed="false">
      <c r="A10" s="83" t="s">
        <v>963</v>
      </c>
      <c r="B10" s="59" t="s">
        <v>964</v>
      </c>
      <c r="C10" s="83" t="s">
        <v>965</v>
      </c>
      <c r="D10" s="83" t="s">
        <v>966</v>
      </c>
      <c r="E10" s="83" t="s">
        <v>967</v>
      </c>
      <c r="F10" s="83" t="s">
        <v>709</v>
      </c>
      <c r="G10" s="56"/>
    </row>
    <row r="11" customFormat="false" ht="15.75" hidden="false" customHeight="true" outlineLevel="0" collapsed="false">
      <c r="A11" s="83" t="s">
        <v>968</v>
      </c>
      <c r="B11" s="59" t="s">
        <v>969</v>
      </c>
      <c r="C11" s="83" t="s">
        <v>970</v>
      </c>
      <c r="D11" s="83" t="s">
        <v>971</v>
      </c>
      <c r="E11" s="83" t="s">
        <v>972</v>
      </c>
      <c r="F11" s="83" t="s">
        <v>714</v>
      </c>
      <c r="G11" s="56"/>
    </row>
    <row r="12" customFormat="false" ht="15.75" hidden="false" customHeight="true" outlineLevel="0" collapsed="false">
      <c r="A12" s="83" t="s">
        <v>973</v>
      </c>
      <c r="B12" s="59" t="s">
        <v>974</v>
      </c>
      <c r="C12" s="83" t="s">
        <v>975</v>
      </c>
      <c r="D12" s="83" t="s">
        <v>976</v>
      </c>
      <c r="E12" s="83" t="s">
        <v>715</v>
      </c>
      <c r="F12" s="83"/>
      <c r="G12" s="56"/>
    </row>
    <row r="13" customFormat="false" ht="15.75" hidden="false" customHeight="true" outlineLevel="0" collapsed="false">
      <c r="A13" s="43"/>
      <c r="B13" s="43"/>
      <c r="C13" s="43"/>
      <c r="D13" s="43"/>
      <c r="E13" s="43"/>
      <c r="F13" s="43"/>
      <c r="G13" s="53"/>
    </row>
    <row r="14" customFormat="false" ht="15.75" hidden="false" customHeight="true" outlineLevel="0" collapsed="false">
      <c r="A14" s="82" t="s">
        <v>940</v>
      </c>
      <c r="B14" s="82" t="s">
        <v>941</v>
      </c>
      <c r="C14" s="82" t="s">
        <v>942</v>
      </c>
      <c r="D14" s="82"/>
      <c r="E14" s="82"/>
      <c r="F14" s="82"/>
      <c r="G14" s="56"/>
    </row>
    <row r="15" customFormat="false" ht="15.75" hidden="false" customHeight="true" outlineLevel="0" collapsed="false">
      <c r="A15" s="83" t="s">
        <v>977</v>
      </c>
      <c r="B15" s="59" t="s">
        <v>944</v>
      </c>
      <c r="C15" s="59" t="n">
        <v>0.395</v>
      </c>
      <c r="D15" s="59" t="n">
        <v>0.646</v>
      </c>
      <c r="E15" s="59" t="n">
        <v>1</v>
      </c>
      <c r="F15" s="59"/>
      <c r="G15" s="56"/>
    </row>
    <row r="16" customFormat="false" ht="15.75" hidden="false" customHeight="true" outlineLevel="0" collapsed="false">
      <c r="A16" s="83" t="s">
        <v>978</v>
      </c>
      <c r="B16" s="59" t="s">
        <v>948</v>
      </c>
      <c r="C16" s="59" t="n">
        <v>0.35</v>
      </c>
      <c r="D16" s="59" t="n">
        <v>0.61</v>
      </c>
      <c r="E16" s="59" t="n">
        <v>0.71</v>
      </c>
      <c r="F16" s="59"/>
      <c r="G16" s="56"/>
    </row>
    <row r="17" customFormat="false" ht="15.75" hidden="false" customHeight="true" outlineLevel="0" collapsed="false">
      <c r="A17" s="83" t="s">
        <v>979</v>
      </c>
      <c r="B17" s="59" t="s">
        <v>952</v>
      </c>
      <c r="C17" s="59" t="n">
        <v>0.45</v>
      </c>
      <c r="D17" s="59" t="n">
        <v>0.56</v>
      </c>
      <c r="E17" s="59" t="n">
        <v>0.704</v>
      </c>
      <c r="F17" s="59"/>
      <c r="G17" s="56"/>
    </row>
    <row r="18" customFormat="false" ht="15.75" hidden="false" customHeight="true" outlineLevel="0" collapsed="false">
      <c r="A18" s="83" t="s">
        <v>980</v>
      </c>
      <c r="B18" s="59" t="s">
        <v>956</v>
      </c>
      <c r="C18" s="59" t="n">
        <f aca="false">0</f>
        <v>0</v>
      </c>
      <c r="D18" s="59" t="n">
        <f aca="false">0.275</f>
        <v>0.275</v>
      </c>
      <c r="E18" s="59" t="n">
        <f aca="false">0.66</f>
        <v>0.66</v>
      </c>
      <c r="F18" s="59"/>
      <c r="G18" s="56"/>
    </row>
    <row r="19" customFormat="false" ht="15.75" hidden="false" customHeight="true" outlineLevel="0" collapsed="false">
      <c r="A19" s="83" t="s">
        <v>981</v>
      </c>
      <c r="B19" s="59" t="s">
        <v>960</v>
      </c>
      <c r="C19" s="59" t="n">
        <f aca="false">0</f>
        <v>0</v>
      </c>
      <c r="D19" s="59" t="n">
        <f aca="false">0.275</f>
        <v>0.275</v>
      </c>
      <c r="E19" s="59" t="n">
        <f aca="false">0.66</f>
        <v>0.66</v>
      </c>
      <c r="F19" s="59"/>
      <c r="G19" s="56"/>
    </row>
    <row r="20" customFormat="false" ht="15.75" hidden="false" customHeight="true" outlineLevel="0" collapsed="false">
      <c r="A20" s="83" t="s">
        <v>982</v>
      </c>
      <c r="B20" s="59" t="s">
        <v>962</v>
      </c>
      <c r="C20" s="59" t="n">
        <f aca="false">0</f>
        <v>0</v>
      </c>
      <c r="D20" s="59" t="n">
        <f aca="false">0.275</f>
        <v>0.275</v>
      </c>
      <c r="E20" s="59" t="n">
        <f aca="false">0.66</f>
        <v>0.66</v>
      </c>
      <c r="F20" s="59"/>
      <c r="G20" s="56"/>
    </row>
    <row r="21" customFormat="false" ht="15.75" hidden="false" customHeight="true" outlineLevel="0" collapsed="false">
      <c r="A21" s="83" t="s">
        <v>983</v>
      </c>
      <c r="B21" s="59" t="s">
        <v>964</v>
      </c>
      <c r="C21" s="59" t="n">
        <v>0.85</v>
      </c>
      <c r="D21" s="59" t="n">
        <v>0.9</v>
      </c>
      <c r="E21" s="59" t="n">
        <v>0.95</v>
      </c>
      <c r="F21" s="59" t="n">
        <v>1</v>
      </c>
      <c r="G21" s="56"/>
    </row>
    <row r="22" customFormat="false" ht="15.75" hidden="false" customHeight="true" outlineLevel="0" collapsed="false">
      <c r="A22" s="83" t="s">
        <v>984</v>
      </c>
      <c r="B22" s="59" t="s">
        <v>969</v>
      </c>
      <c r="C22" s="59" t="n">
        <v>0.87</v>
      </c>
      <c r="D22" s="59" t="n">
        <v>0.9</v>
      </c>
      <c r="E22" s="59" t="n">
        <v>0.95</v>
      </c>
      <c r="F22" s="59" t="n">
        <v>1</v>
      </c>
      <c r="G22" s="56"/>
    </row>
    <row r="23" customFormat="false" ht="15.75" hidden="false" customHeight="true" outlineLevel="0" collapsed="false">
      <c r="A23" s="83" t="s">
        <v>985</v>
      </c>
      <c r="B23" s="59" t="s">
        <v>974</v>
      </c>
      <c r="C23" s="59" t="n">
        <v>0.9</v>
      </c>
      <c r="D23" s="59" t="n">
        <v>0.95</v>
      </c>
      <c r="E23" s="59" t="n">
        <v>1</v>
      </c>
      <c r="F23" s="59"/>
      <c r="G23" s="56"/>
    </row>
    <row r="24" customFormat="false" ht="15.75" hidden="false" customHeight="true" outlineLevel="0" collapsed="false">
      <c r="A24" s="43"/>
      <c r="B24" s="43"/>
      <c r="C24" s="43"/>
      <c r="D24" s="43"/>
      <c r="E24" s="43"/>
      <c r="F24" s="43"/>
      <c r="G24" s="53"/>
    </row>
    <row r="25" customFormat="false" ht="15.75" hidden="false" customHeight="true" outlineLevel="0" collapsed="false">
      <c r="A25" s="82" t="s">
        <v>940</v>
      </c>
      <c r="B25" s="82" t="s">
        <v>941</v>
      </c>
      <c r="C25" s="82" t="s">
        <v>942</v>
      </c>
      <c r="D25" s="82"/>
      <c r="E25" s="82"/>
      <c r="F25" s="82"/>
      <c r="G25" s="56"/>
    </row>
    <row r="26" customFormat="false" ht="15.75" hidden="false" customHeight="true" outlineLevel="0" collapsed="false">
      <c r="A26" s="83" t="s">
        <v>977</v>
      </c>
      <c r="B26" s="59" t="s">
        <v>944</v>
      </c>
      <c r="C26" s="59" t="s">
        <v>986</v>
      </c>
      <c r="D26" s="59" t="s">
        <v>962</v>
      </c>
      <c r="E26" s="59" t="s">
        <v>987</v>
      </c>
      <c r="F26" s="59"/>
      <c r="G26" s="56"/>
    </row>
    <row r="27" customFormat="false" ht="15.75" hidden="false" customHeight="true" outlineLevel="0" collapsed="false">
      <c r="A27" s="83" t="s">
        <v>978</v>
      </c>
      <c r="B27" s="59" t="s">
        <v>948</v>
      </c>
      <c r="C27" s="59" t="s">
        <v>988</v>
      </c>
      <c r="D27" s="59" t="s">
        <v>989</v>
      </c>
      <c r="E27" s="59" t="s">
        <v>986</v>
      </c>
      <c r="F27" s="59"/>
      <c r="G27" s="56"/>
    </row>
    <row r="28" customFormat="false" ht="15.75" hidden="false" customHeight="true" outlineLevel="0" collapsed="false">
      <c r="A28" s="83" t="s">
        <v>979</v>
      </c>
      <c r="B28" s="59" t="s">
        <v>952</v>
      </c>
      <c r="C28" s="59" t="s">
        <v>989</v>
      </c>
      <c r="D28" s="59" t="s">
        <v>990</v>
      </c>
      <c r="E28" s="59" t="s">
        <v>987</v>
      </c>
      <c r="F28" s="59"/>
      <c r="G28" s="56"/>
    </row>
    <row r="29" customFormat="false" ht="15.75" hidden="false" customHeight="true" outlineLevel="0" collapsed="false">
      <c r="A29" s="83" t="s">
        <v>980</v>
      </c>
      <c r="B29" s="59" t="s">
        <v>956</v>
      </c>
      <c r="C29" s="59" t="s">
        <v>987</v>
      </c>
      <c r="D29" s="59" t="s">
        <v>991</v>
      </c>
      <c r="E29" s="59" t="s">
        <v>956</v>
      </c>
      <c r="F29" s="59"/>
      <c r="G29" s="56"/>
    </row>
    <row r="30" customFormat="false" ht="15.75" hidden="false" customHeight="true" outlineLevel="0" collapsed="false">
      <c r="A30" s="83" t="s">
        <v>981</v>
      </c>
      <c r="B30" s="59" t="s">
        <v>960</v>
      </c>
      <c r="C30" s="59" t="s">
        <v>987</v>
      </c>
      <c r="D30" s="59" t="s">
        <v>991</v>
      </c>
      <c r="E30" s="59" t="s">
        <v>956</v>
      </c>
      <c r="F30" s="59"/>
      <c r="G30" s="56"/>
    </row>
    <row r="31" customFormat="false" ht="15.75" hidden="false" customHeight="true" outlineLevel="0" collapsed="false">
      <c r="A31" s="83" t="s">
        <v>982</v>
      </c>
      <c r="B31" s="59" t="s">
        <v>962</v>
      </c>
      <c r="C31" s="59" t="s">
        <v>987</v>
      </c>
      <c r="D31" s="59" t="s">
        <v>991</v>
      </c>
      <c r="E31" s="59" t="s">
        <v>956</v>
      </c>
      <c r="F31" s="59"/>
      <c r="G31" s="56"/>
    </row>
    <row r="32" customFormat="false" ht="15.75" hidden="false" customHeight="true" outlineLevel="0" collapsed="false">
      <c r="A32" s="83" t="s">
        <v>983</v>
      </c>
      <c r="B32" s="59" t="s">
        <v>964</v>
      </c>
      <c r="C32" s="59" t="s">
        <v>992</v>
      </c>
      <c r="D32" s="59" t="s">
        <v>991</v>
      </c>
      <c r="E32" s="59" t="s">
        <v>993</v>
      </c>
      <c r="F32" s="59" t="s">
        <v>988</v>
      </c>
      <c r="G32" s="56"/>
    </row>
    <row r="33" customFormat="false" ht="15.75" hidden="false" customHeight="true" outlineLevel="0" collapsed="false">
      <c r="A33" s="83" t="s">
        <v>984</v>
      </c>
      <c r="B33" s="59" t="s">
        <v>969</v>
      </c>
      <c r="C33" s="59" t="s">
        <v>994</v>
      </c>
      <c r="D33" s="59" t="s">
        <v>995</v>
      </c>
      <c r="E33" s="59" t="s">
        <v>996</v>
      </c>
      <c r="F33" s="59" t="s">
        <v>992</v>
      </c>
      <c r="G33" s="56"/>
    </row>
    <row r="34" customFormat="false" ht="15.75" hidden="false" customHeight="true" outlineLevel="0" collapsed="false">
      <c r="A34" s="83" t="s">
        <v>985</v>
      </c>
      <c r="B34" s="59" t="s">
        <v>974</v>
      </c>
      <c r="C34" s="59" t="s">
        <v>997</v>
      </c>
      <c r="D34" s="59" t="s">
        <v>998</v>
      </c>
      <c r="E34" s="59" t="s">
        <v>956</v>
      </c>
      <c r="F34" s="59"/>
      <c r="G34" s="56"/>
    </row>
    <row r="35" customFormat="false" ht="15.75" hidden="false" customHeight="true" outlineLevel="0" collapsed="false">
      <c r="A35" s="42"/>
      <c r="B35" s="42"/>
      <c r="C35" s="42"/>
      <c r="D35" s="42"/>
      <c r="E35" s="42"/>
      <c r="F35" s="42"/>
      <c r="G35" s="53"/>
    </row>
  </sheetData>
  <mergeCells count="4">
    <mergeCell ref="A1:F1"/>
    <mergeCell ref="C3:F3"/>
    <mergeCell ref="C14:F14"/>
    <mergeCell ref="C25:F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Z97"/>
  <sheetViews>
    <sheetView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5" zeroHeight="false" outlineLevelRow="0" outlineLevelCol="0"/>
  <cols>
    <col collapsed="false" customWidth="true" hidden="false" outlineLevel="0" max="1" min="1" style="0" width="19.08"/>
    <col collapsed="false" customWidth="true" hidden="false" outlineLevel="0" max="2" min="2" style="0" width="32.7"/>
    <col collapsed="false" customWidth="true" hidden="false" outlineLevel="0" max="3" min="3" style="0" width="37.94"/>
    <col collapsed="false" customWidth="true" hidden="false" outlineLevel="0" max="4" min="4" style="0" width="20.84"/>
    <col collapsed="false" customWidth="true" hidden="false" outlineLevel="0" max="5" min="5" style="0" width="37.69"/>
    <col collapsed="false" customWidth="true" hidden="false" outlineLevel="0" max="6" min="6" style="0" width="18.34"/>
    <col collapsed="false" customWidth="true" hidden="false" outlineLevel="0" max="7" min="7" style="0" width="27.96"/>
    <col collapsed="false" customWidth="true" hidden="false" outlineLevel="0" max="8" min="8" style="0" width="33.7"/>
    <col collapsed="false" customWidth="true" hidden="false" outlineLevel="0" max="9" min="9" style="0" width="32.45"/>
    <col collapsed="false" customWidth="true" hidden="false" outlineLevel="0" max="26" min="10" style="0" width="14.75"/>
    <col collapsed="false" customWidth="true" hidden="false" outlineLevel="0" max="1025" min="27" style="0" width="17.72"/>
  </cols>
  <sheetData>
    <row r="1" customFormat="false" ht="15.75" hidden="false" customHeight="true" outlineLevel="0" collapsed="false">
      <c r="A1" s="84" t="s">
        <v>999</v>
      </c>
      <c r="B1" s="84" t="s">
        <v>1000</v>
      </c>
      <c r="C1" s="84" t="s">
        <v>1001</v>
      </c>
      <c r="D1" s="84" t="s">
        <v>1002</v>
      </c>
      <c r="E1" s="84" t="s">
        <v>1003</v>
      </c>
      <c r="F1" s="84" t="s">
        <v>1004</v>
      </c>
      <c r="G1" s="84" t="s">
        <v>1005</v>
      </c>
      <c r="H1" s="84" t="s">
        <v>1006</v>
      </c>
      <c r="I1" s="84" t="s">
        <v>1007</v>
      </c>
      <c r="J1" s="84" t="s">
        <v>1008</v>
      </c>
      <c r="K1" s="13" t="s">
        <v>915</v>
      </c>
      <c r="L1" s="84" t="s">
        <v>1009</v>
      </c>
      <c r="M1" s="84" t="s">
        <v>1010</v>
      </c>
      <c r="N1" s="84" t="s">
        <v>1011</v>
      </c>
      <c r="O1" s="84" t="s">
        <v>1012</v>
      </c>
      <c r="P1" s="84" t="s">
        <v>1013</v>
      </c>
      <c r="Q1" s="84" t="s">
        <v>1014</v>
      </c>
      <c r="R1" s="84" t="s">
        <v>1015</v>
      </c>
      <c r="S1" s="3"/>
      <c r="T1" s="3"/>
      <c r="U1" s="3"/>
      <c r="V1" s="3"/>
      <c r="W1" s="3"/>
      <c r="X1" s="3"/>
      <c r="Y1" s="3"/>
      <c r="Z1" s="3"/>
    </row>
    <row r="2" customFormat="false" ht="15.75" hidden="false" customHeight="true" outlineLevel="0" collapsed="false">
      <c r="A2" s="3" t="s">
        <v>1016</v>
      </c>
      <c r="B2" s="3" t="s">
        <v>1017</v>
      </c>
      <c r="C2" s="3" t="s">
        <v>1018</v>
      </c>
      <c r="D2" s="3" t="s">
        <v>1019</v>
      </c>
      <c r="E2" s="3" t="s">
        <v>1020</v>
      </c>
      <c r="F2" s="3" t="s">
        <v>1021</v>
      </c>
      <c r="G2" s="3" t="s">
        <v>1022</v>
      </c>
      <c r="H2" s="3" t="s">
        <v>1023</v>
      </c>
      <c r="I2" s="3" t="s">
        <v>1024</v>
      </c>
      <c r="J2" s="3" t="s">
        <v>1025</v>
      </c>
      <c r="K2" s="3" t="s">
        <v>1026</v>
      </c>
      <c r="L2" s="85" t="n">
        <v>1</v>
      </c>
      <c r="M2" s="3" t="s">
        <v>1027</v>
      </c>
      <c r="N2" s="3" t="s">
        <v>1028</v>
      </c>
      <c r="O2" s="3" t="s">
        <v>1029</v>
      </c>
      <c r="P2" s="3" t="s">
        <v>1030</v>
      </c>
      <c r="Q2" s="3" t="s">
        <v>1031</v>
      </c>
      <c r="R2" s="3" t="s">
        <v>1032</v>
      </c>
      <c r="S2" s="3"/>
      <c r="T2" s="3"/>
      <c r="U2" s="3"/>
      <c r="V2" s="3"/>
      <c r="W2" s="3"/>
      <c r="X2" s="3"/>
      <c r="Y2" s="3"/>
      <c r="Z2" s="3"/>
    </row>
    <row r="3" customFormat="false" ht="15.75" hidden="false" customHeight="true" outlineLevel="0" collapsed="false">
      <c r="A3" s="3" t="s">
        <v>1033</v>
      </c>
      <c r="B3" s="3" t="s">
        <v>1034</v>
      </c>
      <c r="C3" s="3" t="s">
        <v>1035</v>
      </c>
      <c r="D3" s="3" t="s">
        <v>352</v>
      </c>
      <c r="E3" s="3" t="s">
        <v>1036</v>
      </c>
      <c r="F3" s="3" t="s">
        <v>1037</v>
      </c>
      <c r="G3" s="3" t="s">
        <v>1038</v>
      </c>
      <c r="H3" s="3" t="s">
        <v>1039</v>
      </c>
      <c r="I3" s="3" t="s">
        <v>1040</v>
      </c>
      <c r="J3" s="3" t="s">
        <v>1041</v>
      </c>
      <c r="K3" s="3" t="s">
        <v>1042</v>
      </c>
      <c r="L3" s="85" t="n">
        <v>2</v>
      </c>
      <c r="M3" s="3" t="s">
        <v>1043</v>
      </c>
      <c r="N3" s="3" t="s">
        <v>1044</v>
      </c>
      <c r="O3" s="3" t="s">
        <v>1045</v>
      </c>
      <c r="P3" s="3" t="s">
        <v>1046</v>
      </c>
      <c r="Q3" s="3" t="s">
        <v>1047</v>
      </c>
      <c r="R3" s="3"/>
      <c r="S3" s="3"/>
      <c r="T3" s="3"/>
      <c r="U3" s="3"/>
      <c r="V3" s="3"/>
      <c r="W3" s="3"/>
      <c r="X3" s="3"/>
      <c r="Y3" s="3"/>
      <c r="Z3" s="3"/>
    </row>
    <row r="4" customFormat="false" ht="15.75" hidden="false" customHeight="true" outlineLevel="0" collapsed="false">
      <c r="A4" s="3" t="s">
        <v>1048</v>
      </c>
      <c r="B4" s="3" t="s">
        <v>1049</v>
      </c>
      <c r="C4" s="3" t="s">
        <v>1050</v>
      </c>
      <c r="D4" s="3" t="s">
        <v>1051</v>
      </c>
      <c r="E4" s="3" t="s">
        <v>1052</v>
      </c>
      <c r="F4" s="3" t="s">
        <v>1053</v>
      </c>
      <c r="G4" s="3" t="s">
        <v>1054</v>
      </c>
      <c r="H4" s="3" t="s">
        <v>352</v>
      </c>
      <c r="I4" s="3" t="s">
        <v>1055</v>
      </c>
      <c r="J4" s="3" t="s">
        <v>1056</v>
      </c>
      <c r="K4" s="3" t="s">
        <v>1057</v>
      </c>
      <c r="L4" s="85" t="n">
        <v>3</v>
      </c>
      <c r="M4" s="3" t="s">
        <v>1058</v>
      </c>
      <c r="N4" s="3" t="s">
        <v>399</v>
      </c>
      <c r="O4" s="3" t="s">
        <v>1059</v>
      </c>
      <c r="P4" s="3" t="s">
        <v>1060</v>
      </c>
      <c r="Q4" s="3" t="s">
        <v>1061</v>
      </c>
      <c r="R4" s="3"/>
      <c r="S4" s="3"/>
      <c r="T4" s="3"/>
      <c r="U4" s="3"/>
      <c r="V4" s="3"/>
      <c r="W4" s="3"/>
      <c r="X4" s="3"/>
      <c r="Y4" s="3"/>
      <c r="Z4" s="3"/>
    </row>
    <row r="5" customFormat="false" ht="15.75" hidden="false" customHeight="true" outlineLevel="0" collapsed="false">
      <c r="A5" s="3" t="s">
        <v>1062</v>
      </c>
      <c r="B5" s="3" t="s">
        <v>1063</v>
      </c>
      <c r="C5" s="3" t="s">
        <v>1064</v>
      </c>
      <c r="D5" s="3" t="s">
        <v>1065</v>
      </c>
      <c r="E5" s="3" t="s">
        <v>1066</v>
      </c>
      <c r="F5" s="3" t="s">
        <v>1067</v>
      </c>
      <c r="G5" s="3" t="s">
        <v>1068</v>
      </c>
      <c r="H5" s="3" t="s">
        <v>1069</v>
      </c>
      <c r="I5" s="3" t="s">
        <v>1068</v>
      </c>
      <c r="J5" s="3"/>
      <c r="K5" s="3" t="s">
        <v>1070</v>
      </c>
      <c r="L5" s="85" t="n">
        <v>4</v>
      </c>
      <c r="M5" s="3" t="s">
        <v>1071</v>
      </c>
      <c r="N5" s="3" t="s">
        <v>1072</v>
      </c>
      <c r="O5" s="3" t="s">
        <v>1073</v>
      </c>
      <c r="P5" s="3" t="s">
        <v>1074</v>
      </c>
      <c r="Q5" s="3" t="s">
        <v>1075</v>
      </c>
      <c r="R5" s="3"/>
      <c r="S5" s="3"/>
      <c r="T5" s="3"/>
      <c r="U5" s="3"/>
      <c r="V5" s="3"/>
      <c r="W5" s="3"/>
      <c r="X5" s="3"/>
      <c r="Y5" s="3"/>
      <c r="Z5" s="3"/>
    </row>
    <row r="6" customFormat="false" ht="15.75" hidden="false" customHeight="true" outlineLevel="0" collapsed="false">
      <c r="A6" s="3" t="s">
        <v>1076</v>
      </c>
      <c r="B6" s="3" t="s">
        <v>1017</v>
      </c>
      <c r="C6" s="3" t="s">
        <v>1077</v>
      </c>
      <c r="D6" s="3" t="s">
        <v>1069</v>
      </c>
      <c r="E6" s="3" t="s">
        <v>1078</v>
      </c>
      <c r="F6" s="3" t="s">
        <v>1079</v>
      </c>
      <c r="G6" s="3" t="s">
        <v>1080</v>
      </c>
      <c r="H6" s="3" t="s">
        <v>1081</v>
      </c>
      <c r="I6" s="86" t="s">
        <v>1082</v>
      </c>
      <c r="J6" s="3"/>
      <c r="K6" s="3" t="s">
        <v>1068</v>
      </c>
      <c r="L6" s="85" t="n">
        <v>5</v>
      </c>
      <c r="M6" s="3" t="s">
        <v>1068</v>
      </c>
      <c r="N6" s="3" t="s">
        <v>44</v>
      </c>
      <c r="O6" s="3" t="s">
        <v>1083</v>
      </c>
      <c r="P6" s="3" t="s">
        <v>1084</v>
      </c>
      <c r="Q6" s="3" t="s">
        <v>1085</v>
      </c>
      <c r="R6" s="3"/>
      <c r="S6" s="3"/>
      <c r="T6" s="3"/>
      <c r="U6" s="3"/>
      <c r="V6" s="3"/>
      <c r="W6" s="3"/>
      <c r="X6" s="3"/>
      <c r="Y6" s="3"/>
      <c r="Z6" s="3"/>
    </row>
    <row r="7" customFormat="false" ht="15.75" hidden="false" customHeight="true" outlineLevel="0" collapsed="false">
      <c r="A7" s="3" t="s">
        <v>1086</v>
      </c>
      <c r="B7" s="3" t="s">
        <v>1087</v>
      </c>
      <c r="C7" s="3" t="s">
        <v>1088</v>
      </c>
      <c r="D7" s="3"/>
      <c r="E7" s="3" t="s">
        <v>1089</v>
      </c>
      <c r="F7" s="3"/>
      <c r="G7" s="3" t="s">
        <v>1090</v>
      </c>
      <c r="H7" s="3"/>
      <c r="I7" s="86" t="s">
        <v>1091</v>
      </c>
      <c r="J7" s="86"/>
      <c r="K7" s="3"/>
      <c r="L7" s="3" t="s">
        <v>1068</v>
      </c>
      <c r="M7" s="3" t="s">
        <v>1092</v>
      </c>
      <c r="N7" s="3" t="s">
        <v>1093</v>
      </c>
      <c r="O7" s="3" t="s">
        <v>1094</v>
      </c>
      <c r="P7" s="3" t="s">
        <v>1095</v>
      </c>
      <c r="Q7" s="3" t="s">
        <v>1096</v>
      </c>
      <c r="R7" s="3"/>
      <c r="S7" s="3"/>
      <c r="T7" s="3"/>
      <c r="U7" s="3"/>
      <c r="V7" s="3"/>
      <c r="W7" s="3"/>
      <c r="X7" s="3"/>
      <c r="Y7" s="3"/>
      <c r="Z7" s="3"/>
    </row>
    <row r="8" customFormat="false" ht="15.75" hidden="false" customHeight="true" outlineLevel="0" collapsed="false">
      <c r="A8" s="3" t="s">
        <v>1097</v>
      </c>
      <c r="B8" s="3" t="s">
        <v>1098</v>
      </c>
      <c r="C8" s="3" t="s">
        <v>1099</v>
      </c>
      <c r="D8" s="3"/>
      <c r="E8" s="3" t="s">
        <v>1100</v>
      </c>
      <c r="F8" s="3"/>
      <c r="G8" s="3" t="s">
        <v>1101</v>
      </c>
      <c r="H8" s="3"/>
      <c r="I8" s="86" t="s">
        <v>1102</v>
      </c>
      <c r="J8" s="86"/>
      <c r="K8" s="3"/>
      <c r="L8" s="3"/>
      <c r="M8" s="3"/>
      <c r="N8" s="3" t="s">
        <v>1103</v>
      </c>
      <c r="O8" s="3" t="s">
        <v>1104</v>
      </c>
      <c r="P8" s="3" t="s">
        <v>1105</v>
      </c>
      <c r="Q8" s="3" t="s">
        <v>1106</v>
      </c>
      <c r="R8" s="3"/>
      <c r="S8" s="3"/>
      <c r="T8" s="3"/>
      <c r="U8" s="3"/>
      <c r="V8" s="3"/>
      <c r="W8" s="3"/>
      <c r="X8" s="3"/>
      <c r="Y8" s="3"/>
      <c r="Z8" s="3"/>
    </row>
    <row r="9" customFormat="false" ht="15.75" hidden="false" customHeight="true" outlineLevel="0" collapsed="false">
      <c r="A9" s="3" t="s">
        <v>1107</v>
      </c>
      <c r="B9" s="3" t="s">
        <v>1108</v>
      </c>
      <c r="C9" s="3" t="s">
        <v>1109</v>
      </c>
      <c r="D9" s="3"/>
      <c r="E9" s="3" t="s">
        <v>1110</v>
      </c>
      <c r="F9" s="3"/>
      <c r="G9" s="3" t="s">
        <v>1111</v>
      </c>
      <c r="H9" s="3"/>
      <c r="I9" s="86" t="s">
        <v>1112</v>
      </c>
      <c r="J9" s="3"/>
      <c r="K9" s="3"/>
      <c r="L9" s="3"/>
      <c r="M9" s="3"/>
      <c r="N9" s="3" t="s">
        <v>1113</v>
      </c>
      <c r="O9" s="3" t="s">
        <v>1114</v>
      </c>
      <c r="P9" s="3" t="s">
        <v>1115</v>
      </c>
      <c r="Q9" s="3" t="s">
        <v>1116</v>
      </c>
      <c r="R9" s="3"/>
      <c r="S9" s="3"/>
      <c r="T9" s="3"/>
      <c r="U9" s="3"/>
      <c r="V9" s="3"/>
      <c r="W9" s="3"/>
      <c r="X9" s="3"/>
      <c r="Y9" s="3"/>
      <c r="Z9" s="3"/>
    </row>
    <row r="10" customFormat="false" ht="15.75" hidden="false" customHeight="true" outlineLevel="0" collapsed="false">
      <c r="A10" s="3" t="s">
        <v>1117</v>
      </c>
      <c r="B10" s="3" t="s">
        <v>1118</v>
      </c>
      <c r="C10" s="3" t="s">
        <v>1119</v>
      </c>
      <c r="D10" s="3"/>
      <c r="E10" s="3" t="s">
        <v>1120</v>
      </c>
      <c r="F10" s="3"/>
      <c r="G10" s="3" t="s">
        <v>1121</v>
      </c>
      <c r="H10" s="3"/>
      <c r="I10" s="86" t="s">
        <v>1122</v>
      </c>
      <c r="J10" s="86"/>
      <c r="K10" s="86"/>
      <c r="L10" s="86"/>
      <c r="M10" s="3"/>
      <c r="N10" s="3" t="s">
        <v>1123</v>
      </c>
      <c r="O10" s="3" t="s">
        <v>1124</v>
      </c>
      <c r="P10" s="3" t="s">
        <v>1125</v>
      </c>
      <c r="Q10" s="3" t="s">
        <v>1126</v>
      </c>
      <c r="R10" s="3"/>
      <c r="S10" s="3"/>
      <c r="T10" s="3"/>
      <c r="U10" s="3"/>
      <c r="V10" s="3"/>
      <c r="W10" s="3"/>
      <c r="X10" s="3"/>
      <c r="Y10" s="3"/>
      <c r="Z10" s="3"/>
    </row>
    <row r="11" customFormat="false" ht="15.75" hidden="false" customHeight="true" outlineLevel="0" collapsed="false">
      <c r="A11" s="3" t="s">
        <v>1127</v>
      </c>
      <c r="B11" s="3" t="s">
        <v>1069</v>
      </c>
      <c r="C11" s="3" t="s">
        <v>1128</v>
      </c>
      <c r="D11" s="3"/>
      <c r="E11" s="3" t="s">
        <v>1129</v>
      </c>
      <c r="F11" s="3"/>
      <c r="G11" s="3" t="s">
        <v>1130</v>
      </c>
      <c r="H11" s="3"/>
      <c r="I11" s="86" t="s">
        <v>1131</v>
      </c>
      <c r="J11" s="3"/>
      <c r="K11" s="3"/>
      <c r="L11" s="3"/>
      <c r="M11" s="3"/>
      <c r="N11" s="3" t="s">
        <v>55</v>
      </c>
      <c r="O11" s="3" t="s">
        <v>1132</v>
      </c>
      <c r="P11" s="3" t="s">
        <v>1133</v>
      </c>
      <c r="Q11" s="3"/>
      <c r="R11" s="3"/>
      <c r="S11" s="3"/>
      <c r="T11" s="3"/>
      <c r="U11" s="3"/>
      <c r="V11" s="3"/>
      <c r="W11" s="3"/>
      <c r="X11" s="3"/>
      <c r="Y11" s="3"/>
      <c r="Z11" s="3"/>
    </row>
    <row r="12" customFormat="false" ht="15.75" hidden="false" customHeight="true" outlineLevel="0" collapsed="false">
      <c r="A12" s="3"/>
      <c r="B12" s="3" t="s">
        <v>1134</v>
      </c>
      <c r="C12" s="3" t="s">
        <v>1135</v>
      </c>
      <c r="D12" s="3"/>
      <c r="E12" s="3" t="s">
        <v>1136</v>
      </c>
      <c r="F12" s="3"/>
      <c r="G12" s="3"/>
      <c r="H12" s="3"/>
      <c r="I12" s="3" t="s">
        <v>132</v>
      </c>
      <c r="J12" s="3"/>
      <c r="K12" s="3"/>
      <c r="L12" s="3"/>
      <c r="M12" s="3"/>
      <c r="N12" s="3" t="s">
        <v>1137</v>
      </c>
      <c r="O12" s="3" t="s">
        <v>1138</v>
      </c>
      <c r="P12" s="3" t="s">
        <v>1139</v>
      </c>
      <c r="Q12" s="3"/>
      <c r="R12" s="3"/>
      <c r="S12" s="3"/>
      <c r="T12" s="3"/>
      <c r="U12" s="3"/>
      <c r="V12" s="3"/>
      <c r="W12" s="3"/>
      <c r="X12" s="3"/>
      <c r="Y12" s="3"/>
      <c r="Z12" s="3"/>
    </row>
    <row r="13" customFormat="false" ht="15.75" hidden="false" customHeight="true" outlineLevel="0" collapsed="false">
      <c r="A13" s="3"/>
      <c r="B13" s="3" t="s">
        <v>1140</v>
      </c>
      <c r="C13" s="3" t="s">
        <v>1141</v>
      </c>
      <c r="D13" s="3"/>
      <c r="E13" s="3" t="s">
        <v>1142</v>
      </c>
      <c r="F13" s="3"/>
      <c r="G13" s="3"/>
      <c r="H13" s="3"/>
      <c r="I13" s="86" t="s">
        <v>1143</v>
      </c>
      <c r="J13" s="3"/>
      <c r="K13" s="3"/>
      <c r="L13" s="3"/>
      <c r="M13" s="3"/>
      <c r="N13" s="3" t="s">
        <v>1144</v>
      </c>
      <c r="O13" s="3" t="s">
        <v>1145</v>
      </c>
      <c r="P13" s="3" t="s">
        <v>1146</v>
      </c>
      <c r="Q13" s="3"/>
      <c r="R13" s="3"/>
      <c r="S13" s="3"/>
      <c r="T13" s="3"/>
      <c r="U13" s="3"/>
      <c r="V13" s="3"/>
      <c r="W13" s="3"/>
      <c r="X13" s="3"/>
      <c r="Y13" s="3"/>
      <c r="Z13" s="3"/>
    </row>
    <row r="14" customFormat="false" ht="15.75" hidden="false" customHeight="true" outlineLevel="0" collapsed="false">
      <c r="A14" s="3"/>
      <c r="B14" s="3"/>
      <c r="C14" s="3" t="s">
        <v>1048</v>
      </c>
      <c r="D14" s="3"/>
      <c r="E14" s="3" t="s">
        <v>1147</v>
      </c>
      <c r="F14" s="3"/>
      <c r="G14" s="3"/>
      <c r="H14" s="3"/>
      <c r="I14" s="86" t="s">
        <v>1148</v>
      </c>
      <c r="J14" s="3"/>
      <c r="K14" s="3"/>
      <c r="L14" s="3"/>
      <c r="M14" s="3"/>
      <c r="N14" s="3" t="s">
        <v>1</v>
      </c>
      <c r="O14" s="3"/>
      <c r="P14" s="3" t="s">
        <v>1149</v>
      </c>
      <c r="Q14" s="3"/>
      <c r="R14" s="3"/>
      <c r="S14" s="3"/>
      <c r="T14" s="3"/>
      <c r="U14" s="3"/>
      <c r="V14" s="3"/>
      <c r="W14" s="3"/>
      <c r="X14" s="3"/>
      <c r="Y14" s="3"/>
      <c r="Z14" s="3"/>
    </row>
    <row r="15" customFormat="false" ht="15.75" hidden="false" customHeight="true" outlineLevel="0" collapsed="false">
      <c r="A15" s="3"/>
      <c r="B15" s="3"/>
      <c r="C15" s="3" t="s">
        <v>1150</v>
      </c>
      <c r="D15" s="3"/>
      <c r="E15" s="3" t="s">
        <v>1151</v>
      </c>
      <c r="F15" s="3"/>
      <c r="G15" s="3"/>
      <c r="H15" s="3"/>
      <c r="I15" s="86" t="s">
        <v>1152</v>
      </c>
      <c r="J15" s="86"/>
      <c r="K15" s="3"/>
      <c r="L15" s="3"/>
      <c r="M15" s="3"/>
      <c r="N15" s="3" t="s">
        <v>1153</v>
      </c>
      <c r="O15" s="3"/>
      <c r="P15" s="3" t="s">
        <v>1154</v>
      </c>
      <c r="Q15" s="3"/>
      <c r="R15" s="3"/>
      <c r="S15" s="3"/>
      <c r="T15" s="3"/>
      <c r="U15" s="3"/>
      <c r="V15" s="3"/>
      <c r="W15" s="3"/>
      <c r="X15" s="3"/>
      <c r="Y15" s="3"/>
      <c r="Z15" s="3"/>
    </row>
    <row r="16" customFormat="false" ht="15.75" hidden="false" customHeight="true" outlineLevel="0" collapsed="false">
      <c r="A16" s="3"/>
      <c r="B16" s="3"/>
      <c r="C16" s="3" t="s">
        <v>1155</v>
      </c>
      <c r="D16" s="3"/>
      <c r="E16" s="3"/>
      <c r="F16" s="3"/>
      <c r="G16" s="3"/>
      <c r="H16" s="3"/>
      <c r="I16" s="3"/>
      <c r="J16" s="3"/>
      <c r="K16" s="3"/>
      <c r="L16" s="3"/>
      <c r="M16" s="3"/>
      <c r="N16" s="3" t="s">
        <v>1156</v>
      </c>
      <c r="O16" s="3"/>
      <c r="P16" s="3" t="s">
        <v>1157</v>
      </c>
      <c r="Q16" s="3"/>
      <c r="R16" s="3"/>
      <c r="S16" s="3"/>
      <c r="T16" s="3"/>
      <c r="U16" s="3"/>
      <c r="V16" s="3"/>
      <c r="W16" s="3"/>
      <c r="X16" s="3"/>
      <c r="Y16" s="3"/>
      <c r="Z16" s="3"/>
    </row>
    <row r="17" customFormat="false" ht="15.75" hidden="false" customHeight="true" outlineLevel="0" collapsed="false">
      <c r="A17" s="3"/>
      <c r="B17" s="3"/>
      <c r="C17" s="3" t="s">
        <v>1158</v>
      </c>
      <c r="D17" s="3"/>
      <c r="E17" s="3"/>
      <c r="F17" s="3"/>
      <c r="G17" s="3"/>
      <c r="H17" s="3"/>
      <c r="I17" s="3"/>
      <c r="J17" s="3"/>
      <c r="K17" s="3"/>
      <c r="L17" s="3"/>
      <c r="M17" s="3"/>
      <c r="N17" s="3"/>
      <c r="O17" s="3"/>
      <c r="P17" s="3" t="s">
        <v>1159</v>
      </c>
      <c r="Q17" s="3"/>
      <c r="R17" s="3"/>
      <c r="S17" s="3"/>
      <c r="T17" s="3"/>
      <c r="U17" s="3"/>
      <c r="V17" s="3"/>
      <c r="W17" s="3"/>
      <c r="X17" s="3"/>
      <c r="Y17" s="3"/>
      <c r="Z17" s="3"/>
    </row>
    <row r="18" customFormat="false" ht="15.75" hidden="false" customHeight="true" outlineLevel="0" collapsed="false">
      <c r="A18" s="3"/>
      <c r="B18" s="3"/>
      <c r="C18" s="3" t="s">
        <v>1160</v>
      </c>
      <c r="D18" s="3"/>
      <c r="E18" s="3"/>
      <c r="F18" s="3"/>
      <c r="G18" s="3"/>
      <c r="H18" s="3"/>
      <c r="I18" s="3"/>
      <c r="J18" s="3"/>
      <c r="K18" s="3"/>
      <c r="L18" s="3"/>
      <c r="M18" s="3"/>
      <c r="N18" s="3"/>
      <c r="O18" s="3"/>
      <c r="P18" s="3" t="s">
        <v>1161</v>
      </c>
      <c r="Q18" s="3"/>
      <c r="R18" s="3"/>
      <c r="S18" s="3"/>
      <c r="T18" s="3"/>
      <c r="U18" s="3"/>
      <c r="V18" s="3"/>
      <c r="W18" s="3"/>
      <c r="X18" s="3"/>
      <c r="Y18" s="3"/>
      <c r="Z18" s="3"/>
    </row>
    <row r="19" customFormat="false" ht="15.75" hidden="false" customHeight="true" outlineLevel="0" collapsed="false">
      <c r="A19" s="3"/>
      <c r="B19" s="3"/>
      <c r="C19" s="3" t="s">
        <v>1162</v>
      </c>
      <c r="D19" s="3"/>
      <c r="E19" s="3"/>
      <c r="F19" s="3"/>
      <c r="G19" s="3"/>
      <c r="H19" s="3"/>
      <c r="I19" s="3"/>
      <c r="J19" s="3"/>
      <c r="K19" s="3"/>
      <c r="L19" s="3"/>
      <c r="M19" s="3"/>
      <c r="N19" s="3"/>
      <c r="O19" s="3"/>
      <c r="P19" s="3" t="s">
        <v>1163</v>
      </c>
      <c r="Q19" s="3"/>
      <c r="R19" s="3"/>
      <c r="S19" s="3"/>
      <c r="T19" s="3"/>
      <c r="U19" s="3"/>
      <c r="V19" s="3"/>
      <c r="W19" s="3"/>
      <c r="X19" s="3"/>
      <c r="Y19" s="3"/>
      <c r="Z19" s="3"/>
    </row>
    <row r="20" customFormat="false" ht="15.75" hidden="false" customHeight="true" outlineLevel="0" collapsed="false">
      <c r="A20" s="3"/>
      <c r="B20" s="3"/>
      <c r="C20" s="3" t="s">
        <v>1069</v>
      </c>
      <c r="D20" s="3"/>
      <c r="E20" s="3"/>
      <c r="F20" s="3"/>
      <c r="G20" s="3"/>
      <c r="H20" s="3"/>
      <c r="I20" s="3"/>
      <c r="J20" s="3"/>
      <c r="K20" s="3"/>
      <c r="L20" s="3"/>
      <c r="M20" s="3"/>
      <c r="N20" s="3"/>
      <c r="O20" s="3"/>
      <c r="P20" s="3" t="s">
        <v>1164</v>
      </c>
      <c r="Q20" s="3"/>
      <c r="R20" s="3"/>
      <c r="S20" s="3"/>
      <c r="T20" s="3"/>
      <c r="U20" s="3"/>
      <c r="V20" s="3"/>
      <c r="W20" s="3"/>
      <c r="X20" s="3"/>
      <c r="Y20" s="3"/>
      <c r="Z20" s="3"/>
    </row>
    <row r="21" customFormat="false" ht="15.75" hidden="false" customHeight="true" outlineLevel="0" collapsed="false">
      <c r="A21" s="3"/>
      <c r="B21" s="3"/>
      <c r="C21" s="3" t="s">
        <v>1165</v>
      </c>
      <c r="D21" s="3"/>
      <c r="E21" s="3"/>
      <c r="F21" s="3"/>
      <c r="G21" s="3"/>
      <c r="H21" s="3"/>
      <c r="I21" s="3"/>
      <c r="J21" s="3"/>
      <c r="K21" s="3"/>
      <c r="L21" s="3"/>
      <c r="M21" s="3"/>
      <c r="N21" s="3"/>
      <c r="O21" s="3"/>
      <c r="P21" s="3" t="s">
        <v>1166</v>
      </c>
      <c r="Q21" s="3"/>
      <c r="R21" s="3"/>
      <c r="S21" s="3"/>
      <c r="T21" s="3"/>
      <c r="U21" s="3"/>
      <c r="V21" s="3"/>
      <c r="W21" s="3"/>
      <c r="X21" s="3"/>
      <c r="Y21" s="3"/>
      <c r="Z21" s="3"/>
    </row>
    <row r="22" customFormat="false" ht="15.75" hidden="false" customHeight="true" outlineLevel="0" collapsed="false">
      <c r="A22" s="3"/>
      <c r="B22" s="3"/>
      <c r="C22" s="3" t="s">
        <v>1076</v>
      </c>
      <c r="D22" s="3"/>
      <c r="E22" s="3"/>
      <c r="F22" s="3"/>
      <c r="G22" s="3"/>
      <c r="H22" s="3"/>
      <c r="I22" s="3"/>
      <c r="J22" s="3"/>
      <c r="K22" s="3"/>
      <c r="L22" s="3"/>
      <c r="M22" s="3"/>
      <c r="N22" s="3"/>
      <c r="O22" s="3"/>
      <c r="P22" s="86" t="s">
        <v>1167</v>
      </c>
      <c r="Q22" s="86"/>
      <c r="R22" s="3"/>
      <c r="S22" s="3"/>
      <c r="T22" s="3"/>
      <c r="U22" s="3"/>
      <c r="V22" s="3"/>
      <c r="W22" s="3"/>
      <c r="X22" s="3"/>
      <c r="Y22" s="3"/>
      <c r="Z22" s="3"/>
    </row>
    <row r="23" customFormat="false" ht="15.75" hidden="false" customHeight="true" outlineLevel="0" collapsed="false">
      <c r="A23" s="3"/>
      <c r="B23" s="3"/>
      <c r="C23" s="3" t="s">
        <v>1168</v>
      </c>
      <c r="D23" s="3"/>
      <c r="E23" s="3"/>
      <c r="F23" s="3"/>
      <c r="G23" s="3"/>
      <c r="H23" s="3"/>
      <c r="I23" s="3"/>
      <c r="J23" s="3"/>
      <c r="K23" s="3"/>
      <c r="L23" s="3"/>
      <c r="M23" s="3"/>
      <c r="N23" s="3"/>
      <c r="O23" s="3"/>
      <c r="P23" s="86" t="s">
        <v>1169</v>
      </c>
      <c r="Q23" s="3"/>
      <c r="R23" s="3"/>
      <c r="S23" s="3"/>
      <c r="T23" s="3"/>
      <c r="U23" s="3"/>
      <c r="V23" s="3"/>
      <c r="W23" s="3"/>
      <c r="X23" s="3"/>
      <c r="Y23" s="3"/>
      <c r="Z23" s="3"/>
    </row>
    <row r="24" customFormat="false" ht="15.75" hidden="false" customHeight="true" outlineLevel="0" collapsed="false">
      <c r="A24" s="3"/>
      <c r="B24" s="3"/>
      <c r="C24" s="3" t="s">
        <v>1170</v>
      </c>
      <c r="D24" s="3"/>
      <c r="E24" s="3"/>
      <c r="F24" s="3"/>
      <c r="G24" s="3"/>
      <c r="H24" s="3"/>
      <c r="I24" s="3"/>
      <c r="J24" s="3"/>
      <c r="K24" s="3"/>
      <c r="L24" s="3"/>
      <c r="M24" s="3"/>
      <c r="N24" s="3"/>
      <c r="O24" s="3"/>
      <c r="P24" s="3" t="s">
        <v>1171</v>
      </c>
      <c r="Q24" s="3"/>
      <c r="R24" s="3"/>
      <c r="S24" s="3"/>
      <c r="T24" s="3"/>
      <c r="U24" s="3"/>
      <c r="V24" s="3"/>
      <c r="W24" s="3"/>
      <c r="X24" s="3"/>
      <c r="Y24" s="3"/>
      <c r="Z24" s="3"/>
    </row>
    <row r="25" customFormat="false" ht="15.75" hidden="false" customHeight="true" outlineLevel="0" collapsed="false">
      <c r="A25" s="3"/>
      <c r="B25" s="3"/>
      <c r="C25" s="3" t="s">
        <v>1172</v>
      </c>
      <c r="D25" s="3"/>
      <c r="E25" s="3"/>
      <c r="F25" s="3"/>
      <c r="G25" s="3"/>
      <c r="H25" s="3"/>
      <c r="I25" s="3"/>
      <c r="J25" s="3"/>
      <c r="K25" s="3"/>
      <c r="L25" s="3"/>
      <c r="M25" s="3"/>
      <c r="N25" s="3"/>
      <c r="O25" s="3"/>
      <c r="P25" s="3" t="s">
        <v>1173</v>
      </c>
      <c r="Q25" s="3"/>
      <c r="R25" s="3"/>
      <c r="S25" s="3"/>
      <c r="T25" s="3"/>
      <c r="U25" s="3"/>
      <c r="V25" s="3"/>
      <c r="W25" s="3"/>
      <c r="X25" s="3"/>
      <c r="Y25" s="3"/>
      <c r="Z25" s="3"/>
    </row>
    <row r="26" customFormat="false" ht="15.75" hidden="false" customHeight="true" outlineLevel="0" collapsed="false">
      <c r="A26" s="3"/>
      <c r="B26" s="3"/>
      <c r="C26" s="3" t="s">
        <v>1174</v>
      </c>
      <c r="D26" s="3"/>
      <c r="E26" s="3"/>
      <c r="F26" s="3"/>
      <c r="G26" s="3"/>
      <c r="H26" s="3"/>
      <c r="I26" s="3"/>
      <c r="J26" s="3"/>
      <c r="K26" s="3"/>
      <c r="L26" s="3"/>
      <c r="M26" s="3"/>
      <c r="N26" s="3"/>
      <c r="O26" s="3"/>
      <c r="P26" s="3" t="s">
        <v>1175</v>
      </c>
      <c r="Q26" s="3"/>
      <c r="R26" s="3"/>
      <c r="S26" s="3"/>
      <c r="T26" s="3"/>
      <c r="U26" s="3"/>
      <c r="V26" s="3"/>
      <c r="W26" s="3"/>
      <c r="X26" s="3"/>
      <c r="Y26" s="3"/>
      <c r="Z26" s="3"/>
    </row>
    <row r="27" customFormat="false" ht="15.75" hidden="false" customHeight="true" outlineLevel="0" collapsed="false">
      <c r="A27" s="3"/>
      <c r="B27" s="3"/>
      <c r="C27" s="3" t="s">
        <v>1176</v>
      </c>
      <c r="D27" s="3"/>
      <c r="E27" s="3"/>
      <c r="F27" s="3"/>
      <c r="G27" s="3"/>
      <c r="H27" s="3"/>
      <c r="I27" s="3"/>
      <c r="J27" s="3"/>
      <c r="K27" s="3"/>
      <c r="L27" s="3"/>
      <c r="M27" s="3"/>
      <c r="N27" s="3"/>
      <c r="O27" s="3"/>
      <c r="P27" s="3" t="s">
        <v>1177</v>
      </c>
      <c r="Q27" s="3"/>
      <c r="R27" s="3"/>
      <c r="S27" s="3"/>
      <c r="T27" s="3"/>
      <c r="U27" s="3"/>
      <c r="V27" s="3"/>
      <c r="W27" s="3"/>
      <c r="X27" s="3"/>
      <c r="Y27" s="3"/>
      <c r="Z27" s="3"/>
    </row>
    <row r="28" customFormat="false" ht="15.75" hidden="false" customHeight="true" outlineLevel="0" collapsed="false">
      <c r="A28" s="3"/>
      <c r="B28" s="3"/>
      <c r="C28" s="3" t="s">
        <v>1153</v>
      </c>
      <c r="D28" s="3"/>
      <c r="E28" s="3"/>
      <c r="F28" s="3"/>
      <c r="G28" s="3"/>
      <c r="H28" s="3"/>
      <c r="I28" s="3"/>
      <c r="J28" s="3"/>
      <c r="K28" s="3"/>
      <c r="L28" s="3"/>
      <c r="M28" s="3"/>
      <c r="N28" s="3"/>
      <c r="O28" s="3"/>
      <c r="P28" s="3" t="s">
        <v>1178</v>
      </c>
      <c r="Q28" s="3"/>
      <c r="R28" s="3"/>
      <c r="S28" s="3"/>
      <c r="T28" s="3"/>
      <c r="U28" s="3"/>
      <c r="V28" s="3"/>
      <c r="W28" s="3"/>
      <c r="X28" s="3"/>
      <c r="Y28" s="3"/>
      <c r="Z28" s="3"/>
    </row>
    <row r="29" customFormat="false" ht="15.75" hidden="false" customHeight="true" outlineLevel="0" collapsed="false">
      <c r="A29" s="3"/>
      <c r="B29" s="3"/>
      <c r="C29" s="86" t="s">
        <v>1179</v>
      </c>
      <c r="D29" s="3"/>
      <c r="E29" s="3"/>
      <c r="F29" s="3"/>
      <c r="G29" s="3"/>
      <c r="H29" s="3"/>
      <c r="I29" s="3"/>
      <c r="J29" s="3"/>
      <c r="K29" s="3"/>
      <c r="L29" s="3"/>
      <c r="M29" s="3"/>
      <c r="N29" s="3"/>
      <c r="O29" s="3"/>
      <c r="P29" s="3" t="s">
        <v>1180</v>
      </c>
      <c r="Q29" s="3"/>
      <c r="R29" s="3"/>
      <c r="S29" s="3"/>
      <c r="T29" s="3"/>
      <c r="U29" s="3"/>
      <c r="V29" s="3"/>
      <c r="W29" s="3"/>
      <c r="X29" s="3"/>
      <c r="Y29" s="3"/>
      <c r="Z29" s="3"/>
    </row>
    <row r="30" customFormat="false" ht="15.75" hidden="false" customHeight="true" outlineLevel="0" collapsed="false">
      <c r="A30" s="3"/>
      <c r="B30" s="3"/>
      <c r="C30" s="3" t="s">
        <v>1181</v>
      </c>
      <c r="D30" s="3"/>
      <c r="E30" s="3"/>
      <c r="F30" s="3"/>
      <c r="G30" s="3"/>
      <c r="H30" s="3"/>
      <c r="I30" s="3"/>
      <c r="J30" s="3"/>
      <c r="K30" s="3"/>
      <c r="L30" s="3"/>
      <c r="M30" s="3"/>
      <c r="N30" s="3"/>
      <c r="O30" s="3"/>
      <c r="P30" s="3" t="s">
        <v>1182</v>
      </c>
      <c r="Q30" s="3"/>
      <c r="R30" s="3"/>
      <c r="S30" s="3"/>
      <c r="T30" s="3"/>
      <c r="U30" s="3"/>
      <c r="V30" s="3"/>
      <c r="W30" s="3"/>
      <c r="X30" s="3"/>
      <c r="Y30" s="3"/>
      <c r="Z30" s="3"/>
    </row>
    <row r="31" customFormat="false" ht="15.75" hidden="false" customHeight="true" outlineLevel="0" collapsed="false">
      <c r="A31" s="3"/>
      <c r="B31" s="3"/>
      <c r="C31" s="3" t="s">
        <v>1183</v>
      </c>
      <c r="D31" s="3"/>
      <c r="E31" s="3"/>
      <c r="F31" s="3"/>
      <c r="G31" s="3"/>
      <c r="H31" s="3"/>
      <c r="I31" s="3"/>
      <c r="J31" s="3"/>
      <c r="K31" s="3"/>
      <c r="L31" s="3"/>
      <c r="M31" s="3"/>
      <c r="N31" s="3"/>
      <c r="O31" s="3"/>
      <c r="P31" s="86" t="s">
        <v>1184</v>
      </c>
      <c r="Q31" s="3"/>
      <c r="R31" s="3"/>
      <c r="S31" s="3"/>
      <c r="T31" s="3"/>
      <c r="U31" s="3"/>
      <c r="V31" s="3"/>
      <c r="W31" s="3"/>
      <c r="X31" s="3"/>
      <c r="Y31" s="3"/>
      <c r="Z31" s="3"/>
    </row>
    <row r="32" customFormat="false" ht="15.75" hidden="false" customHeight="true" outlineLevel="0" collapsed="false">
      <c r="A32" s="3"/>
      <c r="B32" s="3"/>
      <c r="C32" s="3" t="s">
        <v>1185</v>
      </c>
      <c r="D32" s="3"/>
      <c r="E32" s="3"/>
      <c r="F32" s="3"/>
      <c r="G32" s="3"/>
      <c r="H32" s="3"/>
      <c r="I32" s="3"/>
      <c r="J32" s="3"/>
      <c r="K32" s="3"/>
      <c r="L32" s="3"/>
      <c r="M32" s="3"/>
      <c r="N32" s="3"/>
      <c r="O32" s="3"/>
      <c r="P32" s="3" t="s">
        <v>1186</v>
      </c>
      <c r="Q32" s="3"/>
      <c r="R32" s="3"/>
      <c r="S32" s="3"/>
      <c r="T32" s="3"/>
      <c r="U32" s="3"/>
      <c r="V32" s="3"/>
      <c r="W32" s="3"/>
      <c r="X32" s="3"/>
      <c r="Y32" s="3"/>
      <c r="Z32" s="3"/>
    </row>
    <row r="33" customFormat="false" ht="15.75" hidden="false" customHeight="true" outlineLevel="0" collapsed="false">
      <c r="A33" s="3"/>
      <c r="B33" s="3"/>
      <c r="C33" s="3" t="s">
        <v>1187</v>
      </c>
      <c r="D33" s="3"/>
      <c r="E33" s="3"/>
      <c r="F33" s="3"/>
      <c r="G33" s="3"/>
      <c r="H33" s="3"/>
      <c r="I33" s="3"/>
      <c r="J33" s="3"/>
      <c r="K33" s="3"/>
      <c r="L33" s="3"/>
      <c r="M33" s="3"/>
      <c r="N33" s="3"/>
      <c r="O33" s="3"/>
      <c r="P33" s="3" t="s">
        <v>1188</v>
      </c>
      <c r="Q33" s="3"/>
      <c r="R33" s="3"/>
      <c r="S33" s="3"/>
      <c r="T33" s="3"/>
      <c r="U33" s="3"/>
      <c r="V33" s="3"/>
      <c r="W33" s="3"/>
      <c r="X33" s="3"/>
      <c r="Y33" s="3"/>
      <c r="Z33" s="3"/>
    </row>
    <row r="34" customFormat="false" ht="15.75" hidden="false" customHeight="true" outlineLevel="0" collapsed="false">
      <c r="A34" s="3"/>
      <c r="B34" s="3"/>
      <c r="C34" s="3" t="s">
        <v>1189</v>
      </c>
      <c r="D34" s="3"/>
      <c r="E34" s="3"/>
      <c r="F34" s="3"/>
      <c r="G34" s="3"/>
      <c r="H34" s="3"/>
      <c r="I34" s="3"/>
      <c r="J34" s="3"/>
      <c r="K34" s="3"/>
      <c r="L34" s="3"/>
      <c r="M34" s="3"/>
      <c r="N34" s="3"/>
      <c r="O34" s="3"/>
      <c r="P34" s="3" t="s">
        <v>1190</v>
      </c>
      <c r="Q34" s="3"/>
      <c r="R34" s="3"/>
      <c r="S34" s="3"/>
      <c r="T34" s="3"/>
      <c r="U34" s="3"/>
      <c r="V34" s="3"/>
      <c r="W34" s="3"/>
      <c r="X34" s="3"/>
      <c r="Y34" s="3"/>
      <c r="Z34" s="3"/>
    </row>
    <row r="35" customFormat="false" ht="15.75" hidden="false" customHeight="true" outlineLevel="0" collapsed="false">
      <c r="A35" s="3"/>
      <c r="B35" s="3"/>
      <c r="C35" s="3" t="s">
        <v>1191</v>
      </c>
      <c r="D35" s="3"/>
      <c r="E35" s="3"/>
      <c r="F35" s="3"/>
      <c r="G35" s="3"/>
      <c r="H35" s="3"/>
      <c r="I35" s="3"/>
      <c r="J35" s="3"/>
      <c r="K35" s="3"/>
      <c r="L35" s="3"/>
      <c r="M35" s="3"/>
      <c r="N35" s="3"/>
      <c r="O35" s="3"/>
      <c r="P35" s="3" t="s">
        <v>1192</v>
      </c>
      <c r="Q35" s="3"/>
      <c r="R35" s="3"/>
      <c r="S35" s="3"/>
      <c r="T35" s="3"/>
      <c r="U35" s="3"/>
      <c r="V35" s="3"/>
      <c r="W35" s="3"/>
      <c r="X35" s="3"/>
      <c r="Y35" s="3"/>
      <c r="Z35" s="3"/>
    </row>
    <row r="36" customFormat="false" ht="15.75" hidden="false" customHeight="true" outlineLevel="0" collapsed="false">
      <c r="A36" s="3"/>
      <c r="B36" s="3"/>
      <c r="C36" s="3" t="s">
        <v>1193</v>
      </c>
      <c r="D36" s="3"/>
      <c r="E36" s="3"/>
      <c r="F36" s="3"/>
      <c r="G36" s="3"/>
      <c r="H36" s="3"/>
      <c r="I36" s="3"/>
      <c r="J36" s="3"/>
      <c r="K36" s="3"/>
      <c r="L36" s="3"/>
      <c r="M36" s="3"/>
      <c r="N36" s="3"/>
      <c r="O36" s="3"/>
      <c r="P36" s="3" t="s">
        <v>1194</v>
      </c>
      <c r="Q36" s="3"/>
      <c r="R36" s="3"/>
      <c r="S36" s="3"/>
      <c r="T36" s="3"/>
      <c r="U36" s="3"/>
      <c r="V36" s="3"/>
      <c r="W36" s="3"/>
      <c r="X36" s="3"/>
      <c r="Y36" s="3"/>
      <c r="Z36" s="3"/>
    </row>
    <row r="37" customFormat="false" ht="15.75" hidden="false" customHeight="true" outlineLevel="0" collapsed="false">
      <c r="A37" s="3"/>
      <c r="B37" s="3"/>
      <c r="C37" s="3" t="s">
        <v>1195</v>
      </c>
      <c r="D37" s="3"/>
      <c r="E37" s="3"/>
      <c r="F37" s="3"/>
      <c r="G37" s="3"/>
      <c r="H37" s="3"/>
      <c r="I37" s="3"/>
      <c r="J37" s="3"/>
      <c r="K37" s="3"/>
      <c r="L37" s="3"/>
      <c r="M37" s="3"/>
      <c r="N37" s="3"/>
      <c r="O37" s="3"/>
      <c r="P37" s="3" t="s">
        <v>1196</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1197</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1198</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1199</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1200</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1201</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1202</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1203</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1204</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1205</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1206</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1207</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1208</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1209</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1210</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1211</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1212</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1213</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1214</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1215</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1216</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1217</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1218</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1219</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1220</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1221</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1222</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1223</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1224</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1225</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1226</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1227</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1228</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1229</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1230</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1231</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1232</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1233</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1234</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1235</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1236</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1237</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1238</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1239</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1240</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1241</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1242</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1243</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1244</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1245</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1246</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1247</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1248</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1249</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1250</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1251</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1252</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1253</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1254</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1255</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1256</v>
      </c>
      <c r="Q97" s="3"/>
      <c r="R97" s="3"/>
      <c r="S97" s="3"/>
      <c r="T97" s="3"/>
      <c r="U97" s="3"/>
      <c r="V97" s="3"/>
      <c r="W97" s="3"/>
      <c r="X97" s="3"/>
      <c r="Y97" s="3"/>
      <c r="Z9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5" zeroHeight="false" outlineLevelRow="0" outlineLevelCol="0"/>
  <cols>
    <col collapsed="false" customWidth="true" hidden="false" outlineLevel="0" max="1" min="1" style="0" width="32.24"/>
    <col collapsed="false" customWidth="true" hidden="false" outlineLevel="0" max="2" min="2" style="0" width="10.65"/>
    <col collapsed="false" customWidth="true" hidden="false" outlineLevel="0" max="3" min="3" style="0" width="12.88"/>
    <col collapsed="false" customWidth="true" hidden="false" outlineLevel="0" max="4" min="4" style="0" width="15.98"/>
    <col collapsed="false" customWidth="true" hidden="false" outlineLevel="0" max="5" min="5" style="0" width="21.49"/>
    <col collapsed="false" customWidth="true" hidden="false" outlineLevel="0" max="6" min="6" style="0" width="13.14"/>
    <col collapsed="false" customWidth="true" hidden="false" outlineLevel="0" max="1025" min="7" style="0" width="10.65"/>
  </cols>
  <sheetData>
    <row r="1" customFormat="false" ht="17.35" hidden="false" customHeight="false" outlineLevel="0" collapsed="false">
      <c r="A1" s="80" t="s">
        <v>939</v>
      </c>
      <c r="B1" s="80"/>
      <c r="C1" s="80"/>
      <c r="D1" s="80"/>
      <c r="E1" s="80"/>
      <c r="F1" s="80"/>
    </row>
    <row r="2" customFormat="false" ht="15" hidden="false" customHeight="false" outlineLevel="0" collapsed="false">
      <c r="A2" s="81"/>
      <c r="B2" s="81"/>
      <c r="C2" s="81"/>
      <c r="D2" s="81"/>
      <c r="E2" s="81"/>
      <c r="F2" s="81"/>
    </row>
    <row r="3" customFormat="false" ht="15" hidden="false" customHeight="false" outlineLevel="0" collapsed="false">
      <c r="A3" s="82" t="s">
        <v>940</v>
      </c>
      <c r="B3" s="82" t="s">
        <v>941</v>
      </c>
      <c r="C3" s="82" t="s">
        <v>942</v>
      </c>
      <c r="D3" s="82"/>
      <c r="E3" s="82"/>
      <c r="F3" s="82"/>
    </row>
    <row r="4" customFormat="false" ht="15" hidden="false" customHeight="false" outlineLevel="0" collapsed="false">
      <c r="A4" s="87" t="s">
        <v>1257</v>
      </c>
      <c r="B4" s="59" t="s">
        <v>944</v>
      </c>
      <c r="C4" s="88" t="s">
        <v>706</v>
      </c>
      <c r="D4" s="88" t="s">
        <v>946</v>
      </c>
      <c r="E4" s="88" t="s">
        <v>945</v>
      </c>
      <c r="F4" s="88" t="s">
        <v>1258</v>
      </c>
    </row>
    <row r="5" customFormat="false" ht="15" hidden="false" customHeight="false" outlineLevel="0" collapsed="false">
      <c r="A5" s="88" t="s">
        <v>1259</v>
      </c>
      <c r="B5" s="59" t="s">
        <v>948</v>
      </c>
      <c r="C5" s="88" t="s">
        <v>950</v>
      </c>
      <c r="D5" s="88" t="s">
        <v>709</v>
      </c>
      <c r="E5" s="89"/>
      <c r="F5" s="89"/>
    </row>
    <row r="6" customFormat="false" ht="15" hidden="false" customHeight="false" outlineLevel="0" collapsed="false">
      <c r="A6" s="88" t="s">
        <v>1260</v>
      </c>
      <c r="B6" s="59" t="s">
        <v>1261</v>
      </c>
      <c r="C6" s="88" t="s">
        <v>710</v>
      </c>
      <c r="D6" s="88" t="s">
        <v>1262</v>
      </c>
      <c r="E6" s="88" t="s">
        <v>713</v>
      </c>
      <c r="F6" s="89"/>
    </row>
    <row r="7" customFormat="false" ht="15" hidden="false" customHeight="false" outlineLevel="0" collapsed="false">
      <c r="A7" s="88" t="s">
        <v>1263</v>
      </c>
      <c r="B7" s="59" t="s">
        <v>1264</v>
      </c>
      <c r="C7" s="88" t="s">
        <v>711</v>
      </c>
      <c r="D7" s="88" t="s">
        <v>1265</v>
      </c>
      <c r="E7" s="89"/>
      <c r="F7" s="89"/>
    </row>
    <row r="8" customFormat="false" ht="15" hidden="false" customHeight="false" outlineLevel="0" collapsed="false">
      <c r="A8" s="88" t="s">
        <v>1266</v>
      </c>
      <c r="B8" s="59" t="s">
        <v>990</v>
      </c>
      <c r="C8" s="88" t="s">
        <v>1267</v>
      </c>
      <c r="D8" s="88" t="s">
        <v>712</v>
      </c>
      <c r="E8" s="89"/>
      <c r="F8" s="89"/>
    </row>
    <row r="9" customFormat="false" ht="15" hidden="false" customHeight="false" outlineLevel="0" collapsed="false">
      <c r="A9" s="88" t="s">
        <v>955</v>
      </c>
      <c r="B9" s="59" t="s">
        <v>956</v>
      </c>
      <c r="C9" s="88" t="s">
        <v>713</v>
      </c>
      <c r="D9" s="88" t="s">
        <v>1262</v>
      </c>
      <c r="E9" s="88" t="s">
        <v>710</v>
      </c>
      <c r="F9" s="89"/>
    </row>
    <row r="10" customFormat="false" ht="15" hidden="false" customHeight="false" outlineLevel="0" collapsed="false">
      <c r="A10" s="88" t="s">
        <v>959</v>
      </c>
      <c r="B10" s="59" t="s">
        <v>960</v>
      </c>
      <c r="C10" s="88" t="s">
        <v>713</v>
      </c>
      <c r="D10" s="88" t="s">
        <v>1262</v>
      </c>
      <c r="E10" s="88" t="s">
        <v>710</v>
      </c>
      <c r="F10" s="89"/>
    </row>
    <row r="11" customFormat="false" ht="15" hidden="false" customHeight="false" outlineLevel="0" collapsed="false">
      <c r="A11" s="88" t="s">
        <v>961</v>
      </c>
      <c r="B11" s="59" t="s">
        <v>962</v>
      </c>
      <c r="C11" s="88" t="s">
        <v>713</v>
      </c>
      <c r="D11" s="88" t="s">
        <v>1262</v>
      </c>
      <c r="E11" s="88" t="s">
        <v>710</v>
      </c>
      <c r="F11" s="89"/>
    </row>
    <row r="12" customFormat="false" ht="15" hidden="false" customHeight="false" outlineLevel="0" collapsed="false">
      <c r="A12" s="88" t="s">
        <v>963</v>
      </c>
      <c r="B12" s="59" t="s">
        <v>964</v>
      </c>
      <c r="C12" s="88" t="s">
        <v>709</v>
      </c>
      <c r="D12" s="88" t="s">
        <v>967</v>
      </c>
      <c r="E12" s="88" t="s">
        <v>1268</v>
      </c>
      <c r="F12" s="88" t="s">
        <v>1269</v>
      </c>
    </row>
    <row r="13" customFormat="false" ht="15" hidden="false" customHeight="false" outlineLevel="0" collapsed="false">
      <c r="A13" s="88" t="s">
        <v>968</v>
      </c>
      <c r="B13" s="59" t="s">
        <v>969</v>
      </c>
      <c r="C13" s="88" t="s">
        <v>714</v>
      </c>
      <c r="D13" s="88" t="s">
        <v>972</v>
      </c>
      <c r="E13" s="88" t="s">
        <v>971</v>
      </c>
      <c r="F13" s="88" t="s">
        <v>970</v>
      </c>
    </row>
    <row r="14" customFormat="false" ht="15" hidden="false" customHeight="false" outlineLevel="0" collapsed="false">
      <c r="A14" s="88" t="s">
        <v>1270</v>
      </c>
      <c r="B14" s="59" t="s">
        <v>974</v>
      </c>
      <c r="C14" s="88" t="s">
        <v>715</v>
      </c>
      <c r="D14" s="88" t="s">
        <v>1271</v>
      </c>
      <c r="E14" s="88" t="s">
        <v>1272</v>
      </c>
      <c r="F14" s="89"/>
    </row>
    <row r="15" customFormat="false" ht="15" hidden="false" customHeight="false" outlineLevel="0" collapsed="false">
      <c r="A15" s="43"/>
      <c r="B15" s="43"/>
      <c r="C15" s="43"/>
      <c r="D15" s="43"/>
      <c r="E15" s="43"/>
      <c r="F15" s="43"/>
    </row>
    <row r="16" customFormat="false" ht="15" hidden="false" customHeight="false" outlineLevel="0" collapsed="false">
      <c r="A16" s="82" t="s">
        <v>940</v>
      </c>
      <c r="B16" s="82" t="s">
        <v>941</v>
      </c>
      <c r="C16" s="82" t="s">
        <v>942</v>
      </c>
      <c r="D16" s="82"/>
      <c r="E16" s="82"/>
      <c r="F16" s="82"/>
    </row>
    <row r="17" customFormat="false" ht="15" hidden="false" customHeight="false" outlineLevel="0" collapsed="false">
      <c r="A17" s="90" t="s">
        <v>1273</v>
      </c>
      <c r="B17" s="59" t="s">
        <v>944</v>
      </c>
      <c r="C17" s="91" t="n">
        <v>0.85</v>
      </c>
      <c r="D17" s="91" t="n">
        <v>0.62</v>
      </c>
      <c r="E17" s="91" t="n">
        <v>0.55</v>
      </c>
      <c r="F17" s="91" t="n">
        <v>0.2</v>
      </c>
    </row>
    <row r="18" customFormat="false" ht="15" hidden="false" customHeight="false" outlineLevel="0" collapsed="false">
      <c r="A18" s="90" t="s">
        <v>1274</v>
      </c>
      <c r="B18" s="59" t="s">
        <v>948</v>
      </c>
      <c r="C18" s="91" t="n">
        <v>0.77</v>
      </c>
      <c r="D18" s="91" t="n">
        <v>0.44</v>
      </c>
      <c r="E18" s="92"/>
      <c r="F18" s="92"/>
    </row>
    <row r="19" customFormat="false" ht="15" hidden="false" customHeight="false" outlineLevel="0" collapsed="false">
      <c r="A19" s="90" t="s">
        <v>1275</v>
      </c>
      <c r="B19" s="59" t="s">
        <v>1261</v>
      </c>
      <c r="C19" s="91" t="n">
        <v>0.85</v>
      </c>
      <c r="D19" s="91" t="n">
        <v>0.62</v>
      </c>
      <c r="E19" s="91" t="n">
        <v>0.27</v>
      </c>
      <c r="F19" s="92"/>
    </row>
    <row r="20" customFormat="false" ht="15" hidden="false" customHeight="false" outlineLevel="0" collapsed="false">
      <c r="A20" s="90" t="s">
        <v>1276</v>
      </c>
      <c r="B20" s="59" t="s">
        <v>1264</v>
      </c>
      <c r="C20" s="91" t="n">
        <v>0.85</v>
      </c>
      <c r="D20" s="91" t="n">
        <v>0.62</v>
      </c>
      <c r="E20" s="92"/>
      <c r="F20" s="92"/>
    </row>
    <row r="21" customFormat="false" ht="15" hidden="false" customHeight="false" outlineLevel="0" collapsed="false">
      <c r="A21" s="90" t="s">
        <v>1277</v>
      </c>
      <c r="B21" s="59" t="s">
        <v>990</v>
      </c>
      <c r="C21" s="91" t="n">
        <v>0</v>
      </c>
      <c r="D21" s="91" t="n">
        <v>1</v>
      </c>
      <c r="E21" s="92"/>
      <c r="F21" s="92"/>
    </row>
    <row r="22" customFormat="false" ht="15" hidden="false" customHeight="false" outlineLevel="0" collapsed="false">
      <c r="A22" s="90" t="s">
        <v>1278</v>
      </c>
      <c r="B22" s="59" t="s">
        <v>956</v>
      </c>
      <c r="C22" s="91" t="n">
        <v>0.56</v>
      </c>
      <c r="D22" s="91" t="n">
        <v>0.22</v>
      </c>
      <c r="E22" s="91" t="n">
        <v>0</v>
      </c>
      <c r="F22" s="92"/>
    </row>
    <row r="23" customFormat="false" ht="15" hidden="false" customHeight="false" outlineLevel="0" collapsed="false">
      <c r="A23" s="90" t="s">
        <v>1279</v>
      </c>
      <c r="B23" s="59" t="s">
        <v>960</v>
      </c>
      <c r="C23" s="91" t="n">
        <v>0.56</v>
      </c>
      <c r="D23" s="91" t="n">
        <v>0.22</v>
      </c>
      <c r="E23" s="91" t="n">
        <v>0</v>
      </c>
      <c r="F23" s="92"/>
    </row>
    <row r="24" customFormat="false" ht="15" hidden="false" customHeight="false" outlineLevel="0" collapsed="false">
      <c r="A24" s="90" t="s">
        <v>1280</v>
      </c>
      <c r="B24" s="59" t="s">
        <v>962</v>
      </c>
      <c r="C24" s="91" t="n">
        <v>0.56</v>
      </c>
      <c r="D24" s="91" t="n">
        <v>0.22</v>
      </c>
      <c r="E24" s="91" t="n">
        <v>0</v>
      </c>
      <c r="F24" s="92"/>
    </row>
    <row r="25" customFormat="false" ht="15" hidden="false" customHeight="false" outlineLevel="0" collapsed="false">
      <c r="A25" s="90" t="s">
        <v>983</v>
      </c>
      <c r="B25" s="59" t="s">
        <v>964</v>
      </c>
      <c r="C25" s="91" t="n">
        <v>1</v>
      </c>
      <c r="D25" s="91" t="n">
        <v>0.97</v>
      </c>
      <c r="E25" s="91" t="n">
        <v>0.94</v>
      </c>
      <c r="F25" s="91" t="n">
        <v>0.91</v>
      </c>
    </row>
    <row r="26" customFormat="false" ht="15" hidden="false" customHeight="false" outlineLevel="0" collapsed="false">
      <c r="A26" s="90" t="s">
        <v>984</v>
      </c>
      <c r="B26" s="59" t="s">
        <v>969</v>
      </c>
      <c r="C26" s="91" t="n">
        <v>1</v>
      </c>
      <c r="D26" s="91" t="n">
        <v>0.97</v>
      </c>
      <c r="E26" s="91" t="n">
        <v>0.96</v>
      </c>
      <c r="F26" s="91" t="n">
        <v>0.95</v>
      </c>
    </row>
    <row r="27" customFormat="false" ht="15" hidden="false" customHeight="false" outlineLevel="0" collapsed="false">
      <c r="A27" s="90" t="s">
        <v>985</v>
      </c>
      <c r="B27" s="59" t="s">
        <v>974</v>
      </c>
      <c r="C27" s="91" t="n">
        <v>1</v>
      </c>
      <c r="D27" s="91" t="n">
        <v>0.96</v>
      </c>
      <c r="E27" s="91" t="n">
        <v>0.92</v>
      </c>
      <c r="F27" s="92"/>
    </row>
    <row r="28" customFormat="false" ht="15" hidden="false" customHeight="false" outlineLevel="0" collapsed="false">
      <c r="A28" s="43"/>
      <c r="B28" s="43"/>
      <c r="C28" s="43"/>
      <c r="D28" s="43"/>
      <c r="E28" s="43"/>
      <c r="F28" s="43"/>
    </row>
    <row r="29" customFormat="false" ht="15" hidden="false" customHeight="false" outlineLevel="0" collapsed="false">
      <c r="A29" s="82" t="s">
        <v>940</v>
      </c>
      <c r="B29" s="82" t="s">
        <v>941</v>
      </c>
      <c r="C29" s="82" t="s">
        <v>942</v>
      </c>
      <c r="D29" s="82"/>
      <c r="E29" s="82"/>
      <c r="F29" s="82"/>
    </row>
    <row r="30" customFormat="false" ht="15" hidden="false" customHeight="false" outlineLevel="0" collapsed="false">
      <c r="A30" s="90" t="s">
        <v>1273</v>
      </c>
      <c r="B30" s="59" t="s">
        <v>944</v>
      </c>
      <c r="C30" s="59" t="s">
        <v>987</v>
      </c>
      <c r="D30" s="59" t="s">
        <v>962</v>
      </c>
      <c r="E30" s="59" t="s">
        <v>986</v>
      </c>
      <c r="F30" s="59" t="s">
        <v>991</v>
      </c>
    </row>
    <row r="31" customFormat="false" ht="15" hidden="false" customHeight="false" outlineLevel="0" collapsed="false">
      <c r="A31" s="90" t="s">
        <v>1274</v>
      </c>
      <c r="B31" s="59" t="s">
        <v>948</v>
      </c>
      <c r="C31" s="59" t="s">
        <v>986</v>
      </c>
      <c r="D31" s="59" t="s">
        <v>988</v>
      </c>
      <c r="E31" s="59"/>
      <c r="F31" s="59"/>
    </row>
    <row r="32" customFormat="false" ht="15" hidden="false" customHeight="false" outlineLevel="0" collapsed="false">
      <c r="A32" s="90" t="s">
        <v>1275</v>
      </c>
      <c r="B32" s="59" t="s">
        <v>1261</v>
      </c>
      <c r="C32" s="59" t="s">
        <v>987</v>
      </c>
      <c r="D32" s="59" t="s">
        <v>986</v>
      </c>
      <c r="E32" s="59" t="s">
        <v>988</v>
      </c>
      <c r="F32" s="59"/>
    </row>
    <row r="33" customFormat="false" ht="15" hidden="false" customHeight="false" outlineLevel="0" collapsed="false">
      <c r="A33" s="90" t="s">
        <v>1276</v>
      </c>
      <c r="B33" s="59" t="s">
        <v>1264</v>
      </c>
      <c r="C33" s="59" t="s">
        <v>987</v>
      </c>
      <c r="D33" s="59" t="s">
        <v>1281</v>
      </c>
      <c r="E33" s="59"/>
      <c r="F33" s="59"/>
    </row>
    <row r="34" customFormat="false" ht="15" hidden="false" customHeight="false" outlineLevel="0" collapsed="false">
      <c r="A34" s="90" t="s">
        <v>1277</v>
      </c>
      <c r="B34" s="59" t="s">
        <v>990</v>
      </c>
      <c r="C34" s="59" t="s">
        <v>992</v>
      </c>
      <c r="D34" s="59" t="s">
        <v>956</v>
      </c>
      <c r="E34" s="59"/>
      <c r="F34" s="59"/>
    </row>
    <row r="35" customFormat="false" ht="15" hidden="false" customHeight="false" outlineLevel="0" collapsed="false">
      <c r="A35" s="90" t="s">
        <v>1278</v>
      </c>
      <c r="B35" s="59" t="s">
        <v>956</v>
      </c>
      <c r="C35" s="59" t="s">
        <v>988</v>
      </c>
      <c r="D35" s="59" t="s">
        <v>986</v>
      </c>
      <c r="E35" s="59" t="s">
        <v>987</v>
      </c>
      <c r="F35" s="59"/>
    </row>
    <row r="36" customFormat="false" ht="15" hidden="false" customHeight="false" outlineLevel="0" collapsed="false">
      <c r="A36" s="90" t="s">
        <v>1279</v>
      </c>
      <c r="B36" s="59" t="s">
        <v>960</v>
      </c>
      <c r="C36" s="59" t="s">
        <v>988</v>
      </c>
      <c r="D36" s="59" t="s">
        <v>986</v>
      </c>
      <c r="E36" s="59" t="s">
        <v>987</v>
      </c>
      <c r="F36" s="59"/>
    </row>
    <row r="37" customFormat="false" ht="15" hidden="false" customHeight="false" outlineLevel="0" collapsed="false">
      <c r="A37" s="90" t="s">
        <v>1280</v>
      </c>
      <c r="B37" s="59" t="s">
        <v>962</v>
      </c>
      <c r="C37" s="59" t="s">
        <v>988</v>
      </c>
      <c r="D37" s="59" t="s">
        <v>986</v>
      </c>
      <c r="E37" s="59" t="s">
        <v>987</v>
      </c>
      <c r="F37" s="59"/>
    </row>
    <row r="38" customFormat="false" ht="15" hidden="false" customHeight="false" outlineLevel="0" collapsed="false">
      <c r="A38" s="90" t="s">
        <v>983</v>
      </c>
      <c r="B38" s="59" t="s">
        <v>964</v>
      </c>
      <c r="C38" s="59" t="s">
        <v>988</v>
      </c>
      <c r="D38" s="59" t="s">
        <v>993</v>
      </c>
      <c r="E38" s="59" t="s">
        <v>991</v>
      </c>
      <c r="F38" s="59" t="s">
        <v>992</v>
      </c>
    </row>
    <row r="39" customFormat="false" ht="15" hidden="false" customHeight="false" outlineLevel="0" collapsed="false">
      <c r="A39" s="90" t="s">
        <v>984</v>
      </c>
      <c r="B39" s="59" t="s">
        <v>969</v>
      </c>
      <c r="C39" s="59" t="s">
        <v>992</v>
      </c>
      <c r="D39" s="59" t="s">
        <v>996</v>
      </c>
      <c r="E39" s="59" t="s">
        <v>995</v>
      </c>
      <c r="F39" s="59" t="s">
        <v>1282</v>
      </c>
    </row>
    <row r="40" customFormat="false" ht="15" hidden="false" customHeight="false" outlineLevel="0" collapsed="false">
      <c r="A40" s="90" t="s">
        <v>985</v>
      </c>
      <c r="B40" s="59" t="s">
        <v>974</v>
      </c>
      <c r="C40" s="59" t="s">
        <v>956</v>
      </c>
      <c r="D40" s="59" t="s">
        <v>1281</v>
      </c>
      <c r="E40" s="59" t="s">
        <v>992</v>
      </c>
      <c r="F40" s="59"/>
    </row>
  </sheetData>
  <mergeCells count="4">
    <mergeCell ref="A1:F1"/>
    <mergeCell ref="C3:F3"/>
    <mergeCell ref="C16:F16"/>
    <mergeCell ref="C29:F2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2019-03-18T09:06:49Z</dcterms:modified>
  <cp:revision>39</cp:revision>
  <dc:subject/>
  <dc:title/>
</cp:coreProperties>
</file>