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sd\Desktop\"/>
    </mc:Choice>
  </mc:AlternateContent>
  <xr:revisionPtr revIDLastSave="0" documentId="13_ncr:1_{7280DB19-1854-49FF-A20D-329403854B8D}" xr6:coauthVersionLast="43" xr6:coauthVersionMax="43" xr10:uidLastSave="{00000000-0000-0000-0000-000000000000}"/>
  <bookViews>
    <workbookView xWindow="-120" yWindow="-120" windowWidth="20730" windowHeight="11160" tabRatio="500" activeTab="1" xr2:uid="{00000000-000D-0000-FFFF-FFFF00000000}"/>
  </bookViews>
  <sheets>
    <sheet name="Findings" sheetId="1" r:id="rId1"/>
    <sheet name="MatrizQC" sheetId="2" r:id="rId2"/>
    <sheet name="CriterioBancolombia" sheetId="3" state="hidden" r:id="rId3"/>
    <sheet name="C_Activos" sheetId="4" state="hidden" r:id="rId4"/>
    <sheet name="CamposSeleccionQC" sheetId="5" state="hidden" r:id="rId5"/>
    <sheet name="CVSSv3" sheetId="6" state="hidden" r:id="rId6"/>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4" i="4" l="1"/>
  <c r="G44" i="4"/>
  <c r="AB43" i="4"/>
  <c r="Y43" i="4"/>
  <c r="H43" i="4"/>
  <c r="G43" i="4"/>
  <c r="F43" i="4"/>
  <c r="AB42" i="4"/>
  <c r="Y42" i="4"/>
  <c r="H42" i="4"/>
  <c r="G42" i="4"/>
  <c r="F42" i="4"/>
  <c r="AB41" i="4"/>
  <c r="Y41" i="4"/>
  <c r="H41" i="4"/>
  <c r="G41" i="4"/>
  <c r="F41" i="4"/>
  <c r="AB40" i="4"/>
  <c r="Y40" i="4"/>
  <c r="H40" i="4"/>
  <c r="G40" i="4"/>
  <c r="F40" i="4"/>
  <c r="AB39" i="4"/>
  <c r="Y39" i="4"/>
  <c r="H39" i="4"/>
  <c r="G39" i="4"/>
  <c r="F39" i="4"/>
  <c r="AB38" i="4"/>
  <c r="Y38" i="4"/>
  <c r="H38" i="4"/>
  <c r="G38" i="4"/>
  <c r="F38" i="4"/>
  <c r="AB37" i="4"/>
  <c r="Y37" i="4"/>
  <c r="H37" i="4"/>
  <c r="G37" i="4"/>
  <c r="F37" i="4"/>
  <c r="AB36" i="4"/>
  <c r="Y36" i="4"/>
  <c r="H36" i="4"/>
  <c r="G36" i="4"/>
  <c r="F36" i="4"/>
  <c r="AB35" i="4"/>
  <c r="Y35" i="4"/>
  <c r="H35" i="4"/>
  <c r="G35" i="4"/>
  <c r="F35" i="4"/>
  <c r="AB34" i="4"/>
  <c r="Y34" i="4"/>
  <c r="H34" i="4"/>
  <c r="G34" i="4"/>
  <c r="F34" i="4"/>
  <c r="AB33" i="4"/>
  <c r="Y33" i="4"/>
  <c r="H33" i="4"/>
  <c r="G33" i="4"/>
  <c r="F33" i="4"/>
  <c r="AB32" i="4"/>
  <c r="Y32" i="4"/>
  <c r="H32" i="4"/>
  <c r="G32" i="4"/>
  <c r="F32" i="4"/>
  <c r="AB31" i="4"/>
  <c r="Y31" i="4"/>
  <c r="H31" i="4"/>
  <c r="G31" i="4"/>
  <c r="F31" i="4"/>
  <c r="AB30" i="4"/>
  <c r="Y30" i="4"/>
  <c r="H30" i="4"/>
  <c r="G30" i="4"/>
  <c r="F30" i="4"/>
  <c r="AB29" i="4"/>
  <c r="Y29" i="4"/>
  <c r="H29" i="4"/>
  <c r="G29" i="4"/>
  <c r="F29" i="4"/>
  <c r="AB28" i="4"/>
  <c r="Y28" i="4"/>
  <c r="H28" i="4"/>
  <c r="G28" i="4"/>
  <c r="F28" i="4"/>
  <c r="AB27" i="4"/>
  <c r="Y27" i="4"/>
  <c r="H27" i="4"/>
  <c r="G27" i="4"/>
  <c r="F27" i="4"/>
  <c r="AB26" i="4"/>
  <c r="Y26" i="4"/>
  <c r="H26" i="4"/>
  <c r="G26" i="4"/>
  <c r="F26" i="4"/>
  <c r="AB25" i="4"/>
  <c r="Y25" i="4"/>
  <c r="L25" i="4"/>
  <c r="H25" i="4"/>
  <c r="D25" i="4"/>
  <c r="G25" i="4" s="1"/>
  <c r="A25" i="4"/>
  <c r="AB24" i="4"/>
  <c r="Y24" i="4"/>
  <c r="L24" i="4"/>
  <c r="AB23" i="4"/>
  <c r="Y23" i="4"/>
  <c r="L23" i="4"/>
  <c r="H23" i="4"/>
  <c r="G23" i="4"/>
  <c r="AB22" i="4"/>
  <c r="Y22" i="4"/>
  <c r="L22" i="4"/>
  <c r="H22" i="4"/>
  <c r="G22" i="4"/>
  <c r="F22" i="4"/>
  <c r="AB21" i="4"/>
  <c r="Y21" i="4"/>
  <c r="L21" i="4"/>
  <c r="H21" i="4"/>
  <c r="G21" i="4"/>
  <c r="F21" i="4"/>
  <c r="AB20" i="4"/>
  <c r="Y20" i="4"/>
  <c r="L20" i="4"/>
  <c r="H20" i="4"/>
  <c r="G20" i="4"/>
  <c r="F20" i="4"/>
  <c r="AB19" i="4"/>
  <c r="Y19" i="4"/>
  <c r="L19" i="4"/>
  <c r="H19" i="4"/>
  <c r="G19" i="4"/>
  <c r="F19" i="4"/>
  <c r="AB18" i="4"/>
  <c r="Y18" i="4"/>
  <c r="L18" i="4"/>
  <c r="H18" i="4"/>
  <c r="G18" i="4"/>
  <c r="F18" i="4"/>
  <c r="AB17" i="4"/>
  <c r="Y17" i="4"/>
  <c r="L17" i="4"/>
  <c r="H17" i="4"/>
  <c r="G17" i="4"/>
  <c r="F17" i="4"/>
  <c r="AB16" i="4"/>
  <c r="Y16" i="4"/>
  <c r="L16" i="4"/>
  <c r="H16" i="4"/>
  <c r="G16" i="4"/>
  <c r="F16" i="4"/>
  <c r="AB15" i="4"/>
  <c r="Y15" i="4"/>
  <c r="L15" i="4"/>
  <c r="H15" i="4"/>
  <c r="G15" i="4"/>
  <c r="F15" i="4"/>
  <c r="AB14" i="4"/>
  <c r="Y14" i="4"/>
  <c r="L14" i="4"/>
  <c r="H14" i="4"/>
  <c r="G14" i="4"/>
  <c r="F14" i="4"/>
  <c r="AB13" i="4"/>
  <c r="Y13" i="4"/>
  <c r="L13" i="4"/>
  <c r="H13" i="4"/>
  <c r="G13" i="4"/>
  <c r="F13" i="4"/>
  <c r="AB12" i="4"/>
  <c r="Y12" i="4"/>
  <c r="H12" i="4"/>
  <c r="G12" i="4"/>
  <c r="F12" i="4"/>
  <c r="AB11" i="4"/>
  <c r="Y11" i="4"/>
  <c r="H11" i="4"/>
  <c r="G11" i="4"/>
  <c r="F11" i="4"/>
  <c r="AB10" i="4"/>
  <c r="Y10" i="4"/>
  <c r="H10" i="4"/>
  <c r="G10" i="4"/>
  <c r="F10" i="4"/>
  <c r="AB9" i="4"/>
  <c r="Y9" i="4"/>
  <c r="H9" i="4"/>
  <c r="G9" i="4"/>
  <c r="F9" i="4"/>
  <c r="AB8" i="4"/>
  <c r="Y8" i="4"/>
  <c r="H8" i="4"/>
  <c r="G8" i="4"/>
  <c r="F8" i="4"/>
  <c r="AB7" i="4"/>
  <c r="Y7" i="4"/>
  <c r="H7" i="4"/>
  <c r="G7" i="4"/>
  <c r="F7" i="4"/>
  <c r="AB6" i="4"/>
  <c r="Y6" i="4"/>
  <c r="H6" i="4"/>
  <c r="G6" i="4"/>
  <c r="F6" i="4"/>
  <c r="AB5" i="4"/>
  <c r="Y5" i="4"/>
  <c r="H5" i="4"/>
  <c r="G5" i="4"/>
  <c r="F5" i="4"/>
  <c r="AB4" i="4"/>
  <c r="Y4" i="4"/>
  <c r="H4" i="4"/>
  <c r="G4" i="4"/>
  <c r="F4" i="4"/>
  <c r="AB3" i="4"/>
  <c r="Y3" i="4"/>
  <c r="H3" i="4"/>
  <c r="G3" i="4"/>
  <c r="F3" i="4"/>
  <c r="AB2" i="4"/>
  <c r="Y2" i="4"/>
  <c r="D2" i="4"/>
  <c r="F2" i="4" s="1"/>
  <c r="A2" i="4"/>
  <c r="AB1" i="4"/>
  <c r="Z1" i="4"/>
  <c r="Y1" i="4"/>
  <c r="W1" i="4"/>
  <c r="P1" i="4"/>
  <c r="E229" i="3"/>
  <c r="D229" i="3"/>
  <c r="C229" i="3" s="1"/>
  <c r="E228" i="3"/>
  <c r="D228" i="3"/>
  <c r="C228" i="3"/>
  <c r="E227" i="3"/>
  <c r="D227" i="3"/>
  <c r="C227" i="3"/>
  <c r="L219" i="3"/>
  <c r="J219" i="3"/>
  <c r="L218" i="3"/>
  <c r="J218" i="3"/>
  <c r="L217" i="3"/>
  <c r="J217" i="3"/>
  <c r="L216" i="3"/>
  <c r="J216" i="3"/>
  <c r="L215" i="3"/>
  <c r="J215" i="3"/>
  <c r="L214" i="3"/>
  <c r="J214" i="3"/>
  <c r="L213" i="3"/>
  <c r="J213" i="3"/>
  <c r="L212" i="3"/>
  <c r="J212" i="3"/>
  <c r="L211" i="3"/>
  <c r="J211" i="3"/>
  <c r="L210" i="3"/>
  <c r="J210" i="3"/>
  <c r="L209" i="3"/>
  <c r="J209" i="3"/>
  <c r="L208" i="3"/>
  <c r="J208" i="3"/>
  <c r="L207" i="3"/>
  <c r="J207" i="3"/>
  <c r="L206" i="3"/>
  <c r="J206" i="3"/>
  <c r="L205" i="3"/>
  <c r="J205" i="3"/>
  <c r="L204" i="3"/>
  <c r="J204" i="3"/>
  <c r="L203" i="3"/>
  <c r="J203" i="3"/>
  <c r="L202" i="3"/>
  <c r="J202" i="3"/>
  <c r="L201" i="3"/>
  <c r="J201" i="3"/>
  <c r="L200" i="3"/>
  <c r="J200" i="3"/>
  <c r="L199" i="3"/>
  <c r="J199" i="3"/>
  <c r="L198" i="3"/>
  <c r="J198" i="3"/>
  <c r="L197" i="3"/>
  <c r="J197" i="3"/>
  <c r="L196" i="3"/>
  <c r="J196" i="3"/>
  <c r="L195" i="3"/>
  <c r="J195" i="3"/>
  <c r="L194" i="3"/>
  <c r="J194" i="3"/>
  <c r="L193" i="3"/>
  <c r="J193" i="3"/>
  <c r="L192" i="3"/>
  <c r="J192" i="3"/>
  <c r="L191" i="3"/>
  <c r="J191" i="3"/>
  <c r="L190" i="3"/>
  <c r="K190" i="3"/>
  <c r="J190" i="3"/>
  <c r="L189" i="3"/>
  <c r="K189" i="3" s="1"/>
  <c r="J189" i="3"/>
  <c r="L188" i="3"/>
  <c r="K188" i="3"/>
  <c r="J188" i="3"/>
  <c r="L187" i="3"/>
  <c r="K187" i="3" s="1"/>
  <c r="J187" i="3"/>
  <c r="L186" i="3"/>
  <c r="K186" i="3" s="1"/>
  <c r="J186" i="3"/>
  <c r="L185" i="3"/>
  <c r="K185" i="3" s="1"/>
  <c r="J185" i="3"/>
  <c r="L184" i="3"/>
  <c r="K184" i="3"/>
  <c r="J184" i="3"/>
  <c r="L183" i="3"/>
  <c r="K183" i="3" s="1"/>
  <c r="J183" i="3"/>
  <c r="L182" i="3"/>
  <c r="K182" i="3"/>
  <c r="J182" i="3"/>
  <c r="L181" i="3"/>
  <c r="K181" i="3" s="1"/>
  <c r="J181" i="3"/>
  <c r="L180" i="3"/>
  <c r="K180" i="3"/>
  <c r="J180" i="3"/>
  <c r="L179" i="3"/>
  <c r="K179" i="3" s="1"/>
  <c r="J179" i="3"/>
  <c r="L178" i="3"/>
  <c r="K178" i="3" s="1"/>
  <c r="J178" i="3"/>
  <c r="L177" i="3"/>
  <c r="K177" i="3" s="1"/>
  <c r="J177" i="3"/>
  <c r="L176" i="3"/>
  <c r="K176" i="3"/>
  <c r="J176" i="3"/>
  <c r="L175" i="3"/>
  <c r="K175" i="3" s="1"/>
  <c r="J175" i="3"/>
  <c r="L174" i="3"/>
  <c r="K174" i="3"/>
  <c r="J174" i="3"/>
  <c r="L173" i="3"/>
  <c r="K173" i="3" s="1"/>
  <c r="J173" i="3"/>
  <c r="L172" i="3"/>
  <c r="K172" i="3" s="1"/>
  <c r="J172" i="3"/>
  <c r="L171" i="3"/>
  <c r="K171" i="3"/>
  <c r="J171" i="3"/>
  <c r="L170" i="3"/>
  <c r="K170" i="3" s="1"/>
  <c r="J170" i="3"/>
  <c r="L169" i="3"/>
  <c r="K169" i="3" s="1"/>
  <c r="J169" i="3"/>
  <c r="L168" i="3"/>
  <c r="K168" i="3"/>
  <c r="J168" i="3"/>
  <c r="L167" i="3"/>
  <c r="K167" i="3" s="1"/>
  <c r="J167" i="3"/>
  <c r="L166" i="3"/>
  <c r="K166" i="3"/>
  <c r="J166" i="3"/>
  <c r="L165" i="3"/>
  <c r="K165" i="3" s="1"/>
  <c r="J165" i="3"/>
  <c r="L164" i="3"/>
  <c r="K164" i="3" s="1"/>
  <c r="J164" i="3"/>
  <c r="L163" i="3"/>
  <c r="K163" i="3"/>
  <c r="J163" i="3"/>
  <c r="L162" i="3"/>
  <c r="K162" i="3" s="1"/>
  <c r="J162" i="3"/>
  <c r="L161" i="3"/>
  <c r="K161" i="3" s="1"/>
  <c r="J161" i="3"/>
  <c r="L160" i="3"/>
  <c r="K160" i="3"/>
  <c r="J160" i="3"/>
  <c r="L159" i="3"/>
  <c r="K159" i="3" s="1"/>
  <c r="J159" i="3"/>
  <c r="L158" i="3"/>
  <c r="K158" i="3"/>
  <c r="J158" i="3"/>
  <c r="L157" i="3"/>
  <c r="K157" i="3" s="1"/>
  <c r="J157" i="3"/>
  <c r="L156" i="3"/>
  <c r="K156" i="3" s="1"/>
  <c r="J156" i="3"/>
  <c r="L155" i="3"/>
  <c r="K155" i="3"/>
  <c r="J155" i="3"/>
  <c r="L154" i="3"/>
  <c r="K154" i="3" s="1"/>
  <c r="J154" i="3"/>
  <c r="L153" i="3"/>
  <c r="K153" i="3" s="1"/>
  <c r="J153" i="3"/>
  <c r="L152" i="3"/>
  <c r="K152" i="3"/>
  <c r="J152" i="3"/>
  <c r="L151" i="3"/>
  <c r="K151" i="3" s="1"/>
  <c r="J151" i="3"/>
  <c r="L150" i="3"/>
  <c r="K150" i="3"/>
  <c r="J150" i="3"/>
  <c r="L149" i="3"/>
  <c r="K149" i="3" s="1"/>
  <c r="J149" i="3"/>
  <c r="L148" i="3"/>
  <c r="K148" i="3" s="1"/>
  <c r="J148" i="3"/>
  <c r="L147" i="3"/>
  <c r="K147" i="3"/>
  <c r="J147" i="3"/>
  <c r="L146" i="3"/>
  <c r="K146" i="3" s="1"/>
  <c r="J146" i="3"/>
  <c r="L145" i="3"/>
  <c r="K145" i="3" s="1"/>
  <c r="J145" i="3"/>
  <c r="L144" i="3"/>
  <c r="K144" i="3"/>
  <c r="J144" i="3"/>
  <c r="L143" i="3"/>
  <c r="K143" i="3" s="1"/>
  <c r="J143" i="3"/>
  <c r="L142" i="3"/>
  <c r="K142" i="3"/>
  <c r="J142" i="3"/>
  <c r="L141" i="3"/>
  <c r="K141" i="3" s="1"/>
  <c r="J141" i="3"/>
  <c r="L140" i="3"/>
  <c r="K140" i="3" s="1"/>
  <c r="J140" i="3"/>
  <c r="L139" i="3"/>
  <c r="K139" i="3"/>
  <c r="J139" i="3"/>
  <c r="L138" i="3"/>
  <c r="K138" i="3" s="1"/>
  <c r="J138" i="3"/>
  <c r="L137" i="3"/>
  <c r="K137" i="3" s="1"/>
  <c r="J137" i="3"/>
  <c r="L136" i="3"/>
  <c r="K136" i="3"/>
  <c r="J136" i="3"/>
  <c r="L135" i="3"/>
  <c r="K135" i="3" s="1"/>
  <c r="J135" i="3"/>
  <c r="L134" i="3"/>
  <c r="K134" i="3"/>
  <c r="J134" i="3"/>
  <c r="L133" i="3"/>
  <c r="K133" i="3" s="1"/>
  <c r="J133" i="3"/>
  <c r="L132" i="3"/>
  <c r="K132" i="3" s="1"/>
  <c r="J132" i="3"/>
  <c r="L131" i="3"/>
  <c r="K131" i="3"/>
  <c r="J131" i="3"/>
  <c r="L130" i="3"/>
  <c r="K130" i="3" s="1"/>
  <c r="J130" i="3"/>
  <c r="L129" i="3"/>
  <c r="K129" i="3" s="1"/>
  <c r="J129" i="3"/>
  <c r="L128" i="3"/>
  <c r="K128" i="3"/>
  <c r="J128" i="3"/>
  <c r="L127" i="3"/>
  <c r="K127" i="3" s="1"/>
  <c r="J127" i="3"/>
  <c r="L126" i="3"/>
  <c r="K126" i="3"/>
  <c r="J126" i="3"/>
  <c r="L125" i="3"/>
  <c r="K125" i="3" s="1"/>
  <c r="J125" i="3"/>
  <c r="L124" i="3"/>
  <c r="K124" i="3" s="1"/>
  <c r="J124" i="3"/>
  <c r="L123" i="3"/>
  <c r="K123" i="3"/>
  <c r="J123" i="3"/>
  <c r="L122" i="3"/>
  <c r="K122" i="3" s="1"/>
  <c r="J122" i="3"/>
  <c r="L121" i="3"/>
  <c r="K121" i="3" s="1"/>
  <c r="J121" i="3"/>
  <c r="L120" i="3"/>
  <c r="K120" i="3"/>
  <c r="J120" i="3"/>
  <c r="L119" i="3"/>
  <c r="K119" i="3" s="1"/>
  <c r="J119" i="3"/>
  <c r="L118" i="3"/>
  <c r="K118" i="3"/>
  <c r="J118" i="3"/>
  <c r="L117" i="3"/>
  <c r="K117" i="3" s="1"/>
  <c r="J117" i="3"/>
  <c r="L116" i="3"/>
  <c r="K116" i="3" s="1"/>
  <c r="J116" i="3"/>
  <c r="L115" i="3"/>
  <c r="K115" i="3"/>
  <c r="J115" i="3"/>
  <c r="L114" i="3"/>
  <c r="K114" i="3" s="1"/>
  <c r="J114" i="3"/>
  <c r="L113" i="3"/>
  <c r="K113" i="3" s="1"/>
  <c r="J113" i="3"/>
  <c r="L112" i="3"/>
  <c r="K112" i="3"/>
  <c r="J112" i="3"/>
  <c r="L111" i="3"/>
  <c r="K111" i="3" s="1"/>
  <c r="J111" i="3"/>
  <c r="L110" i="3"/>
  <c r="K110" i="3"/>
  <c r="J110" i="3"/>
  <c r="L109" i="3"/>
  <c r="K109" i="3" s="1"/>
  <c r="J109" i="3"/>
  <c r="L108" i="3"/>
  <c r="K108" i="3" s="1"/>
  <c r="J108" i="3"/>
  <c r="L107" i="3"/>
  <c r="K107" i="3"/>
  <c r="J107" i="3"/>
  <c r="L106" i="3"/>
  <c r="K106" i="3" s="1"/>
  <c r="J106" i="3"/>
  <c r="L105" i="3"/>
  <c r="K105" i="3" s="1"/>
  <c r="J105" i="3"/>
  <c r="L104" i="3"/>
  <c r="K104" i="3"/>
  <c r="J104" i="3"/>
  <c r="L103" i="3"/>
  <c r="K103" i="3" s="1"/>
  <c r="J103" i="3"/>
  <c r="L102" i="3"/>
  <c r="K102" i="3"/>
  <c r="J102" i="3"/>
  <c r="L101" i="3"/>
  <c r="K101" i="3" s="1"/>
  <c r="J101" i="3"/>
  <c r="L100" i="3"/>
  <c r="K100" i="3" s="1"/>
  <c r="J100" i="3"/>
  <c r="L99" i="3"/>
  <c r="K99" i="3"/>
  <c r="J99" i="3"/>
  <c r="L98" i="3"/>
  <c r="K98" i="3" s="1"/>
  <c r="J98" i="3"/>
  <c r="L97" i="3"/>
  <c r="K97" i="3" s="1"/>
  <c r="J97" i="3"/>
  <c r="L96" i="3"/>
  <c r="K96" i="3"/>
  <c r="J96" i="3"/>
  <c r="L95" i="3"/>
  <c r="K95" i="3" s="1"/>
  <c r="J95" i="3"/>
  <c r="L94" i="3"/>
  <c r="K94" i="3"/>
  <c r="J94" i="3"/>
  <c r="L93" i="3"/>
  <c r="K93" i="3" s="1"/>
  <c r="J93" i="3"/>
  <c r="L92" i="3"/>
  <c r="K92" i="3" s="1"/>
  <c r="J92" i="3"/>
  <c r="L91" i="3"/>
  <c r="K91" i="3"/>
  <c r="J91" i="3"/>
  <c r="L90" i="3"/>
  <c r="K90" i="3" s="1"/>
  <c r="J90" i="3"/>
  <c r="L89" i="3"/>
  <c r="K89" i="3" s="1"/>
  <c r="J89" i="3"/>
  <c r="L88" i="3"/>
  <c r="K88" i="3"/>
  <c r="J88" i="3"/>
  <c r="L87" i="3"/>
  <c r="K87" i="3" s="1"/>
  <c r="J87" i="3"/>
  <c r="L86" i="3"/>
  <c r="K86" i="3"/>
  <c r="J86" i="3"/>
  <c r="L85" i="3"/>
  <c r="K85" i="3" s="1"/>
  <c r="J85" i="3"/>
  <c r="L84" i="3"/>
  <c r="K84" i="3" s="1"/>
  <c r="J84" i="3"/>
  <c r="L83" i="3"/>
  <c r="K83" i="3"/>
  <c r="J83" i="3"/>
  <c r="L82" i="3"/>
  <c r="K82" i="3" s="1"/>
  <c r="J82" i="3"/>
  <c r="L81" i="3"/>
  <c r="K81" i="3" s="1"/>
  <c r="J81" i="3"/>
  <c r="L80" i="3"/>
  <c r="K80" i="3"/>
  <c r="J80" i="3"/>
  <c r="L79" i="3"/>
  <c r="K79" i="3" s="1"/>
  <c r="J79" i="3"/>
  <c r="L78" i="3"/>
  <c r="K78" i="3"/>
  <c r="J78" i="3"/>
  <c r="L77" i="3"/>
  <c r="K77" i="3" s="1"/>
  <c r="J77" i="3"/>
  <c r="L76" i="3"/>
  <c r="K76" i="3" s="1"/>
  <c r="J76" i="3"/>
  <c r="L75" i="3"/>
  <c r="K75" i="3"/>
  <c r="J75" i="3"/>
  <c r="L74" i="3"/>
  <c r="K74" i="3" s="1"/>
  <c r="J74" i="3"/>
  <c r="L73" i="3"/>
  <c r="K73" i="3" s="1"/>
  <c r="J73" i="3"/>
  <c r="L72" i="3"/>
  <c r="K72" i="3"/>
  <c r="J72" i="3"/>
  <c r="L71" i="3"/>
  <c r="K71" i="3" s="1"/>
  <c r="J71" i="3"/>
  <c r="L70" i="3"/>
  <c r="K70" i="3"/>
  <c r="J70" i="3"/>
  <c r="L69" i="3"/>
  <c r="K69" i="3" s="1"/>
  <c r="J69" i="3"/>
  <c r="L68" i="3"/>
  <c r="K68" i="3" s="1"/>
  <c r="J68" i="3"/>
  <c r="L67" i="3"/>
  <c r="K67" i="3" s="1"/>
  <c r="J67" i="3"/>
  <c r="L66" i="3"/>
  <c r="K66" i="3" s="1"/>
  <c r="J66" i="3"/>
  <c r="L65" i="3"/>
  <c r="K65" i="3" s="1"/>
  <c r="J65" i="3"/>
  <c r="L64" i="3"/>
  <c r="K64" i="3" s="1"/>
  <c r="J64" i="3"/>
  <c r="L63" i="3"/>
  <c r="K63" i="3" s="1"/>
  <c r="J63" i="3"/>
  <c r="L62" i="3"/>
  <c r="K62" i="3"/>
  <c r="J62" i="3"/>
  <c r="L61" i="3"/>
  <c r="K61" i="3" s="1"/>
  <c r="J61" i="3"/>
  <c r="L60" i="3"/>
  <c r="K60" i="3" s="1"/>
  <c r="J60" i="3"/>
  <c r="L59" i="3"/>
  <c r="K59" i="3" s="1"/>
  <c r="J59" i="3"/>
  <c r="L58" i="3"/>
  <c r="K58" i="3" s="1"/>
  <c r="J58" i="3"/>
  <c r="L57" i="3"/>
  <c r="K57" i="3"/>
  <c r="J57" i="3"/>
  <c r="L56" i="3"/>
  <c r="K56" i="3" s="1"/>
  <c r="J56" i="3"/>
  <c r="L55" i="3"/>
  <c r="K55" i="3"/>
  <c r="J55" i="3"/>
  <c r="L54" i="3"/>
  <c r="K54" i="3" s="1"/>
  <c r="J54" i="3"/>
  <c r="L53" i="3"/>
  <c r="K53" i="3" s="1"/>
  <c r="J53" i="3"/>
  <c r="L52" i="3"/>
  <c r="K52" i="3" s="1"/>
  <c r="J52" i="3"/>
  <c r="L51" i="3"/>
  <c r="K51" i="3" s="1"/>
  <c r="J51" i="3"/>
  <c r="L50" i="3"/>
  <c r="K50" i="3" s="1"/>
  <c r="J50" i="3"/>
  <c r="L49" i="3"/>
  <c r="K49" i="3"/>
  <c r="J49" i="3"/>
  <c r="L48" i="3"/>
  <c r="K48" i="3" s="1"/>
  <c r="J48" i="3"/>
  <c r="L47" i="3"/>
  <c r="K47" i="3"/>
  <c r="J47" i="3"/>
  <c r="L46" i="3"/>
  <c r="K46" i="3" s="1"/>
  <c r="J46" i="3"/>
  <c r="L45" i="3"/>
  <c r="K45" i="3" s="1"/>
  <c r="J45" i="3"/>
  <c r="L44" i="3"/>
  <c r="K44" i="3" s="1"/>
  <c r="J44" i="3"/>
  <c r="L43" i="3"/>
  <c r="K43" i="3" s="1"/>
  <c r="J43" i="3"/>
  <c r="L42" i="3"/>
  <c r="K42" i="3" s="1"/>
  <c r="J42" i="3"/>
  <c r="L41" i="3"/>
  <c r="K41" i="3"/>
  <c r="J41" i="3"/>
  <c r="L40" i="3"/>
  <c r="K40" i="3" s="1"/>
  <c r="J40" i="3"/>
  <c r="L39" i="3"/>
  <c r="K39" i="3"/>
  <c r="J39" i="3"/>
  <c r="L38" i="3"/>
  <c r="K38" i="3" s="1"/>
  <c r="J38" i="3"/>
  <c r="L37" i="3"/>
  <c r="K37" i="3" s="1"/>
  <c r="J37" i="3"/>
  <c r="L36" i="3"/>
  <c r="K36" i="3" s="1"/>
  <c r="J36" i="3"/>
  <c r="L35" i="3"/>
  <c r="K35" i="3" s="1"/>
  <c r="J35" i="3"/>
  <c r="L34" i="3"/>
  <c r="K34" i="3" s="1"/>
  <c r="J34" i="3"/>
  <c r="L33" i="3"/>
  <c r="K33" i="3"/>
  <c r="J33" i="3"/>
  <c r="L32" i="3"/>
  <c r="K32" i="3" s="1"/>
  <c r="J32" i="3"/>
  <c r="L31" i="3"/>
  <c r="K31" i="3"/>
  <c r="J31" i="3"/>
  <c r="L30" i="3"/>
  <c r="K30" i="3" s="1"/>
  <c r="J30" i="3"/>
  <c r="L29" i="3"/>
  <c r="K29" i="3" s="1"/>
  <c r="J29" i="3"/>
  <c r="L28" i="3"/>
  <c r="K28" i="3" s="1"/>
  <c r="J28" i="3"/>
  <c r="L27" i="3"/>
  <c r="K27" i="3" s="1"/>
  <c r="J27" i="3"/>
  <c r="L26" i="3"/>
  <c r="K26" i="3" s="1"/>
  <c r="J26" i="3"/>
  <c r="L25" i="3"/>
  <c r="K25" i="3"/>
  <c r="J25" i="3"/>
  <c r="L24" i="3"/>
  <c r="K24" i="3" s="1"/>
  <c r="J24" i="3"/>
  <c r="L23" i="3"/>
  <c r="K23" i="3"/>
  <c r="J23" i="3"/>
  <c r="L22" i="3"/>
  <c r="K22" i="3" s="1"/>
  <c r="J22" i="3"/>
  <c r="L21" i="3"/>
  <c r="K21" i="3" s="1"/>
  <c r="J21" i="3"/>
  <c r="L20" i="3"/>
  <c r="K20" i="3" s="1"/>
  <c r="J20" i="3"/>
  <c r="L19" i="3"/>
  <c r="K19" i="3" s="1"/>
  <c r="J19" i="3"/>
  <c r="L18" i="3"/>
  <c r="K18" i="3" s="1"/>
  <c r="J18" i="3"/>
  <c r="L17" i="3"/>
  <c r="K17" i="3"/>
  <c r="J17" i="3"/>
  <c r="L16" i="3"/>
  <c r="K16" i="3" s="1"/>
  <c r="J16" i="3"/>
  <c r="L15" i="3"/>
  <c r="K15" i="3"/>
  <c r="J15" i="3"/>
  <c r="L14" i="3"/>
  <c r="K14" i="3" s="1"/>
  <c r="J14" i="3"/>
  <c r="L13" i="3"/>
  <c r="K13" i="3" s="1"/>
  <c r="J13" i="3"/>
  <c r="L12" i="3"/>
  <c r="K12" i="3" s="1"/>
  <c r="J12" i="3"/>
  <c r="L11" i="3"/>
  <c r="K11" i="3" s="1"/>
  <c r="J11" i="3"/>
  <c r="L10" i="3"/>
  <c r="K10" i="3" s="1"/>
  <c r="J10" i="3"/>
  <c r="L9" i="3"/>
  <c r="K9" i="3"/>
  <c r="J9" i="3"/>
  <c r="L8" i="3"/>
  <c r="K8" i="3" s="1"/>
  <c r="J8" i="3"/>
  <c r="L7" i="3"/>
  <c r="K7" i="3"/>
  <c r="J7" i="3"/>
  <c r="L6" i="3"/>
  <c r="K6" i="3" s="1"/>
  <c r="J6" i="3"/>
  <c r="C224" i="3" s="1"/>
  <c r="L5" i="3"/>
  <c r="K5" i="3" s="1"/>
  <c r="J5" i="3"/>
  <c r="L4" i="3"/>
  <c r="K4" i="3" s="1"/>
  <c r="J4" i="3"/>
  <c r="L3" i="3"/>
  <c r="K3" i="3" s="1"/>
  <c r="J3" i="3"/>
  <c r="AP62" i="2"/>
  <c r="AO62" i="2"/>
  <c r="AC62" i="2"/>
  <c r="AB62" i="2"/>
  <c r="Y62" i="2"/>
  <c r="P62" i="2"/>
  <c r="O62" i="2"/>
  <c r="N62" i="2"/>
  <c r="AP61" i="2"/>
  <c r="AO61" i="2"/>
  <c r="AB61" i="2"/>
  <c r="AC61" i="2" s="1"/>
  <c r="Y61" i="2"/>
  <c r="P61" i="2"/>
  <c r="O61" i="2"/>
  <c r="N61" i="2"/>
  <c r="AP60" i="2"/>
  <c r="AO60" i="2"/>
  <c r="AC60" i="2"/>
  <c r="AB60" i="2"/>
  <c r="Y60" i="2"/>
  <c r="P60" i="2"/>
  <c r="O60" i="2"/>
  <c r="N60" i="2"/>
  <c r="AP59" i="2"/>
  <c r="AO59" i="2"/>
  <c r="AB59" i="2"/>
  <c r="AC59" i="2" s="1"/>
  <c r="Y59" i="2"/>
  <c r="P59" i="2"/>
  <c r="O59" i="2"/>
  <c r="N59" i="2"/>
  <c r="AP58" i="2"/>
  <c r="AO58" i="2"/>
  <c r="AC58" i="2"/>
  <c r="AB58" i="2"/>
  <c r="Y58" i="2"/>
  <c r="P58" i="2"/>
  <c r="O58" i="2"/>
  <c r="N58" i="2"/>
  <c r="AP57" i="2"/>
  <c r="AO57" i="2"/>
  <c r="AB57" i="2"/>
  <c r="AC57" i="2" s="1"/>
  <c r="Y57" i="2"/>
  <c r="P57" i="2"/>
  <c r="O57" i="2"/>
  <c r="N57" i="2"/>
  <c r="AP56" i="2"/>
  <c r="AO56" i="2"/>
  <c r="AC56" i="2"/>
  <c r="AB56" i="2"/>
  <c r="Y56" i="2"/>
  <c r="P56" i="2"/>
  <c r="O56" i="2"/>
  <c r="N56" i="2"/>
  <c r="AP55" i="2"/>
  <c r="AO55" i="2"/>
  <c r="AB55" i="2"/>
  <c r="AC55" i="2" s="1"/>
  <c r="Y55" i="2"/>
  <c r="P55" i="2"/>
  <c r="O55" i="2"/>
  <c r="N55" i="2"/>
  <c r="AP54" i="2"/>
  <c r="AO54" i="2"/>
  <c r="AC54" i="2"/>
  <c r="AB54" i="2"/>
  <c r="Y54" i="2"/>
  <c r="P54" i="2"/>
  <c r="O54" i="2"/>
  <c r="N54" i="2"/>
  <c r="AP53" i="2"/>
  <c r="AO53" i="2"/>
  <c r="AB53" i="2"/>
  <c r="AC53" i="2" s="1"/>
  <c r="Y53" i="2"/>
  <c r="P53" i="2"/>
  <c r="O53" i="2"/>
  <c r="N53" i="2"/>
  <c r="AP52" i="2"/>
  <c r="AO52" i="2"/>
  <c r="AC52" i="2"/>
  <c r="AB52" i="2"/>
  <c r="Y52" i="2"/>
  <c r="P52" i="2"/>
  <c r="O52" i="2"/>
  <c r="N52" i="2"/>
  <c r="AP51" i="2"/>
  <c r="AO51" i="2"/>
  <c r="AB51" i="2"/>
  <c r="AC51" i="2" s="1"/>
  <c r="Y51" i="2"/>
  <c r="P51" i="2"/>
  <c r="O51" i="2"/>
  <c r="N51" i="2"/>
  <c r="AP50" i="2"/>
  <c r="AO50" i="2"/>
  <c r="AC50" i="2"/>
  <c r="AB50" i="2"/>
  <c r="Y50" i="2"/>
  <c r="P50" i="2"/>
  <c r="O50" i="2"/>
  <c r="N50" i="2"/>
  <c r="AP49" i="2"/>
  <c r="AO49" i="2"/>
  <c r="AB49" i="2"/>
  <c r="AC49" i="2" s="1"/>
  <c r="Y49" i="2"/>
  <c r="P49" i="2"/>
  <c r="O49" i="2"/>
  <c r="N49" i="2"/>
  <c r="AP48" i="2"/>
  <c r="AO48" i="2"/>
  <c r="AC48" i="2"/>
  <c r="AB48" i="2"/>
  <c r="Y48" i="2"/>
  <c r="P48" i="2"/>
  <c r="O48" i="2"/>
  <c r="N48" i="2"/>
  <c r="AP47" i="2"/>
  <c r="AO47" i="2"/>
  <c r="AB47" i="2"/>
  <c r="AC47" i="2" s="1"/>
  <c r="Y47" i="2"/>
  <c r="P47" i="2"/>
  <c r="O47" i="2"/>
  <c r="N47" i="2"/>
  <c r="AP46" i="2"/>
  <c r="AO46" i="2"/>
  <c r="AC46" i="2"/>
  <c r="AB46" i="2"/>
  <c r="Y46" i="2"/>
  <c r="P46" i="2"/>
  <c r="O46" i="2"/>
  <c r="N46" i="2"/>
  <c r="AP45" i="2"/>
  <c r="AO45" i="2"/>
  <c r="AB45" i="2"/>
  <c r="AC45" i="2" s="1"/>
  <c r="Y45" i="2"/>
  <c r="P45" i="2"/>
  <c r="O45" i="2"/>
  <c r="N45" i="2"/>
  <c r="AP44" i="2"/>
  <c r="AO44" i="2"/>
  <c r="AC44" i="2"/>
  <c r="AB44" i="2"/>
  <c r="Y44" i="2"/>
  <c r="P44" i="2"/>
  <c r="O44" i="2"/>
  <c r="N44" i="2"/>
  <c r="AP43" i="2"/>
  <c r="AO43" i="2"/>
  <c r="AB43" i="2"/>
  <c r="AC43" i="2" s="1"/>
  <c r="Y43" i="2"/>
  <c r="P43" i="2"/>
  <c r="O43" i="2"/>
  <c r="N43" i="2"/>
  <c r="AP42" i="2"/>
  <c r="AO42" i="2"/>
  <c r="AC42" i="2"/>
  <c r="AB42" i="2"/>
  <c r="Y42" i="2"/>
  <c r="P42" i="2"/>
  <c r="O42" i="2"/>
  <c r="N42" i="2"/>
  <c r="AP41" i="2"/>
  <c r="AO41" i="2"/>
  <c r="AB41" i="2"/>
  <c r="AC41" i="2" s="1"/>
  <c r="Y41" i="2"/>
  <c r="P41" i="2"/>
  <c r="O41" i="2"/>
  <c r="N41" i="2"/>
  <c r="AP40" i="2"/>
  <c r="AO40" i="2"/>
  <c r="AC40" i="2"/>
  <c r="AB40" i="2"/>
  <c r="Y40" i="2"/>
  <c r="P40" i="2"/>
  <c r="O40" i="2"/>
  <c r="N40" i="2"/>
  <c r="AP39" i="2"/>
  <c r="AO39" i="2"/>
  <c r="AB39" i="2"/>
  <c r="AC39" i="2" s="1"/>
  <c r="Y39" i="2"/>
  <c r="P39" i="2"/>
  <c r="O39" i="2"/>
  <c r="N39" i="2"/>
  <c r="AP38" i="2"/>
  <c r="AO38" i="2"/>
  <c r="AC38" i="2"/>
  <c r="AB38" i="2"/>
  <c r="Y38" i="2"/>
  <c r="P38" i="2"/>
  <c r="O38" i="2"/>
  <c r="N38" i="2"/>
  <c r="AP37" i="2"/>
  <c r="AO37" i="2"/>
  <c r="AB37" i="2"/>
  <c r="AC37" i="2" s="1"/>
  <c r="Y37" i="2"/>
  <c r="P37" i="2"/>
  <c r="O37" i="2"/>
  <c r="N37" i="2"/>
  <c r="AP36" i="2"/>
  <c r="AO36" i="2"/>
  <c r="AC36" i="2"/>
  <c r="AB36" i="2"/>
  <c r="Y36" i="2"/>
  <c r="P36" i="2"/>
  <c r="O36" i="2"/>
  <c r="N36" i="2"/>
  <c r="AP35" i="2"/>
  <c r="AO35" i="2"/>
  <c r="AB35" i="2"/>
  <c r="AC35" i="2" s="1"/>
  <c r="Y35" i="2"/>
  <c r="P35" i="2"/>
  <c r="O35" i="2"/>
  <c r="N35" i="2"/>
  <c r="AP34" i="2"/>
  <c r="AO34" i="2"/>
  <c r="AC34" i="2"/>
  <c r="AB34" i="2"/>
  <c r="Y34" i="2"/>
  <c r="P34" i="2"/>
  <c r="O34" i="2"/>
  <c r="N34" i="2"/>
  <c r="AP33" i="2"/>
  <c r="AO33" i="2"/>
  <c r="AC33" i="2"/>
  <c r="AB33" i="2"/>
  <c r="Y33" i="2"/>
  <c r="P33" i="2"/>
  <c r="O33" i="2"/>
  <c r="N33" i="2"/>
  <c r="AP32" i="2"/>
  <c r="AO32" i="2"/>
  <c r="AB32" i="2"/>
  <c r="AC32" i="2" s="1"/>
  <c r="Y32" i="2"/>
  <c r="V32" i="2"/>
  <c r="P32" i="2"/>
  <c r="O32" i="2"/>
  <c r="N32" i="2"/>
  <c r="AP31" i="2"/>
  <c r="AO31" i="2"/>
  <c r="AB31" i="2"/>
  <c r="AC31" i="2" s="1"/>
  <c r="Y31" i="2"/>
  <c r="P31" i="2"/>
  <c r="O31" i="2"/>
  <c r="N31" i="2"/>
  <c r="AP30" i="2"/>
  <c r="AO30" i="2"/>
  <c r="AC30" i="2"/>
  <c r="AB30" i="2"/>
  <c r="Y30" i="2"/>
  <c r="P30" i="2"/>
  <c r="O30" i="2"/>
  <c r="N30" i="2"/>
  <c r="AP29" i="2"/>
  <c r="AO29" i="2"/>
  <c r="AC29" i="2"/>
  <c r="AB29" i="2"/>
  <c r="Y29" i="2"/>
  <c r="P29" i="2"/>
  <c r="O29" i="2"/>
  <c r="N29" i="2"/>
  <c r="AP28" i="2"/>
  <c r="AO28" i="2"/>
  <c r="AB28" i="2"/>
  <c r="AC28" i="2" s="1"/>
  <c r="Y28" i="2"/>
  <c r="P28" i="2"/>
  <c r="O28" i="2"/>
  <c r="N28" i="2"/>
  <c r="AP27" i="2"/>
  <c r="AO27" i="2"/>
  <c r="AB27" i="2"/>
  <c r="AC27" i="2" s="1"/>
  <c r="Y27" i="2"/>
  <c r="P27" i="2"/>
  <c r="O27" i="2"/>
  <c r="N27" i="2"/>
  <c r="AP26" i="2"/>
  <c r="AO26" i="2"/>
  <c r="AC26" i="2"/>
  <c r="AB26" i="2"/>
  <c r="Y26" i="2"/>
  <c r="P26" i="2"/>
  <c r="O26" i="2"/>
  <c r="N26" i="2"/>
  <c r="AP25" i="2"/>
  <c r="AO25" i="2"/>
  <c r="AC25" i="2"/>
  <c r="AB25" i="2"/>
  <c r="Y25" i="2"/>
  <c r="P25" i="2"/>
  <c r="O25" i="2"/>
  <c r="N25" i="2"/>
  <c r="AP24" i="2"/>
  <c r="AO24" i="2"/>
  <c r="AB24" i="2"/>
  <c r="AC24" i="2" s="1"/>
  <c r="Y24" i="2"/>
  <c r="P24" i="2"/>
  <c r="O24" i="2"/>
  <c r="N24" i="2"/>
  <c r="AP23" i="2"/>
  <c r="AO23" i="2"/>
  <c r="AB23" i="2"/>
  <c r="AC23" i="2" s="1"/>
  <c r="Y23" i="2"/>
  <c r="P23" i="2"/>
  <c r="O23" i="2"/>
  <c r="N23" i="2"/>
  <c r="AP22" i="2"/>
  <c r="AO22" i="2"/>
  <c r="AC22" i="2"/>
  <c r="AB22" i="2"/>
  <c r="Y22" i="2"/>
  <c r="P22" i="2"/>
  <c r="O22" i="2"/>
  <c r="N22" i="2"/>
  <c r="AP21" i="2"/>
  <c r="AO21" i="2"/>
  <c r="AC21" i="2"/>
  <c r="AB21" i="2"/>
  <c r="Y21" i="2"/>
  <c r="P21" i="2"/>
  <c r="O21" i="2"/>
  <c r="N21" i="2"/>
  <c r="AP20" i="2"/>
  <c r="AO20" i="2"/>
  <c r="AB20" i="2"/>
  <c r="AC20" i="2" s="1"/>
  <c r="Y20" i="2"/>
  <c r="V20" i="2"/>
  <c r="P20" i="2"/>
  <c r="O20" i="2"/>
  <c r="N20" i="2"/>
  <c r="J20" i="2"/>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AP19" i="2"/>
  <c r="AO19" i="2"/>
  <c r="AB19" i="2"/>
  <c r="AC19" i="2" s="1"/>
  <c r="Y19" i="2"/>
  <c r="P19" i="2"/>
  <c r="O19" i="2"/>
  <c r="N19" i="2"/>
  <c r="AP18" i="2"/>
  <c r="AO18" i="2"/>
  <c r="AC18" i="2"/>
  <c r="AB18" i="2"/>
  <c r="Y18" i="2"/>
  <c r="P18" i="2"/>
  <c r="O18" i="2"/>
  <c r="N18" i="2"/>
  <c r="AP17" i="2"/>
  <c r="AO17" i="2"/>
  <c r="AC17" i="2"/>
  <c r="AB17" i="2"/>
  <c r="Y17" i="2"/>
  <c r="P17" i="2"/>
  <c r="O17" i="2"/>
  <c r="N17" i="2"/>
  <c r="AP16" i="2"/>
  <c r="AO16" i="2"/>
  <c r="AB16" i="2"/>
  <c r="AC16" i="2" s="1"/>
  <c r="Y16" i="2"/>
  <c r="V16" i="2"/>
  <c r="P16" i="2"/>
  <c r="O16" i="2"/>
  <c r="N16" i="2"/>
  <c r="J16" i="2"/>
  <c r="J17" i="2" s="1"/>
  <c r="J18" i="2" s="1"/>
  <c r="J19" i="2" s="1"/>
  <c r="AP15" i="2"/>
  <c r="AO15" i="2"/>
  <c r="AB15" i="2"/>
  <c r="AC15" i="2" s="1"/>
  <c r="Y15" i="2"/>
  <c r="P15" i="2"/>
  <c r="O15" i="2"/>
  <c r="N15" i="2"/>
  <c r="J15" i="2"/>
  <c r="AP14" i="2"/>
  <c r="AO14" i="2"/>
  <c r="AC14" i="2"/>
  <c r="AB14" i="2"/>
  <c r="Y14" i="2"/>
  <c r="P14" i="2"/>
  <c r="O14" i="2"/>
  <c r="N14" i="2"/>
  <c r="J14" i="2"/>
  <c r="AP13" i="2"/>
  <c r="AO13" i="2"/>
  <c r="AC13" i="2"/>
  <c r="AB13" i="2"/>
  <c r="Y13" i="2"/>
  <c r="P13" i="2"/>
  <c r="O13" i="2"/>
  <c r="N13" i="2"/>
  <c r="AP12" i="2"/>
  <c r="AO12" i="2"/>
  <c r="AB12" i="2"/>
  <c r="AC12" i="2" s="1"/>
  <c r="Y12" i="2"/>
  <c r="P12" i="2"/>
  <c r="O12" i="2"/>
  <c r="N12" i="2"/>
  <c r="AP11" i="2"/>
  <c r="AO11" i="2"/>
  <c r="AC11" i="2"/>
  <c r="AB11" i="2"/>
  <c r="Y11" i="2"/>
  <c r="P11" i="2"/>
  <c r="O11" i="2"/>
  <c r="N11" i="2"/>
  <c r="AP10" i="2"/>
  <c r="AO10" i="2"/>
  <c r="AC10" i="2"/>
  <c r="AB10" i="2"/>
  <c r="Y10" i="2"/>
  <c r="P10" i="2"/>
  <c r="O10" i="2"/>
  <c r="N10" i="2"/>
  <c r="AP9" i="2"/>
  <c r="AO9" i="2"/>
  <c r="AB9" i="2"/>
  <c r="AC9" i="2" s="1"/>
  <c r="Y9" i="2"/>
  <c r="V9" i="2"/>
  <c r="P9" i="2"/>
  <c r="O9" i="2"/>
  <c r="N9" i="2"/>
  <c r="AP8" i="2"/>
  <c r="AO8" i="2"/>
  <c r="AB8" i="2"/>
  <c r="AC8" i="2" s="1"/>
  <c r="Y8" i="2"/>
  <c r="P8" i="2"/>
  <c r="O8" i="2"/>
  <c r="N8" i="2"/>
  <c r="AP7" i="2"/>
  <c r="AO7" i="2"/>
  <c r="AJ7" i="2"/>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C7" i="2"/>
  <c r="AB7" i="2"/>
  <c r="Y7" i="2"/>
  <c r="P7" i="2"/>
  <c r="O7" i="2"/>
  <c r="N7" i="2"/>
  <c r="AP6" i="2"/>
  <c r="AO6" i="2"/>
  <c r="AJ6" i="2"/>
  <c r="AC6" i="2"/>
  <c r="AB6" i="2"/>
  <c r="Y6" i="2"/>
  <c r="P6" i="2"/>
  <c r="O6" i="2"/>
  <c r="N6" i="2"/>
  <c r="AP5" i="2"/>
  <c r="AO5" i="2"/>
  <c r="AJ5" i="2"/>
  <c r="AB5" i="2"/>
  <c r="AC5" i="2" s="1"/>
  <c r="Y5" i="2"/>
  <c r="P5" i="2"/>
  <c r="O5" i="2"/>
  <c r="N5" i="2"/>
  <c r="J5" i="2"/>
  <c r="J6" i="2" s="1"/>
  <c r="J7" i="2" s="1"/>
  <c r="J8" i="2" s="1"/>
  <c r="J9" i="2" s="1"/>
  <c r="J10" i="2" s="1"/>
  <c r="J11" i="2" s="1"/>
  <c r="J12" i="2" s="1"/>
  <c r="AP4" i="2"/>
  <c r="AO4" i="2"/>
  <c r="AK4" i="2"/>
  <c r="AK5" i="2" s="1"/>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AK41" i="2" s="1"/>
  <c r="AK42" i="2" s="1"/>
  <c r="AK43" i="2" s="1"/>
  <c r="AK44" i="2" s="1"/>
  <c r="AK45" i="2" s="1"/>
  <c r="AK46" i="2" s="1"/>
  <c r="AK47" i="2" s="1"/>
  <c r="AK48" i="2" s="1"/>
  <c r="AK49" i="2" s="1"/>
  <c r="AK50" i="2" s="1"/>
  <c r="AK51" i="2" s="1"/>
  <c r="AK52" i="2" s="1"/>
  <c r="AK53" i="2" s="1"/>
  <c r="AK54" i="2" s="1"/>
  <c r="AK55" i="2" s="1"/>
  <c r="AK56" i="2" s="1"/>
  <c r="AK57" i="2" s="1"/>
  <c r="AK58" i="2" s="1"/>
  <c r="AK59" i="2" s="1"/>
  <c r="AK60" i="2" s="1"/>
  <c r="AK61" i="2" s="1"/>
  <c r="AK62" i="2" s="1"/>
  <c r="AC4" i="2"/>
  <c r="AB4" i="2"/>
  <c r="Y4" i="2"/>
  <c r="P4" i="2"/>
  <c r="O4" i="2"/>
  <c r="N4" i="2"/>
  <c r="J4"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P3" i="2"/>
  <c r="AO3" i="2"/>
  <c r="AB3" i="2"/>
  <c r="AC3" i="2" s="1"/>
  <c r="Y3" i="2"/>
  <c r="P3" i="2"/>
  <c r="O3" i="2"/>
  <c r="N3" i="2"/>
  <c r="F722" i="1"/>
  <c r="V62" i="2" s="1"/>
  <c r="F721" i="1"/>
  <c r="F720" i="1"/>
  <c r="F719" i="1"/>
  <c r="F718" i="1"/>
  <c r="F717" i="1"/>
  <c r="F716" i="1"/>
  <c r="F715" i="1"/>
  <c r="F714" i="1"/>
  <c r="F713" i="1"/>
  <c r="F712" i="1"/>
  <c r="H711" i="1"/>
  <c r="W62" i="2" s="1"/>
  <c r="X62" i="2" s="1"/>
  <c r="F711" i="1"/>
  <c r="F710" i="1"/>
  <c r="V61" i="2" s="1"/>
  <c r="F709" i="1"/>
  <c r="F708" i="1"/>
  <c r="F707" i="1"/>
  <c r="F706" i="1"/>
  <c r="F705" i="1"/>
  <c r="F704" i="1"/>
  <c r="F703" i="1"/>
  <c r="F702" i="1"/>
  <c r="F701" i="1"/>
  <c r="F700" i="1"/>
  <c r="H699" i="1"/>
  <c r="W61" i="2" s="1"/>
  <c r="X61" i="2" s="1"/>
  <c r="F699" i="1"/>
  <c r="F698" i="1"/>
  <c r="V60" i="2" s="1"/>
  <c r="F697" i="1"/>
  <c r="F696" i="1"/>
  <c r="F695" i="1"/>
  <c r="F694" i="1"/>
  <c r="F693" i="1"/>
  <c r="F692" i="1"/>
  <c r="F691" i="1"/>
  <c r="F690" i="1"/>
  <c r="F689" i="1"/>
  <c r="F688" i="1"/>
  <c r="H687" i="1"/>
  <c r="W60" i="2" s="1"/>
  <c r="X60" i="2" s="1"/>
  <c r="F687" i="1"/>
  <c r="F686" i="1"/>
  <c r="V59" i="2" s="1"/>
  <c r="F685" i="1"/>
  <c r="F684" i="1"/>
  <c r="F683" i="1"/>
  <c r="F682" i="1"/>
  <c r="F681" i="1"/>
  <c r="F680" i="1"/>
  <c r="F679" i="1"/>
  <c r="F678" i="1"/>
  <c r="F677" i="1"/>
  <c r="F676" i="1"/>
  <c r="H675" i="1"/>
  <c r="W59" i="2" s="1"/>
  <c r="X59" i="2" s="1"/>
  <c r="F675" i="1"/>
  <c r="F674" i="1"/>
  <c r="V58" i="2" s="1"/>
  <c r="F673" i="1"/>
  <c r="F672" i="1"/>
  <c r="F671" i="1"/>
  <c r="F670" i="1"/>
  <c r="F669" i="1"/>
  <c r="F668" i="1"/>
  <c r="F667" i="1"/>
  <c r="F666" i="1"/>
  <c r="F665" i="1"/>
  <c r="F664" i="1"/>
  <c r="H663" i="1"/>
  <c r="W58" i="2" s="1"/>
  <c r="X58" i="2" s="1"/>
  <c r="F663" i="1"/>
  <c r="F662" i="1"/>
  <c r="V57" i="2" s="1"/>
  <c r="F661" i="1"/>
  <c r="F660" i="1"/>
  <c r="F659" i="1"/>
  <c r="F658" i="1"/>
  <c r="F657" i="1"/>
  <c r="F656" i="1"/>
  <c r="F655" i="1"/>
  <c r="F654" i="1"/>
  <c r="F653" i="1"/>
  <c r="F652" i="1"/>
  <c r="H651" i="1"/>
  <c r="W57" i="2" s="1"/>
  <c r="X57" i="2" s="1"/>
  <c r="F651" i="1"/>
  <c r="F650" i="1"/>
  <c r="V56" i="2" s="1"/>
  <c r="F649" i="1"/>
  <c r="F648" i="1"/>
  <c r="F647" i="1"/>
  <c r="F646" i="1"/>
  <c r="F645" i="1"/>
  <c r="F644" i="1"/>
  <c r="F643" i="1"/>
  <c r="F642" i="1"/>
  <c r="F641" i="1"/>
  <c r="F640" i="1"/>
  <c r="H639" i="1"/>
  <c r="W56" i="2" s="1"/>
  <c r="X56" i="2" s="1"/>
  <c r="F639" i="1"/>
  <c r="F638" i="1"/>
  <c r="V55" i="2" s="1"/>
  <c r="F637" i="1"/>
  <c r="F636" i="1"/>
  <c r="F635" i="1"/>
  <c r="F634" i="1"/>
  <c r="F633" i="1"/>
  <c r="F632" i="1"/>
  <c r="F631" i="1"/>
  <c r="F630" i="1"/>
  <c r="F629" i="1"/>
  <c r="F628" i="1"/>
  <c r="H627" i="1"/>
  <c r="W55" i="2" s="1"/>
  <c r="X55" i="2" s="1"/>
  <c r="F627" i="1"/>
  <c r="F626" i="1"/>
  <c r="V54" i="2" s="1"/>
  <c r="F625" i="1"/>
  <c r="F624" i="1"/>
  <c r="F623" i="1"/>
  <c r="F622" i="1"/>
  <c r="F621" i="1"/>
  <c r="F620" i="1"/>
  <c r="F619" i="1"/>
  <c r="F618" i="1"/>
  <c r="F617" i="1"/>
  <c r="F616" i="1"/>
  <c r="H615" i="1"/>
  <c r="W54" i="2" s="1"/>
  <c r="X54" i="2" s="1"/>
  <c r="F615" i="1"/>
  <c r="F614" i="1"/>
  <c r="V53" i="2" s="1"/>
  <c r="F613" i="1"/>
  <c r="F612" i="1"/>
  <c r="F611" i="1"/>
  <c r="F610" i="1"/>
  <c r="F609" i="1"/>
  <c r="F608" i="1"/>
  <c r="F607" i="1"/>
  <c r="F606" i="1"/>
  <c r="F605" i="1"/>
  <c r="F604" i="1"/>
  <c r="H603" i="1"/>
  <c r="W53" i="2" s="1"/>
  <c r="X53" i="2" s="1"/>
  <c r="F603" i="1"/>
  <c r="F602" i="1"/>
  <c r="V52" i="2" s="1"/>
  <c r="F601" i="1"/>
  <c r="F600" i="1"/>
  <c r="F599" i="1"/>
  <c r="F598" i="1"/>
  <c r="F597" i="1"/>
  <c r="F596" i="1"/>
  <c r="F595" i="1"/>
  <c r="F594" i="1"/>
  <c r="F593" i="1"/>
  <c r="F592" i="1"/>
  <c r="H591" i="1"/>
  <c r="W52" i="2" s="1"/>
  <c r="X52" i="2" s="1"/>
  <c r="F591" i="1"/>
  <c r="F590" i="1"/>
  <c r="V51" i="2" s="1"/>
  <c r="F589" i="1"/>
  <c r="F588" i="1"/>
  <c r="F587" i="1"/>
  <c r="F586" i="1"/>
  <c r="F585" i="1"/>
  <c r="F584" i="1"/>
  <c r="F583" i="1"/>
  <c r="F582" i="1"/>
  <c r="F581" i="1"/>
  <c r="F580" i="1"/>
  <c r="H579" i="1"/>
  <c r="W51" i="2" s="1"/>
  <c r="X51" i="2" s="1"/>
  <c r="F579" i="1"/>
  <c r="F578" i="1"/>
  <c r="V50" i="2" s="1"/>
  <c r="F577" i="1"/>
  <c r="F576" i="1"/>
  <c r="F575" i="1"/>
  <c r="F574" i="1"/>
  <c r="F573" i="1"/>
  <c r="F572" i="1"/>
  <c r="F571" i="1"/>
  <c r="F570" i="1"/>
  <c r="F569" i="1"/>
  <c r="F568" i="1"/>
  <c r="H567" i="1"/>
  <c r="W50" i="2" s="1"/>
  <c r="X50" i="2" s="1"/>
  <c r="F567" i="1"/>
  <c r="F566" i="1"/>
  <c r="V49" i="2" s="1"/>
  <c r="F565" i="1"/>
  <c r="F564" i="1"/>
  <c r="F563" i="1"/>
  <c r="F562" i="1"/>
  <c r="F561" i="1"/>
  <c r="F560" i="1"/>
  <c r="F559" i="1"/>
  <c r="F558" i="1"/>
  <c r="F557" i="1"/>
  <c r="F556" i="1"/>
  <c r="H555" i="1"/>
  <c r="W49" i="2" s="1"/>
  <c r="X49" i="2" s="1"/>
  <c r="F555" i="1"/>
  <c r="F554" i="1"/>
  <c r="V48" i="2" s="1"/>
  <c r="F553" i="1"/>
  <c r="F552" i="1"/>
  <c r="F551" i="1"/>
  <c r="F550" i="1"/>
  <c r="F549" i="1"/>
  <c r="F548" i="1"/>
  <c r="F547" i="1"/>
  <c r="F546" i="1"/>
  <c r="F545" i="1"/>
  <c r="F544" i="1"/>
  <c r="H543" i="1"/>
  <c r="W48" i="2" s="1"/>
  <c r="X48" i="2" s="1"/>
  <c r="F543" i="1"/>
  <c r="F542" i="1"/>
  <c r="V47" i="2" s="1"/>
  <c r="F541" i="1"/>
  <c r="F540" i="1"/>
  <c r="F539" i="1"/>
  <c r="F538" i="1"/>
  <c r="F537" i="1"/>
  <c r="F536" i="1"/>
  <c r="F535" i="1"/>
  <c r="F534" i="1"/>
  <c r="F533" i="1"/>
  <c r="F532" i="1"/>
  <c r="H531" i="1"/>
  <c r="W47" i="2" s="1"/>
  <c r="X47" i="2" s="1"/>
  <c r="F531" i="1"/>
  <c r="F530" i="1"/>
  <c r="V46" i="2" s="1"/>
  <c r="F529" i="1"/>
  <c r="F528" i="1"/>
  <c r="F527" i="1"/>
  <c r="F526" i="1"/>
  <c r="F525" i="1"/>
  <c r="F524" i="1"/>
  <c r="F523" i="1"/>
  <c r="F522" i="1"/>
  <c r="F521" i="1"/>
  <c r="F520" i="1"/>
  <c r="H519" i="1"/>
  <c r="W46" i="2" s="1"/>
  <c r="X46" i="2" s="1"/>
  <c r="F519" i="1"/>
  <c r="F518" i="1"/>
  <c r="V45" i="2" s="1"/>
  <c r="F517" i="1"/>
  <c r="F516" i="1"/>
  <c r="F515" i="1"/>
  <c r="F514" i="1"/>
  <c r="F513" i="1"/>
  <c r="F512" i="1"/>
  <c r="F511" i="1"/>
  <c r="F510" i="1"/>
  <c r="F509" i="1"/>
  <c r="F508" i="1"/>
  <c r="H507" i="1"/>
  <c r="W45" i="2" s="1"/>
  <c r="X45" i="2" s="1"/>
  <c r="F507" i="1"/>
  <c r="F506" i="1"/>
  <c r="V44" i="2" s="1"/>
  <c r="F505" i="1"/>
  <c r="F504" i="1"/>
  <c r="F503" i="1"/>
  <c r="F502" i="1"/>
  <c r="F501" i="1"/>
  <c r="F500" i="1"/>
  <c r="F499" i="1"/>
  <c r="F498" i="1"/>
  <c r="F497" i="1"/>
  <c r="F496" i="1"/>
  <c r="H495" i="1"/>
  <c r="W44" i="2" s="1"/>
  <c r="X44" i="2" s="1"/>
  <c r="F495" i="1"/>
  <c r="F494" i="1"/>
  <c r="V43" i="2" s="1"/>
  <c r="F493" i="1"/>
  <c r="F492" i="1"/>
  <c r="F491" i="1"/>
  <c r="F490" i="1"/>
  <c r="F489" i="1"/>
  <c r="F488" i="1"/>
  <c r="F487" i="1"/>
  <c r="F486" i="1"/>
  <c r="F485" i="1"/>
  <c r="F484" i="1"/>
  <c r="H483" i="1"/>
  <c r="W43" i="2" s="1"/>
  <c r="X43" i="2" s="1"/>
  <c r="F483" i="1"/>
  <c r="F482" i="1"/>
  <c r="V42" i="2" s="1"/>
  <c r="F481" i="1"/>
  <c r="F480" i="1"/>
  <c r="F479" i="1"/>
  <c r="F478" i="1"/>
  <c r="F477" i="1"/>
  <c r="F476" i="1"/>
  <c r="F475" i="1"/>
  <c r="F474" i="1"/>
  <c r="F473" i="1"/>
  <c r="F472" i="1"/>
  <c r="H471" i="1"/>
  <c r="W42" i="2" s="1"/>
  <c r="X42" i="2" s="1"/>
  <c r="F471" i="1"/>
  <c r="F470" i="1"/>
  <c r="V41" i="2" s="1"/>
  <c r="F469" i="1"/>
  <c r="F468" i="1"/>
  <c r="F467" i="1"/>
  <c r="F466" i="1"/>
  <c r="F465" i="1"/>
  <c r="F464" i="1"/>
  <c r="F463" i="1"/>
  <c r="F462" i="1"/>
  <c r="F461" i="1"/>
  <c r="F460" i="1"/>
  <c r="H459" i="1"/>
  <c r="W41" i="2" s="1"/>
  <c r="X41" i="2" s="1"/>
  <c r="F459" i="1"/>
  <c r="F458" i="1"/>
  <c r="V40" i="2" s="1"/>
  <c r="F457" i="1"/>
  <c r="F456" i="1"/>
  <c r="F455" i="1"/>
  <c r="F454" i="1"/>
  <c r="F453" i="1"/>
  <c r="F452" i="1"/>
  <c r="F451" i="1"/>
  <c r="F450" i="1"/>
  <c r="F449" i="1"/>
  <c r="F448" i="1"/>
  <c r="H447" i="1"/>
  <c r="W40" i="2" s="1"/>
  <c r="X40" i="2" s="1"/>
  <c r="F447" i="1"/>
  <c r="F446" i="1"/>
  <c r="V39" i="2" s="1"/>
  <c r="F445" i="1"/>
  <c r="F444" i="1"/>
  <c r="F443" i="1"/>
  <c r="F442" i="1"/>
  <c r="F441" i="1"/>
  <c r="F440" i="1"/>
  <c r="F439" i="1"/>
  <c r="F438" i="1"/>
  <c r="F437" i="1"/>
  <c r="F436" i="1"/>
  <c r="H435" i="1"/>
  <c r="W39" i="2" s="1"/>
  <c r="X39" i="2" s="1"/>
  <c r="F435" i="1"/>
  <c r="F434" i="1"/>
  <c r="V38" i="2" s="1"/>
  <c r="F433" i="1"/>
  <c r="F432" i="1"/>
  <c r="F431" i="1"/>
  <c r="F430" i="1"/>
  <c r="F429" i="1"/>
  <c r="F428" i="1"/>
  <c r="F427" i="1"/>
  <c r="F426" i="1"/>
  <c r="F425" i="1"/>
  <c r="F424" i="1"/>
  <c r="H423" i="1"/>
  <c r="W38" i="2" s="1"/>
  <c r="X38" i="2" s="1"/>
  <c r="F423" i="1"/>
  <c r="F422" i="1"/>
  <c r="V37" i="2" s="1"/>
  <c r="F421" i="1"/>
  <c r="F420" i="1"/>
  <c r="F419" i="1"/>
  <c r="F418" i="1"/>
  <c r="F417" i="1"/>
  <c r="F416" i="1"/>
  <c r="F415" i="1"/>
  <c r="F414" i="1"/>
  <c r="F413" i="1"/>
  <c r="F412" i="1"/>
  <c r="H411" i="1"/>
  <c r="W37" i="2" s="1"/>
  <c r="X37" i="2" s="1"/>
  <c r="F411" i="1"/>
  <c r="F410" i="1"/>
  <c r="V36" i="2" s="1"/>
  <c r="F409" i="1"/>
  <c r="F408" i="1"/>
  <c r="F407" i="1"/>
  <c r="F406" i="1"/>
  <c r="F405" i="1"/>
  <c r="F404" i="1"/>
  <c r="F403" i="1"/>
  <c r="F402" i="1"/>
  <c r="F401" i="1"/>
  <c r="F400" i="1"/>
  <c r="H399" i="1"/>
  <c r="W36" i="2" s="1"/>
  <c r="X36" i="2" s="1"/>
  <c r="F399" i="1"/>
  <c r="F398" i="1"/>
  <c r="V35" i="2" s="1"/>
  <c r="F397" i="1"/>
  <c r="F396" i="1"/>
  <c r="F395" i="1"/>
  <c r="F394" i="1"/>
  <c r="F393" i="1"/>
  <c r="F392" i="1"/>
  <c r="F391" i="1"/>
  <c r="F390" i="1"/>
  <c r="F389" i="1"/>
  <c r="F388" i="1"/>
  <c r="H387" i="1"/>
  <c r="W35" i="2" s="1"/>
  <c r="X35" i="2" s="1"/>
  <c r="F387" i="1"/>
  <c r="F386" i="1"/>
  <c r="V34" i="2" s="1"/>
  <c r="F385" i="1"/>
  <c r="F384" i="1"/>
  <c r="F383" i="1"/>
  <c r="F382" i="1"/>
  <c r="F381" i="1"/>
  <c r="F380" i="1"/>
  <c r="F379" i="1"/>
  <c r="F378" i="1"/>
  <c r="F377" i="1"/>
  <c r="F376" i="1"/>
  <c r="H375" i="1"/>
  <c r="W34" i="2" s="1"/>
  <c r="X34" i="2" s="1"/>
  <c r="F375" i="1"/>
  <c r="F374" i="1"/>
  <c r="V33" i="2" s="1"/>
  <c r="F373" i="1"/>
  <c r="F372" i="1"/>
  <c r="F371" i="1"/>
  <c r="F370" i="1"/>
  <c r="F369" i="1"/>
  <c r="F368" i="1"/>
  <c r="F367" i="1"/>
  <c r="F366" i="1"/>
  <c r="F365" i="1"/>
  <c r="F364" i="1"/>
  <c r="H363" i="1"/>
  <c r="W33" i="2" s="1"/>
  <c r="X33" i="2" s="1"/>
  <c r="F363" i="1"/>
  <c r="F362" i="1"/>
  <c r="F361" i="1"/>
  <c r="F360" i="1"/>
  <c r="F359" i="1"/>
  <c r="F358" i="1"/>
  <c r="F357" i="1"/>
  <c r="F356" i="1"/>
  <c r="F355" i="1"/>
  <c r="F354" i="1"/>
  <c r="F353" i="1"/>
  <c r="F352" i="1"/>
  <c r="H351" i="1"/>
  <c r="W32" i="2" s="1"/>
  <c r="X32" i="2" s="1"/>
  <c r="F351" i="1"/>
  <c r="F350" i="1"/>
  <c r="V31" i="2" s="1"/>
  <c r="F349" i="1"/>
  <c r="F348" i="1"/>
  <c r="F347" i="1"/>
  <c r="F346" i="1"/>
  <c r="F345" i="1"/>
  <c r="F344" i="1"/>
  <c r="F343" i="1"/>
  <c r="F342" i="1"/>
  <c r="F341" i="1"/>
  <c r="F340" i="1"/>
  <c r="H339" i="1"/>
  <c r="W31" i="2" s="1"/>
  <c r="X31" i="2" s="1"/>
  <c r="F339" i="1"/>
  <c r="F338" i="1"/>
  <c r="V30" i="2" s="1"/>
  <c r="F337" i="1"/>
  <c r="F336" i="1"/>
  <c r="F335" i="1"/>
  <c r="F334" i="1"/>
  <c r="F333" i="1"/>
  <c r="F332" i="1"/>
  <c r="F331" i="1"/>
  <c r="F330" i="1"/>
  <c r="F329" i="1"/>
  <c r="F328" i="1"/>
  <c r="H327" i="1"/>
  <c r="W30" i="2" s="1"/>
  <c r="X30" i="2" s="1"/>
  <c r="F327" i="1"/>
  <c r="F326" i="1"/>
  <c r="V29" i="2" s="1"/>
  <c r="F325" i="1"/>
  <c r="F324" i="1"/>
  <c r="F323" i="1"/>
  <c r="F322" i="1"/>
  <c r="F321" i="1"/>
  <c r="F320" i="1"/>
  <c r="F319" i="1"/>
  <c r="F318" i="1"/>
  <c r="F317" i="1"/>
  <c r="F316" i="1"/>
  <c r="H315" i="1"/>
  <c r="W29" i="2" s="1"/>
  <c r="X29" i="2" s="1"/>
  <c r="F315" i="1"/>
  <c r="F314" i="1"/>
  <c r="V28" i="2" s="1"/>
  <c r="F313" i="1"/>
  <c r="F312" i="1"/>
  <c r="F311" i="1"/>
  <c r="F310" i="1"/>
  <c r="F309" i="1"/>
  <c r="F308" i="1"/>
  <c r="F307" i="1"/>
  <c r="F306" i="1"/>
  <c r="F305" i="1"/>
  <c r="F304" i="1"/>
  <c r="H303" i="1"/>
  <c r="W28" i="2" s="1"/>
  <c r="X28" i="2" s="1"/>
  <c r="F303" i="1"/>
  <c r="F302" i="1"/>
  <c r="V27" i="2" s="1"/>
  <c r="F301" i="1"/>
  <c r="F300" i="1"/>
  <c r="F299" i="1"/>
  <c r="F298" i="1"/>
  <c r="F297" i="1"/>
  <c r="F296" i="1"/>
  <c r="F295" i="1"/>
  <c r="F294" i="1"/>
  <c r="F293" i="1"/>
  <c r="F292" i="1"/>
  <c r="H291" i="1"/>
  <c r="W27" i="2" s="1"/>
  <c r="X27" i="2" s="1"/>
  <c r="F291" i="1"/>
  <c r="F290" i="1"/>
  <c r="V26" i="2" s="1"/>
  <c r="F289" i="1"/>
  <c r="F288" i="1"/>
  <c r="F287" i="1"/>
  <c r="F286" i="1"/>
  <c r="F285" i="1"/>
  <c r="F284" i="1"/>
  <c r="F283" i="1"/>
  <c r="F282" i="1"/>
  <c r="F281" i="1"/>
  <c r="F280" i="1"/>
  <c r="H279" i="1"/>
  <c r="W26" i="2" s="1"/>
  <c r="X26" i="2" s="1"/>
  <c r="F279" i="1"/>
  <c r="F278" i="1"/>
  <c r="V25" i="2" s="1"/>
  <c r="F277" i="1"/>
  <c r="F276" i="1"/>
  <c r="F275" i="1"/>
  <c r="F274" i="1"/>
  <c r="F273" i="1"/>
  <c r="F272" i="1"/>
  <c r="F271" i="1"/>
  <c r="F270" i="1"/>
  <c r="F269" i="1"/>
  <c r="F268" i="1"/>
  <c r="H267" i="1"/>
  <c r="W25" i="2" s="1"/>
  <c r="X25" i="2" s="1"/>
  <c r="F267" i="1"/>
  <c r="F266" i="1"/>
  <c r="V24" i="2" s="1"/>
  <c r="F265" i="1"/>
  <c r="F264" i="1"/>
  <c r="F263" i="1"/>
  <c r="F262" i="1"/>
  <c r="F261" i="1"/>
  <c r="F260" i="1"/>
  <c r="F259" i="1"/>
  <c r="F258" i="1"/>
  <c r="F257" i="1"/>
  <c r="F256" i="1"/>
  <c r="H255" i="1"/>
  <c r="W24" i="2" s="1"/>
  <c r="X24" i="2" s="1"/>
  <c r="F255" i="1"/>
  <c r="F254" i="1"/>
  <c r="V23" i="2" s="1"/>
  <c r="F253" i="1"/>
  <c r="F252" i="1"/>
  <c r="F251" i="1"/>
  <c r="F250" i="1"/>
  <c r="F249" i="1"/>
  <c r="F248" i="1"/>
  <c r="F247" i="1"/>
  <c r="F246" i="1"/>
  <c r="F245" i="1"/>
  <c r="F244" i="1"/>
  <c r="H243" i="1"/>
  <c r="W23" i="2" s="1"/>
  <c r="X23" i="2" s="1"/>
  <c r="F243" i="1"/>
  <c r="F242" i="1"/>
  <c r="V22" i="2" s="1"/>
  <c r="F241" i="1"/>
  <c r="F240" i="1"/>
  <c r="F239" i="1"/>
  <c r="F238" i="1"/>
  <c r="F237" i="1"/>
  <c r="F236" i="1"/>
  <c r="F235" i="1"/>
  <c r="F234" i="1"/>
  <c r="F233" i="1"/>
  <c r="F232" i="1"/>
  <c r="H231" i="1"/>
  <c r="W22" i="2" s="1"/>
  <c r="X22" i="2" s="1"/>
  <c r="F231" i="1"/>
  <c r="F230" i="1"/>
  <c r="V21" i="2" s="1"/>
  <c r="F229" i="1"/>
  <c r="F228" i="1"/>
  <c r="F227" i="1"/>
  <c r="F226" i="1"/>
  <c r="F225" i="1"/>
  <c r="F224" i="1"/>
  <c r="F223" i="1"/>
  <c r="F222" i="1"/>
  <c r="F221" i="1"/>
  <c r="F220" i="1"/>
  <c r="H219" i="1"/>
  <c r="W21" i="2" s="1"/>
  <c r="X21" i="2" s="1"/>
  <c r="F219" i="1"/>
  <c r="F218" i="1"/>
  <c r="F217" i="1"/>
  <c r="F216" i="1"/>
  <c r="F215" i="1"/>
  <c r="F214" i="1"/>
  <c r="F213" i="1"/>
  <c r="F212" i="1"/>
  <c r="F211" i="1"/>
  <c r="F210" i="1"/>
  <c r="F209" i="1"/>
  <c r="F208" i="1"/>
  <c r="H207" i="1"/>
  <c r="W20" i="2" s="1"/>
  <c r="X20" i="2" s="1"/>
  <c r="F207" i="1"/>
  <c r="F206" i="1"/>
  <c r="V19" i="2" s="1"/>
  <c r="F205" i="1"/>
  <c r="F204" i="1"/>
  <c r="F203" i="1"/>
  <c r="F202" i="1"/>
  <c r="F201" i="1"/>
  <c r="F200" i="1"/>
  <c r="F199" i="1"/>
  <c r="F198" i="1"/>
  <c r="F197" i="1"/>
  <c r="F196" i="1"/>
  <c r="H195" i="1"/>
  <c r="W19" i="2" s="1"/>
  <c r="X19" i="2" s="1"/>
  <c r="F195" i="1"/>
  <c r="F194" i="1"/>
  <c r="V18" i="2" s="1"/>
  <c r="F193" i="1"/>
  <c r="F192" i="1"/>
  <c r="F191" i="1"/>
  <c r="F190" i="1"/>
  <c r="F189" i="1"/>
  <c r="F188" i="1"/>
  <c r="F187" i="1"/>
  <c r="F186" i="1"/>
  <c r="F185" i="1"/>
  <c r="F184" i="1"/>
  <c r="H183" i="1"/>
  <c r="W18" i="2" s="1"/>
  <c r="X18" i="2" s="1"/>
  <c r="F183" i="1"/>
  <c r="F182" i="1"/>
  <c r="V17" i="2" s="1"/>
  <c r="F181" i="1"/>
  <c r="F180" i="1"/>
  <c r="F179" i="1"/>
  <c r="F178" i="1"/>
  <c r="F177" i="1"/>
  <c r="F176" i="1"/>
  <c r="F175" i="1"/>
  <c r="F174" i="1"/>
  <c r="F173" i="1"/>
  <c r="F172" i="1"/>
  <c r="H171" i="1"/>
  <c r="W17" i="2" s="1"/>
  <c r="X17" i="2" s="1"/>
  <c r="F171" i="1"/>
  <c r="F170" i="1"/>
  <c r="F169" i="1"/>
  <c r="F168" i="1"/>
  <c r="F167" i="1"/>
  <c r="F166" i="1"/>
  <c r="F165" i="1"/>
  <c r="F164" i="1"/>
  <c r="F163" i="1"/>
  <c r="F162" i="1"/>
  <c r="F161" i="1"/>
  <c r="F160" i="1"/>
  <c r="H159" i="1"/>
  <c r="W16" i="2" s="1"/>
  <c r="X16" i="2" s="1"/>
  <c r="F159" i="1"/>
  <c r="F158" i="1"/>
  <c r="V15" i="2" s="1"/>
  <c r="F157" i="1"/>
  <c r="F156" i="1"/>
  <c r="F155" i="1"/>
  <c r="F154" i="1"/>
  <c r="F153" i="1"/>
  <c r="F152" i="1"/>
  <c r="F151" i="1"/>
  <c r="F150" i="1"/>
  <c r="F149" i="1"/>
  <c r="F148" i="1"/>
  <c r="H147" i="1"/>
  <c r="W15" i="2" s="1"/>
  <c r="X15" i="2" s="1"/>
  <c r="F147" i="1"/>
  <c r="F146" i="1"/>
  <c r="V14" i="2" s="1"/>
  <c r="F145" i="1"/>
  <c r="F144" i="1"/>
  <c r="F143" i="1"/>
  <c r="F142" i="1"/>
  <c r="F141" i="1"/>
  <c r="F140" i="1"/>
  <c r="F139" i="1"/>
  <c r="F138" i="1"/>
  <c r="F137" i="1"/>
  <c r="F136" i="1"/>
  <c r="H135" i="1"/>
  <c r="W14" i="2" s="1"/>
  <c r="X14" i="2" s="1"/>
  <c r="F135" i="1"/>
  <c r="F134" i="1"/>
  <c r="V13" i="2" s="1"/>
  <c r="F133" i="1"/>
  <c r="F132" i="1"/>
  <c r="F131" i="1"/>
  <c r="F130" i="1"/>
  <c r="F129" i="1"/>
  <c r="F128" i="1"/>
  <c r="F127" i="1"/>
  <c r="F126" i="1"/>
  <c r="F125" i="1"/>
  <c r="F124" i="1"/>
  <c r="H123" i="1"/>
  <c r="W13" i="2" s="1"/>
  <c r="X13" i="2" s="1"/>
  <c r="F123" i="1"/>
  <c r="F122" i="1"/>
  <c r="V12" i="2" s="1"/>
  <c r="F121" i="1"/>
  <c r="F120" i="1"/>
  <c r="F119" i="1"/>
  <c r="F118" i="1"/>
  <c r="F117" i="1"/>
  <c r="F116" i="1"/>
  <c r="F115" i="1"/>
  <c r="F114" i="1"/>
  <c r="F113" i="1"/>
  <c r="F112" i="1"/>
  <c r="H111" i="1"/>
  <c r="W12" i="2" s="1"/>
  <c r="X12" i="2" s="1"/>
  <c r="F111" i="1"/>
  <c r="F110" i="1"/>
  <c r="V11" i="2" s="1"/>
  <c r="F109" i="1"/>
  <c r="F108" i="1"/>
  <c r="F107" i="1"/>
  <c r="F106" i="1"/>
  <c r="F105" i="1"/>
  <c r="F104" i="1"/>
  <c r="F103" i="1"/>
  <c r="F102" i="1"/>
  <c r="F101" i="1"/>
  <c r="F100" i="1"/>
  <c r="H99" i="1"/>
  <c r="W11" i="2" s="1"/>
  <c r="X11" i="2" s="1"/>
  <c r="F99" i="1"/>
  <c r="F98" i="1"/>
  <c r="V10" i="2" s="1"/>
  <c r="F97" i="1"/>
  <c r="F96" i="1"/>
  <c r="F95" i="1"/>
  <c r="F94" i="1"/>
  <c r="F93" i="1"/>
  <c r="F92" i="1"/>
  <c r="F91" i="1"/>
  <c r="F90" i="1"/>
  <c r="F89" i="1"/>
  <c r="F88" i="1"/>
  <c r="H87" i="1"/>
  <c r="W10" i="2" s="1"/>
  <c r="X10" i="2" s="1"/>
  <c r="F87" i="1"/>
  <c r="F86" i="1"/>
  <c r="F85" i="1"/>
  <c r="F84" i="1"/>
  <c r="F83" i="1"/>
  <c r="F82" i="1"/>
  <c r="F81" i="1"/>
  <c r="F80" i="1"/>
  <c r="F79" i="1"/>
  <c r="F78" i="1"/>
  <c r="F77" i="1"/>
  <c r="F76" i="1"/>
  <c r="H75" i="1"/>
  <c r="W9" i="2" s="1"/>
  <c r="X9" i="2" s="1"/>
  <c r="F75" i="1"/>
  <c r="F74" i="1"/>
  <c r="V8" i="2" s="1"/>
  <c r="F73" i="1"/>
  <c r="F72" i="1"/>
  <c r="F71" i="1"/>
  <c r="F70" i="1"/>
  <c r="F69" i="1"/>
  <c r="F68" i="1"/>
  <c r="F67" i="1"/>
  <c r="F66" i="1"/>
  <c r="F65" i="1"/>
  <c r="F64" i="1"/>
  <c r="H63" i="1"/>
  <c r="W8" i="2" s="1"/>
  <c r="X8" i="2" s="1"/>
  <c r="F63" i="1"/>
  <c r="F62" i="1"/>
  <c r="V7" i="2" s="1"/>
  <c r="F61" i="1"/>
  <c r="F60" i="1"/>
  <c r="F59" i="1"/>
  <c r="F58" i="1"/>
  <c r="F57" i="1"/>
  <c r="F56" i="1"/>
  <c r="F55" i="1"/>
  <c r="F54" i="1"/>
  <c r="F53" i="1"/>
  <c r="F52" i="1"/>
  <c r="H51" i="1"/>
  <c r="W7" i="2" s="1"/>
  <c r="X7" i="2" s="1"/>
  <c r="F51" i="1"/>
  <c r="F50" i="1"/>
  <c r="V6" i="2" s="1"/>
  <c r="F49" i="1"/>
  <c r="F48" i="1"/>
  <c r="F47" i="1"/>
  <c r="F46" i="1"/>
  <c r="F45" i="1"/>
  <c r="F44" i="1"/>
  <c r="F43" i="1"/>
  <c r="F42" i="1"/>
  <c r="F41" i="1"/>
  <c r="F40" i="1"/>
  <c r="H39" i="1"/>
  <c r="W6" i="2" s="1"/>
  <c r="X6" i="2" s="1"/>
  <c r="F39" i="1"/>
  <c r="F38" i="1"/>
  <c r="V5" i="2" s="1"/>
  <c r="F37" i="1"/>
  <c r="F36" i="1"/>
  <c r="F35" i="1"/>
  <c r="F34" i="1"/>
  <c r="F33" i="1"/>
  <c r="F32" i="1"/>
  <c r="F31" i="1"/>
  <c r="F30" i="1"/>
  <c r="F29" i="1"/>
  <c r="F28" i="1"/>
  <c r="H27" i="1"/>
  <c r="W5" i="2" s="1"/>
  <c r="X5" i="2" s="1"/>
  <c r="F27" i="1"/>
  <c r="F26" i="1"/>
  <c r="V4" i="2" s="1"/>
  <c r="F25" i="1"/>
  <c r="F24" i="1"/>
  <c r="F23" i="1"/>
  <c r="F22" i="1"/>
  <c r="F21" i="1"/>
  <c r="F20" i="1"/>
  <c r="F19" i="1"/>
  <c r="F18" i="1"/>
  <c r="F17" i="1"/>
  <c r="F16" i="1"/>
  <c r="H15" i="1"/>
  <c r="W4" i="2" s="1"/>
  <c r="X4" i="2" s="1"/>
  <c r="F15" i="1"/>
  <c r="F14" i="1"/>
  <c r="V3" i="2" s="1"/>
  <c r="F13" i="1"/>
  <c r="F12" i="1"/>
  <c r="F11" i="1"/>
  <c r="F10" i="1"/>
  <c r="F9" i="1"/>
  <c r="F8" i="1"/>
  <c r="F7" i="1"/>
  <c r="F6" i="1"/>
  <c r="F5" i="1"/>
  <c r="F4" i="1"/>
  <c r="H3" i="1"/>
  <c r="W3" i="2" s="1"/>
  <c r="X3" i="2" s="1"/>
  <c r="F3" i="1"/>
  <c r="Q37" i="4"/>
  <c r="Q29" i="4"/>
  <c r="Q15" i="4"/>
  <c r="Q16" i="4"/>
  <c r="Q6" i="4"/>
  <c r="Q40" i="4"/>
  <c r="Q32" i="4"/>
  <c r="Q21" i="4"/>
  <c r="Q18" i="4"/>
  <c r="Q7" i="4"/>
  <c r="Q33" i="4"/>
  <c r="Q25" i="4"/>
  <c r="Q2" i="4"/>
  <c r="Q13" i="4"/>
  <c r="Q3" i="4"/>
  <c r="Q31" i="4"/>
  <c r="Q19" i="4"/>
  <c r="Q8" i="4"/>
  <c r="Q34" i="4"/>
  <c r="Q22" i="4"/>
  <c r="Q1" i="4"/>
  <c r="Q43" i="4"/>
  <c r="Q35" i="4"/>
  <c r="Q27" i="4"/>
  <c r="Q24" i="4"/>
  <c r="Q12" i="4"/>
  <c r="Q4" i="4"/>
  <c r="Q38" i="4"/>
  <c r="Q30" i="4"/>
  <c r="Q17" i="4"/>
  <c r="Q14" i="4"/>
  <c r="Q5" i="4"/>
  <c r="Q41" i="4"/>
  <c r="Q23" i="4"/>
  <c r="Q10" i="4"/>
  <c r="Q28" i="4"/>
  <c r="Q11" i="4"/>
  <c r="Q39" i="4"/>
  <c r="Q20" i="4"/>
  <c r="Q42" i="4"/>
  <c r="Q26" i="4"/>
  <c r="Q9" i="4"/>
  <c r="Q36" i="4"/>
  <c r="F25" i="4" l="1"/>
  <c r="T1" i="4"/>
  <c r="S1" i="4"/>
  <c r="R1" i="4"/>
  <c r="U1" i="4"/>
  <c r="T3" i="4"/>
  <c r="S3" i="4"/>
  <c r="R3" i="4"/>
  <c r="U3" i="4"/>
  <c r="T5" i="4"/>
  <c r="S5" i="4"/>
  <c r="R5" i="4"/>
  <c r="U5" i="4"/>
  <c r="T7" i="4"/>
  <c r="S7" i="4"/>
  <c r="R7" i="4"/>
  <c r="U7" i="4"/>
  <c r="T9" i="4"/>
  <c r="S9" i="4"/>
  <c r="R9" i="4"/>
  <c r="U9" i="4"/>
  <c r="T11" i="4"/>
  <c r="S11" i="4"/>
  <c r="R11" i="4"/>
  <c r="U11" i="4"/>
  <c r="T14" i="4"/>
  <c r="S14" i="4"/>
  <c r="R14" i="4"/>
  <c r="U14" i="4"/>
  <c r="T18" i="4"/>
  <c r="S18" i="4"/>
  <c r="R18" i="4"/>
  <c r="U18" i="4"/>
  <c r="T22" i="4"/>
  <c r="S22" i="4"/>
  <c r="R22" i="4"/>
  <c r="U22" i="4"/>
  <c r="S13" i="4"/>
  <c r="R13" i="4"/>
  <c r="U13" i="4"/>
  <c r="T13" i="4"/>
  <c r="S17" i="4"/>
  <c r="R17" i="4"/>
  <c r="U17" i="4"/>
  <c r="T17" i="4"/>
  <c r="S21" i="4"/>
  <c r="R21" i="4"/>
  <c r="U21" i="4"/>
  <c r="T21" i="4"/>
  <c r="S26" i="4"/>
  <c r="R26" i="4"/>
  <c r="U26" i="4"/>
  <c r="T26" i="4"/>
  <c r="S28" i="4"/>
  <c r="R28" i="4"/>
  <c r="U28" i="4"/>
  <c r="T28" i="4"/>
  <c r="S30" i="4"/>
  <c r="R30" i="4"/>
  <c r="U30" i="4"/>
  <c r="T30" i="4"/>
  <c r="S32" i="4"/>
  <c r="R32" i="4"/>
  <c r="U32" i="4"/>
  <c r="T32" i="4"/>
  <c r="S34" i="4"/>
  <c r="R34" i="4"/>
  <c r="U34" i="4"/>
  <c r="T34" i="4"/>
  <c r="S36" i="4"/>
  <c r="R36" i="4"/>
  <c r="U36" i="4"/>
  <c r="T36" i="4"/>
  <c r="S38" i="4"/>
  <c r="R38" i="4"/>
  <c r="U38" i="4"/>
  <c r="T38" i="4"/>
  <c r="S40" i="4"/>
  <c r="R40" i="4"/>
  <c r="U40" i="4"/>
  <c r="T40" i="4"/>
  <c r="S42" i="4"/>
  <c r="R42" i="4"/>
  <c r="U42" i="4"/>
  <c r="T42" i="4"/>
  <c r="R2" i="4"/>
  <c r="U2" i="4"/>
  <c r="T2" i="4"/>
  <c r="S2" i="4"/>
  <c r="R4" i="4"/>
  <c r="U4" i="4"/>
  <c r="T4" i="4"/>
  <c r="S4" i="4"/>
  <c r="R6" i="4"/>
  <c r="U6" i="4"/>
  <c r="T6" i="4"/>
  <c r="S6" i="4"/>
  <c r="R8" i="4"/>
  <c r="U8" i="4"/>
  <c r="T8" i="4"/>
  <c r="S8" i="4"/>
  <c r="R10" i="4"/>
  <c r="U10" i="4"/>
  <c r="T10" i="4"/>
  <c r="S10" i="4"/>
  <c r="R12" i="4"/>
  <c r="U12" i="4"/>
  <c r="T12" i="4"/>
  <c r="S12" i="4"/>
  <c r="R16" i="4"/>
  <c r="U16" i="4"/>
  <c r="T16" i="4"/>
  <c r="S16" i="4"/>
  <c r="R20" i="4"/>
  <c r="U20" i="4"/>
  <c r="T20" i="4"/>
  <c r="S20" i="4"/>
  <c r="R23" i="4"/>
  <c r="U23" i="4"/>
  <c r="T23" i="4"/>
  <c r="S23" i="4"/>
  <c r="R24" i="4"/>
  <c r="U24" i="4"/>
  <c r="T24" i="4"/>
  <c r="S24" i="4"/>
  <c r="U15" i="4"/>
  <c r="T15" i="4"/>
  <c r="S15" i="4"/>
  <c r="R15" i="4"/>
  <c r="U19" i="4"/>
  <c r="T19" i="4"/>
  <c r="S19" i="4"/>
  <c r="R19" i="4"/>
  <c r="U25" i="4"/>
  <c r="T25" i="4"/>
  <c r="S25" i="4"/>
  <c r="R25" i="4"/>
  <c r="U27" i="4"/>
  <c r="T27" i="4"/>
  <c r="S27" i="4"/>
  <c r="R27" i="4"/>
  <c r="U29" i="4"/>
  <c r="T29" i="4"/>
  <c r="S29" i="4"/>
  <c r="R29" i="4"/>
  <c r="U31" i="4"/>
  <c r="T31" i="4"/>
  <c r="S31" i="4"/>
  <c r="R31" i="4"/>
  <c r="U33" i="4"/>
  <c r="T33" i="4"/>
  <c r="S33" i="4"/>
  <c r="R33" i="4"/>
  <c r="U35" i="4"/>
  <c r="T35" i="4"/>
  <c r="S35" i="4"/>
  <c r="R35" i="4"/>
  <c r="U37" i="4"/>
  <c r="T37" i="4"/>
  <c r="S37" i="4"/>
  <c r="R37" i="4"/>
  <c r="U39" i="4"/>
  <c r="T39" i="4"/>
  <c r="S39" i="4"/>
  <c r="R39" i="4"/>
  <c r="U41" i="4"/>
  <c r="T41" i="4"/>
  <c r="S41" i="4"/>
  <c r="R41" i="4"/>
  <c r="U43" i="4"/>
  <c r="T43" i="4"/>
  <c r="S43" i="4"/>
  <c r="R43" i="4"/>
  <c r="C222" i="3"/>
  <c r="C223" i="3"/>
  <c r="G2" i="4"/>
  <c r="H2" i="4"/>
</calcChain>
</file>

<file path=xl/sharedStrings.xml><?xml version="1.0" encoding="utf-8"?>
<sst xmlns="http://schemas.openxmlformats.org/spreadsheetml/2006/main" count="4082" uniqueCount="981">
  <si>
    <t>Findings</t>
  </si>
  <si>
    <t>#</t>
  </si>
  <si>
    <t>Title</t>
  </si>
  <si>
    <t>Weakness</t>
  </si>
  <si>
    <t>Where</t>
  </si>
  <si>
    <t>Where leaked records</t>
  </si>
  <si>
    <t>CVSSv3 metrics</t>
  </si>
  <si>
    <t>Criticality</t>
  </si>
  <si>
    <t>Vulnerabilities</t>
  </si>
  <si>
    <t>Number of leaked records</t>
  </si>
  <si>
    <t>Evidence</t>
  </si>
  <si>
    <t xml:space="preserve">Effects solution </t>
  </si>
  <si>
    <t>REQ.XXXX</t>
  </si>
  <si>
    <t>Vulnerability 1</t>
  </si>
  <si>
    <t>-</t>
  </si>
  <si>
    <t>Red</t>
  </si>
  <si>
    <t>.*(xxxx|yyyy)</t>
  </si>
  <si>
    <t>Low</t>
  </si>
  <si>
    <t>None</t>
  </si>
  <si>
    <t>Change</t>
  </si>
  <si>
    <t>High</t>
  </si>
  <si>
    <t>Inexistent</t>
  </si>
  <si>
    <t>Confirmed</t>
  </si>
  <si>
    <t>Vulnerability 2</t>
  </si>
  <si>
    <t>Changed</t>
  </si>
  <si>
    <t>Confirmated</t>
  </si>
  <si>
    <t>Vulnerability 3</t>
  </si>
  <si>
    <t>Vulnerability 4</t>
  </si>
  <si>
    <t>Vulnerability 5</t>
  </si>
  <si>
    <t>Vulnerability 6</t>
  </si>
  <si>
    <t>Vulnerability 7</t>
  </si>
  <si>
    <t>Vulnerability 8</t>
  </si>
  <si>
    <t>Alta</t>
  </si>
  <si>
    <t>Ninguno</t>
  </si>
  <si>
    <t>Ninguna</t>
  </si>
  <si>
    <t>Cambió</t>
  </si>
  <si>
    <t>Alto</t>
  </si>
  <si>
    <t>Inexistente</t>
  </si>
  <si>
    <t>Confirmado</t>
  </si>
  <si>
    <t>Vulnerability 9</t>
  </si>
  <si>
    <t>Vulnerability 10</t>
  </si>
  <si>
    <t>Vulnerability 11</t>
  </si>
  <si>
    <t>Vulnerability 12</t>
  </si>
  <si>
    <t>Vulnerability 13</t>
  </si>
  <si>
    <t>Vulnerability 14</t>
  </si>
  <si>
    <t>Vulnerability 15</t>
  </si>
  <si>
    <t>Vulnerability 16</t>
  </si>
  <si>
    <t>Vulnerability 17</t>
  </si>
  <si>
    <t>Vulnerability 18</t>
  </si>
  <si>
    <t>Vulnerability 19</t>
  </si>
  <si>
    <t>Vulnerability 20</t>
  </si>
  <si>
    <t>Vulnerability 21</t>
  </si>
  <si>
    <t>Vulnerability 22</t>
  </si>
  <si>
    <t>Vulnerability 23</t>
  </si>
  <si>
    <t>Vulnerability 24</t>
  </si>
  <si>
    <t>Vulnerability 25</t>
  </si>
  <si>
    <t>Vulnerability 26</t>
  </si>
  <si>
    <t>Vulnerability 27</t>
  </si>
  <si>
    <t>Vulnerability 28</t>
  </si>
  <si>
    <t>Vulnerability 29</t>
  </si>
  <si>
    <t>Vulnerability 30</t>
  </si>
  <si>
    <t>Vulnerability 31</t>
  </si>
  <si>
    <t>Vulnerability 32</t>
  </si>
  <si>
    <t>Vulnerability 33</t>
  </si>
  <si>
    <t>Vulnerability 34</t>
  </si>
  <si>
    <t>Vulnerability 35</t>
  </si>
  <si>
    <t>Vulnerability 36</t>
  </si>
  <si>
    <t>Vulnerability 37</t>
  </si>
  <si>
    <t>Vulnerability 38</t>
  </si>
  <si>
    <t>Vulnerability 39</t>
  </si>
  <si>
    <t>Vulnerability 40</t>
  </si>
  <si>
    <t>Vulnerability 41</t>
  </si>
  <si>
    <t>Vulnerability 42</t>
  </si>
  <si>
    <t>Vulnerability 43</t>
  </si>
  <si>
    <t>Vulnerability 44</t>
  </si>
  <si>
    <t>Vulnerability 45</t>
  </si>
  <si>
    <t>Vulnerability 46</t>
  </si>
  <si>
    <t>Vulnerability 47</t>
  </si>
  <si>
    <t>Vulnerability 48</t>
  </si>
  <si>
    <t>Vulnerability 49</t>
  </si>
  <si>
    <t>Vulnerability 50</t>
  </si>
  <si>
    <t>Vulnerability 51</t>
  </si>
  <si>
    <t>Vulnerability 52</t>
  </si>
  <si>
    <t>Vulnerability 53</t>
  </si>
  <si>
    <t>Vulnerability 54</t>
  </si>
  <si>
    <t>Vulnerability 55</t>
  </si>
  <si>
    <t>Vulnerability 56</t>
  </si>
  <si>
    <t>Vulnerability 57</t>
  </si>
  <si>
    <t>Vulnerability 58</t>
  </si>
  <si>
    <t>Vulnerability 59</t>
  </si>
  <si>
    <t>Vulnerability 60</t>
  </si>
  <si>
    <t>Formula</t>
  </si>
  <si>
    <t>Not required</t>
  </si>
  <si>
    <t>Manual</t>
  </si>
  <si>
    <t>Fijo</t>
  </si>
  <si>
    <t>fixed</t>
  </si>
  <si>
    <t>not required</t>
  </si>
  <si>
    <t xml:space="preserve">Test code </t>
  </si>
  <si>
    <t>Business line</t>
  </si>
  <si>
    <t>Principal domain</t>
  </si>
  <si>
    <t>Subdomain</t>
  </si>
  <si>
    <t>Test type</t>
  </si>
  <si>
    <t>Component/ application</t>
  </si>
  <si>
    <t>Responsible management (corresponding to the affected component)</t>
  </si>
  <si>
    <t>Requirements ID</t>
  </si>
  <si>
    <t>Requirements description</t>
  </si>
  <si>
    <t>Testing factory</t>
  </si>
  <si>
    <t>Detected by</t>
  </si>
  <si>
    <t>Detected in cicle</t>
  </si>
  <si>
    <t>Scenario</t>
  </si>
  <si>
    <t>Vulnerability</t>
  </si>
  <si>
    <t>Description of the vulnerability for Bancolombia</t>
  </si>
  <si>
    <t>Scope</t>
  </si>
  <si>
    <t>Principal Category of the Vulnerability for Bancolombia</t>
  </si>
  <si>
    <t xml:space="preserve">Threat to Bancolombia
</t>
  </si>
  <si>
    <t>Report type</t>
  </si>
  <si>
    <t>Nature</t>
  </si>
  <si>
    <t xml:space="preserve">CVSSv3 metrics </t>
  </si>
  <si>
    <t xml:space="preserve">CVSSV3 criticality </t>
  </si>
  <si>
    <t>Assessment of severity according to CVSSV3</t>
  </si>
  <si>
    <t>Cardinality</t>
  </si>
  <si>
    <t xml:space="preserve">Probability - criticality of the vulnerability in Bancolombia </t>
  </si>
  <si>
    <t>Severity</t>
  </si>
  <si>
    <t>Risk level</t>
  </si>
  <si>
    <t>Risk valoration</t>
  </si>
  <si>
    <t>Risk description</t>
  </si>
  <si>
    <t>Responsible provider</t>
  </si>
  <si>
    <t>Asigned to</t>
  </si>
  <si>
    <t>ETC date form</t>
  </si>
  <si>
    <t>State</t>
  </si>
  <si>
    <t>Comments</t>
  </si>
  <si>
    <t>Identification month</t>
  </si>
  <si>
    <t>Identification date</t>
  </si>
  <si>
    <t>Closing date, accepted or delivered to metrics</t>
  </si>
  <si>
    <t>Metric closing report dates</t>
  </si>
  <si>
    <t>Responsible in PE</t>
  </si>
  <si>
    <t>Effect solutions</t>
  </si>
  <si>
    <t>Solution instructive</t>
  </si>
  <si>
    <t>Route in QC</t>
  </si>
  <si>
    <t>Fluid</t>
  </si>
  <si>
    <t>juancarr</t>
  </si>
  <si>
    <t>Finding</t>
  </si>
  <si>
    <t>Security</t>
  </si>
  <si>
    <t>Open</t>
  </si>
  <si>
    <t>&lt;Report Delivery Date&gt;</t>
  </si>
  <si>
    <t>Security criteria Bancolombia</t>
  </si>
  <si>
    <t>Code</t>
  </si>
  <si>
    <t>Description</t>
  </si>
  <si>
    <t>Cap</t>
  </si>
  <si>
    <t>Information asset</t>
  </si>
  <si>
    <t>Phase</t>
  </si>
  <si>
    <t>Profiling</t>
  </si>
  <si>
    <t>Test</t>
  </si>
  <si>
    <t>Verified</t>
  </si>
  <si>
    <t>Alignment</t>
  </si>
  <si>
    <t>Details</t>
  </si>
  <si>
    <t>REQ.0001</t>
  </si>
  <si>
    <t>El mecanismo de administración de un sistema, debe ser accesible solo desde segmentos de red de gestión o administrativos.</t>
  </si>
  <si>
    <t>Capa de Aplicación</t>
  </si>
  <si>
    <t>Administración del sistema</t>
  </si>
  <si>
    <t>Confidencialidad</t>
  </si>
  <si>
    <t>Operación</t>
  </si>
  <si>
    <t>REQ.0002</t>
  </si>
  <si>
    <t>Los activos de información del sistema deben estar identificados.</t>
  </si>
  <si>
    <t>Capa de Recursos</t>
  </si>
  <si>
    <t>Activos de información</t>
  </si>
  <si>
    <t>Adherencia</t>
  </si>
  <si>
    <t>Análisis</t>
  </si>
  <si>
    <t>REQ.0003</t>
  </si>
  <si>
    <t>Cada activo de información debe estar asociado como mínimo a un propietario.</t>
  </si>
  <si>
    <t>REQ.0004</t>
  </si>
  <si>
    <t>Cada activo de información debe estar valorado en términos monetarios.</t>
  </si>
  <si>
    <t>REQ.0005</t>
  </si>
  <si>
    <t>Las amenazas asociadas a un activo de información deben estar identificadas y documentadas.</t>
  </si>
  <si>
    <t>REQ.0006</t>
  </si>
  <si>
    <t>Los sistemas que interactúen con un activo de información deben tener identificadas las  vulnerabilidades que apliquen  sobre ellos y que sean conocidas.</t>
  </si>
  <si>
    <t>REQ.0007</t>
  </si>
  <si>
    <t>Cada amenaza sobre un activo de información debe ser medida en términos de su probabilidad de ocurrencia.</t>
  </si>
  <si>
    <t>REQ.0008</t>
  </si>
  <si>
    <t>Cada amenaza sobre un activo de información debe ser medida en términos de su impacto.</t>
  </si>
  <si>
    <t>REQ.0009</t>
  </si>
  <si>
    <t>Cada riesgo de seguridad de información, debe estar medido en función de su probabilidad e impacto.</t>
  </si>
  <si>
    <t>Capa de Negocio</t>
  </si>
  <si>
    <t>REQ.0010</t>
  </si>
  <si>
    <t>El criterio de seguridad de la organización debe incluir los requisitos legales que aplican sobre la seguridad de la información.</t>
  </si>
  <si>
    <t>Criterio de seguridad</t>
  </si>
  <si>
    <t>REQ.0011</t>
  </si>
  <si>
    <t>Los posibles atacantes del sistema deben estar identificados.</t>
  </si>
  <si>
    <t>REQ.0012</t>
  </si>
  <si>
    <t>El sistema no debe desplegar archivos temporales al ambiente de producción.</t>
  </si>
  <si>
    <t>Archivos</t>
  </si>
  <si>
    <t>Despliegue</t>
  </si>
  <si>
    <t>REQ.0013</t>
  </si>
  <si>
    <t>El sistema no debe incluir nombres de directorios o rutas de archivos en parámetros.</t>
  </si>
  <si>
    <t>Construcción</t>
  </si>
  <si>
    <t>REQ.0014</t>
  </si>
  <si>
    <t>Los archivos del sistema deben ser referenciados mediante rutas absolutas.</t>
  </si>
  <si>
    <t>Integridad</t>
  </si>
  <si>
    <t>REQ.0015</t>
  </si>
  <si>
    <t>El proceso de autenticación debe implementar restricciones adicionales en el escenario de credenciales erróneas.</t>
  </si>
  <si>
    <t>Proceso de autenticación</t>
  </si>
  <si>
    <t>REQ.0016</t>
  </si>
  <si>
    <t>El sistema debe validar que el formato (estructura) de los archivos corresponda con su extensión.</t>
  </si>
  <si>
    <t>REQ.0017</t>
  </si>
  <si>
    <t>El sistema debe validar que el contenido de los archivos transferidos hacia el mismo sistema esté libre de código malicioso.</t>
  </si>
  <si>
    <t>Madurez</t>
  </si>
  <si>
    <t>REQ.0018</t>
  </si>
  <si>
    <t>El sistema solo debe aceptar  archivos cuyo formato (estructura) sea requerido por la operativa del negocio.</t>
  </si>
  <si>
    <t>REQ.0019</t>
  </si>
  <si>
    <t>El sistema debe reutilizar las conexiones a la base de datos.</t>
  </si>
  <si>
    <t>Código fuente</t>
  </si>
  <si>
    <t>Rendimiento</t>
  </si>
  <si>
    <t>REQ.0022</t>
  </si>
  <si>
    <t>El sistema de autenticación debe tener un retraso incremental de 5 segundos cuando se ingresen credenciales de autenticación erróneas, hasta llegar a un máximo de 30 segundos.</t>
  </si>
  <si>
    <t>REQ.0023</t>
  </si>
  <si>
    <t>Las respuestas del sistema a los fallos de autenticación no deben indicar cual parte de la autenticación fue incorrecta.</t>
  </si>
  <si>
    <t>REQ.0024</t>
  </si>
  <si>
    <t>El sistema debe bloquear una cuenta de un usuario después de varios intentos de autenticación fallidos.</t>
  </si>
  <si>
    <t>Disponibilidad</t>
  </si>
  <si>
    <t>REQ.0025</t>
  </si>
  <si>
    <t>El sistema debe notificar a cualquier actor que intenta autenticarse, que el acceso en el mismo sistema solo está disponible para usuarios autorizados.</t>
  </si>
  <si>
    <t>Responsabilidad</t>
  </si>
  <si>
    <t>REQ.0026</t>
  </si>
  <si>
    <t>El Proceso de Autenticación unificado (SSO: Single Sign On) debe implementarse mediante protocolos estándar (ej: SAML).</t>
  </si>
  <si>
    <t>Interoperatividad</t>
  </si>
  <si>
    <t>REQ.0027</t>
  </si>
  <si>
    <t>El sistema debe solicitar como mínimo un nombre de usuario y una contraseña a cualquier actor que intenta autenticarse.</t>
  </si>
  <si>
    <t>Autenticidad</t>
  </si>
  <si>
    <t>REQ.0028</t>
  </si>
  <si>
    <t>Un sistema con información crítica para el negocio debe requerir claves de un solo uso en el proceso de autenticación.</t>
  </si>
  <si>
    <t>REQ.0029</t>
  </si>
  <si>
    <t>Un sistema con información crítica para el negocio debe tener un componente para verificación biométrica durante el proceso de autenticación.</t>
  </si>
  <si>
    <t>REQ.0030</t>
  </si>
  <si>
    <t>Un sistema con información crítica para el negocio debe requerir la identificación del equipo desde el cual se autentica un usuario o sistema.</t>
  </si>
  <si>
    <t>REQ.0031</t>
  </si>
  <si>
    <t>Un sistema con información crítica para el negocio debe requerir certificados digitales de cliente en el proceso de autenticación.</t>
  </si>
  <si>
    <t>Certificados digitales</t>
  </si>
  <si>
    <t>REQ.0032</t>
  </si>
  <si>
    <t>El sistema debe notificar al usuario el vencimiento de su contraseña con una antelación de 14 días.</t>
  </si>
  <si>
    <t>Contraseñas</t>
  </si>
  <si>
    <t>REQ.0034</t>
  </si>
  <si>
    <t>El sistema no debe imprimir las credenciales personales (usuario y contraseña) en pantalla, bajo ninguna circunstancia.</t>
  </si>
  <si>
    <t>REQ.0035</t>
  </si>
  <si>
    <t>Un sistema con información crítica para el negocio debe requerir la autenticación de 2 o más usuarios.</t>
  </si>
  <si>
    <t>REQ.0037</t>
  </si>
  <si>
    <t>El proceso de autenticación debe tener un tiempo límite establecido de 30 segundos.</t>
  </si>
  <si>
    <t>REQ.0038</t>
  </si>
  <si>
    <t>Debe validarse que el sujeto que realiza las acciones de registro, autenticación y restablecimiento de contraseña es un humano.</t>
  </si>
  <si>
    <t>REQ.0039</t>
  </si>
  <si>
    <t>El sistema debe permitir la opción de deshabilitar cuentas de usuarios a un superusuario o  administrador del sistema.</t>
  </si>
  <si>
    <t>Autorización</t>
  </si>
  <si>
    <t>REQ.0040</t>
  </si>
  <si>
    <t>El sistema debe requerir autenticación para todos los recursos, excepto para aquellos específicamente clasificados como públicos.</t>
  </si>
  <si>
    <t>Recursos del sistema</t>
  </si>
  <si>
    <t>REQ.0041</t>
  </si>
  <si>
    <t>El sistema debe poseer un mecanismo para que un usuario pueda recordar o restaurar su contraseña.</t>
  </si>
  <si>
    <t>REQ.0042</t>
  </si>
  <si>
    <t>Los privilegios para objetos nuevos deben establecerse según el principio de mínimo privilegio (umask)</t>
  </si>
  <si>
    <t>Sistema operativo</t>
  </si>
  <si>
    <t>REQ.0043</t>
  </si>
  <si>
    <t>El sistema no debe permitir a un actor del sistema, aumentar los privilegios para él mismo.</t>
  </si>
  <si>
    <t>REQ.0044</t>
  </si>
  <si>
    <t>El sistema debe restringir el acceso a objetos del sistema que tengan contenido sensible y sólo permitir acceso a usuarios autorizados.</t>
  </si>
  <si>
    <t>Datos</t>
  </si>
  <si>
    <t>REQ.0045</t>
  </si>
  <si>
    <t>El sistema debe restringir el acceso a funciones del sistema que ejecutan procesos críticos de negocio. Solo permitirá acceso a usuarios autorizados.</t>
  </si>
  <si>
    <t>Funciones del sistema</t>
  </si>
  <si>
    <t>REQ.0048</t>
  </si>
  <si>
    <t>El sistema debe registrar todos los eventos excepcionales y de seguridad en una o varias bitácoras.</t>
  </si>
  <si>
    <t>Bitácoras</t>
  </si>
  <si>
    <t>REQ.0049</t>
  </si>
  <si>
    <t>El sistema debe registrar el nivel de severidad para cada evento excepcional y de seguridad.</t>
  </si>
  <si>
    <t>Facilidad de análisis</t>
  </si>
  <si>
    <t>REQ.0050</t>
  </si>
  <si>
    <t>Los eventos con severidad de depuración no deben estar habilitados en producción.</t>
  </si>
  <si>
    <t>REQ.0051</t>
  </si>
  <si>
    <t>El sistema debe registrar el momento exacto de ocurrencia (Fecha, hora, segundos, milisegundos y zona horaria) para cada evento excepcional y de seguridad.</t>
  </si>
  <si>
    <t>REQ.0052</t>
  </si>
  <si>
    <t>Las bitácoras de un sistema no deben ser modificables o alterables.</t>
  </si>
  <si>
    <t>REQ.0053</t>
  </si>
  <si>
    <t>La organización debe almacenar las bitácoras durante el tiempo establecido por los requisitos específicos.</t>
  </si>
  <si>
    <t>REQ.0054</t>
  </si>
  <si>
    <t>La gestión de bitácoras debe realizarse por el sistema operativo o un sistema externo a la aplicación.</t>
  </si>
  <si>
    <t>REQ.0055</t>
  </si>
  <si>
    <t>El sistema no debe registrar información sensible en un evento excepcional de una bitácora.</t>
  </si>
  <si>
    <t>REQ.0056</t>
  </si>
  <si>
    <t>El sistema no debe almacenar información sensible en archivos temporales o en memoria caché.</t>
  </si>
  <si>
    <t>REQ.0057</t>
  </si>
  <si>
    <t>El código fuente de un sistema no debe realizar funciones diferentes a las que han sido especificadas en los requisitos funcionales.</t>
  </si>
  <si>
    <t>REQ.0058</t>
  </si>
  <si>
    <t>El código de la aplicación debe estar libre de código malicioso.</t>
  </si>
  <si>
    <t>REQ.0059</t>
  </si>
  <si>
    <t>El código fuente no debe contener información sensible.</t>
  </si>
  <si>
    <t>REQ.0060</t>
  </si>
  <si>
    <t>El código debe compilarse o interpretarse de forma estricta.</t>
  </si>
  <si>
    <t>REQ.0061</t>
  </si>
  <si>
    <t>La codificación del sistema debe estar implementada en una versión de un lenguaje de programación estable, actualizada, probada y libre de vulnerabilidades conocidas.</t>
  </si>
  <si>
    <t>REQ.0062</t>
  </si>
  <si>
    <t>El código fuente debe estar ofuscado en ambiente de producción.</t>
  </si>
  <si>
    <t>REQ.0063</t>
  </si>
  <si>
    <t>La salida de información del sistema debe estar codificada en el lenguaje correspondiente (escaping).</t>
  </si>
  <si>
    <t>REQ.0064</t>
  </si>
  <si>
    <t>El código debe definir opciones seguras por defecto (ej: default en switches).</t>
  </si>
  <si>
    <t>REQ.0065</t>
  </si>
  <si>
    <t>El código fuente debe estar almacenado en un repositorio central.</t>
  </si>
  <si>
    <t>Proceso de desarrollo</t>
  </si>
  <si>
    <t>REQ.0066</t>
  </si>
  <si>
    <t>Los archivos generados de forma dinámica por el sistema, deben tener definido un Content-Type explícito.</t>
  </si>
  <si>
    <t>REQ.0067</t>
  </si>
  <si>
    <t>Los archivos generados de forma dinámica por el sistema deben tener definido un Character-Set explícito.</t>
  </si>
  <si>
    <t>REQ.0068</t>
  </si>
  <si>
    <t>El código fuente no debe tener funciones, métodos o clases repetidas.</t>
  </si>
  <si>
    <t>Mantenibilidad</t>
  </si>
  <si>
    <t>REQ.0069</t>
  </si>
  <si>
    <t>Las funciones, métodos o clases deben ser invocadas en algún escenario funcional del sistema.</t>
  </si>
  <si>
    <t>REQ.0070</t>
  </si>
  <si>
    <t>El código debe utilizar contenedores o estructuras de datos optimizadas.</t>
  </si>
  <si>
    <t>REQ.0071</t>
  </si>
  <si>
    <t>El sistema debe comprimir todo código que vaya a ser transferido entre sistemas o cliente.</t>
  </si>
  <si>
    <t>REQ.0072</t>
  </si>
  <si>
    <t>El código fuente debe contener funciones, métodos o fragmentos de código con una complejidad ciclomática (McCabe) inferior a 20.</t>
  </si>
  <si>
    <t>REQ.0073</t>
  </si>
  <si>
    <t>El código fuente debe estar implementado de tal forma que cierre los recursos que se abiertos que no estén en uso utilizando.</t>
  </si>
  <si>
    <t>REQ.0074</t>
  </si>
  <si>
    <t>Las variables del código fuente deben estar inicializadas de forma explícita.</t>
  </si>
  <si>
    <t>REQ.0076</t>
  </si>
  <si>
    <t>Debe usarse construcciones parametrizadas o procedimientos almacenados parametrizados para la creación dinámica de sentencias (ej: java.sql.PreparedStatement)</t>
  </si>
  <si>
    <t>REQ.0077</t>
  </si>
  <si>
    <t>El código fuente debe estar implementado de tal forma que todas la variables del código deben tener asociado un tipo de dato.</t>
  </si>
  <si>
    <t>REQ.0078</t>
  </si>
  <si>
    <t>Los comentarios del código fuente en ambiente de producción deben ser removidos.</t>
  </si>
  <si>
    <t>REQ.0079</t>
  </si>
  <si>
    <t>Los sistemas críticos de la organización deben ser redundantes.</t>
  </si>
  <si>
    <t>Sistema crítico</t>
  </si>
  <si>
    <t>REQ.0080</t>
  </si>
  <si>
    <t>Los correos electrónicos de entradas y salida deben pasar por un filtro anti-spam.</t>
  </si>
  <si>
    <t>Correo electrónico</t>
  </si>
  <si>
    <t>REQ.0081</t>
  </si>
  <si>
    <t>El cliente de correo electrónico corporativo no debe mostrar imágenes.</t>
  </si>
  <si>
    <t>REQ.0082</t>
  </si>
  <si>
    <t>El cliente de correo electrónico corporativo no debe interpretar código HTML.</t>
  </si>
  <si>
    <t>REQ.0083</t>
  </si>
  <si>
    <t>Los archivos que se encuentran adjuntos en un correo electrónico deben ser analizados por una herramienta anti-malware.</t>
  </si>
  <si>
    <t>REQ.0084</t>
  </si>
  <si>
    <t>Se debe hacer uso del campo copia oculta en lugar de destinatario para enviar correos masivos.</t>
  </si>
  <si>
    <t>REQ.0085</t>
  </si>
  <si>
    <t>Todos los correos electrónicos deben archivarse en un lugar central.</t>
  </si>
  <si>
    <t>Adaptabilidad</t>
  </si>
  <si>
    <t>REQ.0086</t>
  </si>
  <si>
    <t>Las contraseñas deben almacenarse a través de resúmenes criptográficos.</t>
  </si>
  <si>
    <t>REQ.0087</t>
  </si>
  <si>
    <t>Las contraseñas deben estar almacenadas en una fuente de datos única.</t>
  </si>
  <si>
    <t>REQ.0088</t>
  </si>
  <si>
    <t>El sistema no debe permitir cambio de contraseña para un usuario, si la nueva contraseña es igual a una de las últimas 12 contraseñas de ese usuario.</t>
  </si>
  <si>
    <t>REQ.0089</t>
  </si>
  <si>
    <t>Las contraseñas deben tener una validez máxima de 60 días.</t>
  </si>
  <si>
    <t>REQ.0090</t>
  </si>
  <si>
    <t>Las contraseñas deben tener una validez mínima de 1 día.</t>
  </si>
  <si>
    <t>REQ.0092</t>
  </si>
  <si>
    <t>Las contraseñas (tipo palabra) deben tener al menos 8 caracteres de longitud.</t>
  </si>
  <si>
    <t>REQ.0093</t>
  </si>
  <si>
    <t>Las contraseñas (tipo palabra) deben tener al menos 1 letra minúscula.</t>
  </si>
  <si>
    <t>REQ.0094</t>
  </si>
  <si>
    <t>Las contraseñas (tipo palabra) deben tener al menos 1 letra mayúscula.</t>
  </si>
  <si>
    <t>REQ.0095</t>
  </si>
  <si>
    <t>Las contraseñas (tipo palabra) deben tener al menos 1 dígito numérico.</t>
  </si>
  <si>
    <t>REQ.0096</t>
  </si>
  <si>
    <t>Las contraseñas (tipo palabra) deben tener al menos 1 carácter especial.</t>
  </si>
  <si>
    <t>REQ.0098</t>
  </si>
  <si>
    <t>Las contraseñas por defecto de los sistemas pre-construidos deben ser eliminadas, modificadas o inactivadas.</t>
  </si>
  <si>
    <t>Credenciales de acceso</t>
  </si>
  <si>
    <t>REQ.0099</t>
  </si>
  <si>
    <t>El sistema debe almacenar las contraseñas con diferentes derivaciones de clave (Salt).</t>
  </si>
  <si>
    <t>REQ.0100</t>
  </si>
  <si>
    <t>Las derivaciones de clave (Salt), deben ser aleatorias y de 48 bits como mínimo.</t>
  </si>
  <si>
    <t>REQ.0101</t>
  </si>
  <si>
    <t>El sistema debe tener la capacidad de validar que las contraseñas no contengan palabras de diccionario.</t>
  </si>
  <si>
    <t>REQ.0102</t>
  </si>
  <si>
    <t>El sistema debe forzar el cambio de contraseñas temporales generadas automáticamente después de su primer uso.</t>
  </si>
  <si>
    <t>REQ.0103</t>
  </si>
  <si>
    <t>El sistema debe forzar el cambio de contraseñas temporales generadas por un tercero después de su primer uso.</t>
  </si>
  <si>
    <t>REQ.0104</t>
  </si>
  <si>
    <t>Las contraseñas temporales que son generadas para ingreso inicial en un sistema deben tener una validez máxima de 24 horas.</t>
  </si>
  <si>
    <t>REQ.0105</t>
  </si>
  <si>
    <t>Las claves de un solo uso deben tener una longitud mínima de 6 caracteres.</t>
  </si>
  <si>
    <t>REQ.0106</t>
  </si>
  <si>
    <t>Las claves de un solo uso deben tener un validez máxima de 60 segundos.</t>
  </si>
  <si>
    <t>REQ.0107</t>
  </si>
  <si>
    <t>Las credenciales de acceso al sistema deben ser únicas para cada actor.</t>
  </si>
  <si>
    <t>REQ.0108</t>
  </si>
  <si>
    <t>El sistema debe forzar a un usuario a realizar nuevamente el proceso de autenticación en el sistema una vez haya realizado  cambio o restauración de  contraseña.</t>
  </si>
  <si>
    <t>REQ.0109</t>
  </si>
  <si>
    <t>Las funciones de criptografía del sistema deben ser implementadas con mecanismos criptográficos aceptados por el medio y avalados por Bancolombia.</t>
  </si>
  <si>
    <t>Criptografía</t>
  </si>
  <si>
    <t>REQ.0110</t>
  </si>
  <si>
    <t>La organización no debe utilizar certificados con periodo de vencimiento no mayor a 2 años siempre y cuando la longitud de llave sea mínimo de 2048 bits.</t>
  </si>
  <si>
    <t>REQ.0111</t>
  </si>
  <si>
    <t>El sistema debe utilizar certificados digitales que no se encuentren vencidos.</t>
  </si>
  <si>
    <t>REQ.0112</t>
  </si>
  <si>
    <t>Debe utilizarse certificados firmados por entidades certificadoras internas válidas cuando sean para aplicaciones internas.</t>
  </si>
  <si>
    <t>REQ.0113</t>
  </si>
  <si>
    <t>Debe utilizarse certificados firmados por entidades certificadoras externas válidas cuando sean para aplicaciones externas.</t>
  </si>
  <si>
    <t>REQ.0114</t>
  </si>
  <si>
    <t>Debe utilizarse certificados con una identificación coherente con la entidad (servicio, servidor, entre otros) a la cual se encuentra asociado.</t>
  </si>
  <si>
    <t>REQ.0115</t>
  </si>
  <si>
    <t>Debe utilizarse como mecanismo de cifrado asimétrico un tamaño de clave mínimo de 2048 bits.</t>
  </si>
  <si>
    <t>REQ.0116</t>
  </si>
  <si>
    <t>Debe utilizarse como mecanismo de cifrado simétrico un tamaño de clave mínimo de 128 bits para AES o 192 bits para 3DES.</t>
  </si>
  <si>
    <t>REQ.0117</t>
  </si>
  <si>
    <t>Debe utilizarse funciones resumen (hash) con un tamaño mínimo de 256 bits.</t>
  </si>
  <si>
    <t>REQ.0118</t>
  </si>
  <si>
    <t>Debe utilizarse con la criptografía asimétrica pares de claves separados para cifrado y firmado.</t>
  </si>
  <si>
    <t>REQ.0119</t>
  </si>
  <si>
    <t>Debe utilizarse firmas digitales para garantizar la autenticidad de información sensible.</t>
  </si>
  <si>
    <t>REQ.0120</t>
  </si>
  <si>
    <t>Los números aleatorios generados deben seguir una distribución uniforme.</t>
  </si>
  <si>
    <t>Números aleatorios</t>
  </si>
  <si>
    <t>REQ.0121</t>
  </si>
  <si>
    <t>Debe usarse el mecanismo criptográfico más seguro ofrecido por la plataforma (ej: java.security.SecureRandom) para la generación de números aleatorios usados en procesos críticos (ej: generación de ID, mapeo de códigos, llaves).</t>
  </si>
  <si>
    <t>REQ.0122</t>
  </si>
  <si>
    <t>Los respaldos de información sensible deben almacenarse cifrados.</t>
  </si>
  <si>
    <t>Respaldos</t>
  </si>
  <si>
    <t>REQ.0123</t>
  </si>
  <si>
    <t>Los datos de respaldos deben almacenarse fuera del sitio origen.</t>
  </si>
  <si>
    <t>Recuperabilidad</t>
  </si>
  <si>
    <t>REQ.0124</t>
  </si>
  <si>
    <t>Los datos de respaldos deben realizarse según la frecuencia definida en el diseño del sistema.</t>
  </si>
  <si>
    <t>REQ.0125</t>
  </si>
  <si>
    <t>Los datos confidenciales que sean trasladados a ambientes diferentes de producción deben ir enmascarados.</t>
  </si>
  <si>
    <t>REQ.0126</t>
  </si>
  <si>
    <t>La información sensible debe ser transportada a través de un canal seguro.</t>
  </si>
  <si>
    <t>REQ.0127</t>
  </si>
  <si>
    <t>Los datos del sistema operativo y los datos de negocio deben estar almacenados en ubicaciones diferentes.</t>
  </si>
  <si>
    <t>REQ.0129</t>
  </si>
  <si>
    <t>El sistema debe soportar la eliminación segura de datos sensibles cuando estos ya no son requeridos, de tal forma que no puedan ser recuperados.</t>
  </si>
  <si>
    <t>REQ.0132</t>
  </si>
  <si>
    <t>La información sensible almacenada debe estar cifrada.</t>
  </si>
  <si>
    <t>REQ.0133</t>
  </si>
  <si>
    <t>El sistema debe utilizar el mínimo nivel de privilegios cuando accede a otro sistema o a bases de datos.</t>
  </si>
  <si>
    <t>REQ.0134</t>
  </si>
  <si>
    <t>Las cadenas de conexión a la base de datos deben de estar cifradas en un archivo de configuración separado del código fuente.</t>
  </si>
  <si>
    <t>REQ.0135</t>
  </si>
  <si>
    <t>Los componentes de un sistema que son suministrados por terceros deben corresponder a versiones estables, probadas y actualizadas.</t>
  </si>
  <si>
    <t>Componentes externos</t>
  </si>
  <si>
    <t>Estabilidad</t>
  </si>
  <si>
    <t>REQ.0136</t>
  </si>
  <si>
    <t>La organización debe inspeccionar minuciosamente el código de terceras partes para asegurar que no se encuentre afectado por código malicioso.</t>
  </si>
  <si>
    <t>Pruebas</t>
  </si>
  <si>
    <t>REQ.0138</t>
  </si>
  <si>
    <t>La organización debe definir los ambientes en los cuales se configurarán las versiones del sistema. Como mínimo ambientes de Desarrollo, Pruebas y Producción.</t>
  </si>
  <si>
    <t>Diseño</t>
  </si>
  <si>
    <t>REQ.0139</t>
  </si>
  <si>
    <t>Los activos de información deben estar clasificados de acuerdo a su nivel de confidencialidad y de criticidad.</t>
  </si>
  <si>
    <t>REQ.0140</t>
  </si>
  <si>
    <t>Los roles técnicos que accederán al sistema deben estar definidos.</t>
  </si>
  <si>
    <t>Control de acceso</t>
  </si>
  <si>
    <t>REQ.0141</t>
  </si>
  <si>
    <t>Los privilegios que requieren los roles técnicos deben estar definidos.</t>
  </si>
  <si>
    <t>REQ.0142</t>
  </si>
  <si>
    <t>La organización debe definir un modelo de control de acceso a los sistemas.</t>
  </si>
  <si>
    <t>REQ.0144</t>
  </si>
  <si>
    <t>La organización debe identificar y documentar los casos de abuso que aplican en el sistema.</t>
  </si>
  <si>
    <t>REQ.0145</t>
  </si>
  <si>
    <t>Los casos de abuso del sistema deben estar relacionados entre sí.</t>
  </si>
  <si>
    <t>REQ.0146</t>
  </si>
  <si>
    <t>Los casos de seguridad del sistema deben estar documentados.</t>
  </si>
  <si>
    <t>REQ.0147</t>
  </si>
  <si>
    <t>Todo caso de seguridad debe estar relacionado como mínimo a un caso de abuso.</t>
  </si>
  <si>
    <t>REQ.0148</t>
  </si>
  <si>
    <t>Todo caso de abuso debe debe estar relacionado como mínimo a un caso de uso o a un escenario de amenaza.</t>
  </si>
  <si>
    <t>REQ.0149</t>
  </si>
  <si>
    <t xml:space="preserve">Los eventos de seguridad del sistema deben estar documentados en los casos de uso
</t>
  </si>
  <si>
    <t>REQ.0150</t>
  </si>
  <si>
    <t>Los eventos de seguridad del sistema que deben ser monitoreados deben estar identificados.</t>
  </si>
  <si>
    <t>REQ.0153</t>
  </si>
  <si>
    <t>El dispositivo debe tener la capacidad de demostrar si fue manipulado o abierto de forma no autorizada.</t>
  </si>
  <si>
    <t>Dispositivos de hardware</t>
  </si>
  <si>
    <t>REQ.0154</t>
  </si>
  <si>
    <t>El dispositivo debe eliminar la información confidencial que contenga, ante el evento de apertura del mismo.</t>
  </si>
  <si>
    <t>REQ.0155</t>
  </si>
  <si>
    <t>El dispositivo debe impedir que el ingreso de información pueda ser observado por un tercero.</t>
  </si>
  <si>
    <t>REQ.0158</t>
  </si>
  <si>
    <t>El nombre del SSID de la red inalámbrica no debe contener palabras de diccionario.</t>
  </si>
  <si>
    <t>Redes lógicas</t>
  </si>
  <si>
    <t>REQ.0159</t>
  </si>
  <si>
    <t>Los puntos de acceso a la red deben estar ubicados en lugares que permitan que la señal se propague solo en las instalaciones autorizadas.</t>
  </si>
  <si>
    <t>Redes inalámbricas</t>
  </si>
  <si>
    <t>REQ.0160</t>
  </si>
  <si>
    <t>La administración remota del punto de acceso inalámbrico debe estar habilitada solo en un puerto físico de gestión.</t>
  </si>
  <si>
    <t>REQ.0161</t>
  </si>
  <si>
    <t>Los puntos de acceso no deben usar la dirección IP configurada de fábrica.</t>
  </si>
  <si>
    <t>REQ.0162</t>
  </si>
  <si>
    <t>Se debe preferir el uso de los métodos de cifrado de clave WPA2 Personal o WPA2 Enterprise (802.1x).</t>
  </si>
  <si>
    <t>REQ.0163</t>
  </si>
  <si>
    <t>Las redes inalámbricas privadas deben filtrar el acceso por medio de credenciales de usuario y de dirección MAC autorizada.</t>
  </si>
  <si>
    <t>REQ.0165</t>
  </si>
  <si>
    <t>La organización debe cambiar el nombre por defecto de fábrica del SSID de la red inalámbrica.</t>
  </si>
  <si>
    <t>REQ.0166</t>
  </si>
  <si>
    <t>Los dispositivos GSM deben tener configurado un número de identificación personal (PIN) en la SIM Card.</t>
  </si>
  <si>
    <t>Dispositivos móviles</t>
  </si>
  <si>
    <t>REQ.0168</t>
  </si>
  <si>
    <t>La organización debe asegurar que el sistema bluetooth de los dispositivos móviles se encuentre siempre en estado apagado.</t>
  </si>
  <si>
    <t>REQ.0172</t>
  </si>
  <si>
    <t>La información de los dispositivos móviles deberá ser eliminada después de 10 intentos fallidos de la autenticación.</t>
  </si>
  <si>
    <t>REQ.0173</t>
  </si>
  <si>
    <t>La conexión a redes desde el dispositivo debe realizarse por interacción humana.</t>
  </si>
  <si>
    <t>REQ.0174</t>
  </si>
  <si>
    <t>Los dispositivos móviles deben configurarse de forma centralizada según las políticas de seguridad definidas por la organización.</t>
  </si>
  <si>
    <t>REQ.0175</t>
  </si>
  <si>
    <t>Las interfaces de red de los dispositivos móviles deben estar apagadas por defecto.</t>
  </si>
  <si>
    <t>REQ.0176</t>
  </si>
  <si>
    <t>El dispositivo móvil debe permitir su ubicación geográfica de forma remota en caso de pérdida.</t>
  </si>
  <si>
    <t>REQ.0177</t>
  </si>
  <si>
    <t>El dispositivo móvil debe permitir la destrucción de sus datos de forma remota en caso de pérdida.</t>
  </si>
  <si>
    <t>REQ.0178</t>
  </si>
  <si>
    <t>La organización debe definir y documentar un procedimiento para tratar los errores de seguridad.</t>
  </si>
  <si>
    <t>Procesos de negocio</t>
  </si>
  <si>
    <t>REQ.0180</t>
  </si>
  <si>
    <t>La organización debe definir y documentar un procedimiento para control de cambios.</t>
  </si>
  <si>
    <t>REQ.0181</t>
  </si>
  <si>
    <t>La documentación que soporta un sistema de información debe contener un capítulo de seguridad.</t>
  </si>
  <si>
    <t>REQ.0182</t>
  </si>
  <si>
    <t>Debe definirse configuraciones estándares que corrijan todas las vulnerabilidades conocidas y que sean consistentes con estándares de la industria (ej: líneas base).</t>
  </si>
  <si>
    <t>REQ.0183</t>
  </si>
  <si>
    <t>La organización debe definir y documentar un procedimiento para la administración de cuentas de usuario (Creación , modificación, eliminación, activación, desactivación y asignación de privilegios)</t>
  </si>
  <si>
    <t>REQ.0184</t>
  </si>
  <si>
    <t>Debe utilizarse correos diferentes al corporativo para registrar cuentas en redes sociales (aún en LinkedIn).</t>
  </si>
  <si>
    <t>Redes sociales</t>
  </si>
  <si>
    <t>REQ.0185</t>
  </si>
  <si>
    <t>En las redes sociales no se debe exponer información corporativa.</t>
  </si>
  <si>
    <t>REQ.0197</t>
  </si>
  <si>
    <t>Los segmentos de usuarios y servidores con aplicaciones o contenido deben permitir acceso solo a los puertos necesarios.</t>
  </si>
  <si>
    <t>REQ.0198</t>
  </si>
  <si>
    <t>Los servidores con aplicaciones o contenido solo deben tener acceso a los puertos que les permitan cumplir su propósito.</t>
  </si>
  <si>
    <t>REQ.0199</t>
  </si>
  <si>
    <t>El acceso físico a la red para los usuarios debe asignarse con base en las credenciales del usuario en la organización (ej: 802.1x).</t>
  </si>
  <si>
    <t>REQ.0200</t>
  </si>
  <si>
    <t>La organización debe filtrar el contenido de sitios web accedidos en internet.</t>
  </si>
  <si>
    <t>REQ.0201</t>
  </si>
  <si>
    <t>La red relacionada con el requerimiento debe estar segmentada.</t>
  </si>
  <si>
    <t>REQ.0202</t>
  </si>
  <si>
    <t>La organización debe deshabilitar las funciones inseguras de un servicio.</t>
  </si>
  <si>
    <t>Servicios</t>
  </si>
  <si>
    <t>REQ.0203</t>
  </si>
  <si>
    <t>La organización debe deshabilitar las funciones innecesarias de un servicio.</t>
  </si>
  <si>
    <t>REQ.0204</t>
  </si>
  <si>
    <t>El sistema debe cerrar una sesión si se presenta inactividad superior o igual a 5 minutos por parte del usuario.</t>
  </si>
  <si>
    <t>Administración de sesiones</t>
  </si>
  <si>
    <t>REQ.0205</t>
  </si>
  <si>
    <t>Si el sistema usa la transferencia de información entre páginas, debe realizarse a través de objetos de sesión.</t>
  </si>
  <si>
    <t>REQ.0206</t>
  </si>
  <si>
    <t>El número de sesiones simultáneas que un usuario puede tener en un sistema depende de las funciones que este realice.</t>
  </si>
  <si>
    <t>REQ.0207</t>
  </si>
  <si>
    <t>El estado de la sesión en aplicaciones web del lado del cliente, debe estar cifrada y con protección de integridad.</t>
  </si>
  <si>
    <t>REQ.0208</t>
  </si>
  <si>
    <t>El sistema debe proporcionar al usuario la capacidad de bloquear la sesión de forma manual desde cualquier página protegida por autenticación.</t>
  </si>
  <si>
    <t>REQ.0209</t>
  </si>
  <si>
    <t>El sistema debe proporcionar al usuario la capacidad de cerrar la sesión de forma manual.</t>
  </si>
  <si>
    <t>REQ.0211</t>
  </si>
  <si>
    <t>El sistema debe permitir a los usuarios autorizados la consulta del historial de sesiones establecidas por ellos.</t>
  </si>
  <si>
    <t>REQ.0212</t>
  </si>
  <si>
    <t>Las cookies de sesión del sistema deben tener el atributo HttpOnly.</t>
  </si>
  <si>
    <t>REQ.0213</t>
  </si>
  <si>
    <t>Se debe limitar la forma en la que un objeto puede ser reutilizado para propósito de hacerse pasar por alguien (impersonate) sin pasar por el proceso de autenticación (ej: tokens de sesión, claves o números de un solo uso, marcado de tiempo sobre mensajes)</t>
  </si>
  <si>
    <t>REQ.0214</t>
  </si>
  <si>
    <t>El sistema no debe exponer identificadores de sesión en URLs y mensajes presentados al usuario.</t>
  </si>
  <si>
    <t>REQ.0215</t>
  </si>
  <si>
    <t>La gestión administrativa del sistema debe realizarse a través de intermediarios privilegiados que permitan la contabilidad a cada individuo.</t>
  </si>
  <si>
    <t>REQ.0216</t>
  </si>
  <si>
    <t>El sistema debe verificar y reportar periódicamente el estado de la integridad de los archivos del sistema.</t>
  </si>
  <si>
    <t>REQ.0217</t>
  </si>
  <si>
    <t>La organización debe restringir el uso de compiladores en sistemas de producción únicamente para las aplicaciones que lo requieran.</t>
  </si>
  <si>
    <t>REQ.0219</t>
  </si>
  <si>
    <t>Todas las máquinas en producción deben tener una suite de seguridad no alterable por los usuarios (Antivirus, Antispyware, Host-Firewall, Host-IDS, Host-IPS)</t>
  </si>
  <si>
    <t>REQ.0220</t>
  </si>
  <si>
    <t>Un sistema debe pertenecer únicamente a uno de los ambientes definidos.</t>
  </si>
  <si>
    <t>REQ.0221</t>
  </si>
  <si>
    <t>La secuencia de inicio siempre debe preferir los medios de almacenamiento de mayor confianza.</t>
  </si>
  <si>
    <t>REQ.0222</t>
  </si>
  <si>
    <t>Las rutas de carga implícita deben preferir las rutas de mayor confianza.</t>
  </si>
  <si>
    <t>REQ.0223</t>
  </si>
  <si>
    <t>El sistema debe controlar que la información del producto solo pueda ser accesible por los administradores del sistema.</t>
  </si>
  <si>
    <t>REQ.0224</t>
  </si>
  <si>
    <t>La organización debe controlar que la configuración del BIOS en las máquinas solo pueda pueda ser accesible por personal autorizado.</t>
  </si>
  <si>
    <t>REQ.0225</t>
  </si>
  <si>
    <t>La organización debe controlar que la configuración del gestor de arranque en las máquinas solo pueda ser accesible por personal autorizado.</t>
  </si>
  <si>
    <t>REQ.0227</t>
  </si>
  <si>
    <t>Las variables de entorno del sistema operativo solo pueden ser modificables por el administrador del sistema.</t>
  </si>
  <si>
    <t>REQ.0228</t>
  </si>
  <si>
    <t>El sistema deberá ejecutarse únicamente cuando un usuario ejecute una acción explícita.</t>
  </si>
  <si>
    <t>REQ.0229</t>
  </si>
  <si>
    <t>Las credenciales del administrador solo debe poder usarse mediante una sesión de consola física (noroot).</t>
  </si>
  <si>
    <t>REQ.0230</t>
  </si>
  <si>
    <t>Un puerto debe tener un límite máximo de conexiones por IP origen.</t>
  </si>
  <si>
    <t>REQ.0231</t>
  </si>
  <si>
    <t>Las conexiones incompletas, encontradas en los protocolos de transporte orientados a conexión, deben implicar el menor costo de procesamiento posible.</t>
  </si>
  <si>
    <t>REQ.0232</t>
  </si>
  <si>
    <t>La organización debe definir umbrales del estado normal y anormal de cada recurso del sistema.</t>
  </si>
  <si>
    <t>REQ.0233</t>
  </si>
  <si>
    <t>El sistema operativo debe generar una alerta sobre el estado de un recurso cuando este sobrepase los umbrales definidos.</t>
  </si>
  <si>
    <t>REQ.0234</t>
  </si>
  <si>
    <t>El sistema operativo debe poseer la capacidad para el cifrado de discos y particiones de disco.</t>
  </si>
  <si>
    <t>REQ.0235</t>
  </si>
  <si>
    <t>Se debe restringir la copia de información en medios extraíbles.</t>
  </si>
  <si>
    <t>REQ.0236</t>
  </si>
  <si>
    <t>Los medios de instalación e imágenes pre-configuradas de sistemas operativos deben estar en un lugar físicamente seguro.</t>
  </si>
  <si>
    <t>REQ.0237</t>
  </si>
  <si>
    <t>La instalación de nuevos sistemas operativos debe partir de una imagen pre-configurada.</t>
  </si>
  <si>
    <t>REQ.0238</t>
  </si>
  <si>
    <t>La organización debe tener un acuerdo de nivel de servicio de disponibilidad con todos los terceros con los cuales comparte información.</t>
  </si>
  <si>
    <t>Acuerdo de nivel de servicio</t>
  </si>
  <si>
    <t>REQ.0239</t>
  </si>
  <si>
    <t>La organización debe tener un acuerdo de nivel de servicio de confiabilidad con todos los terceros con los cuales comparte información.</t>
  </si>
  <si>
    <t>REQ.0240</t>
  </si>
  <si>
    <t>La organización debe definir penalizaciones para ser aplicadas por el incumplimiento en los acuerdos de niveles de servicio.</t>
  </si>
  <si>
    <t>REQ.0242</t>
  </si>
  <si>
    <t>El tercero debe permitir auditorías de cliente en el alcance relacionado.</t>
  </si>
  <si>
    <t>REQ.0243</t>
  </si>
  <si>
    <t>El tiempo del sistema debe estar sincronizado con el tiempo oficial del país.</t>
  </si>
  <si>
    <t>Exactitud</t>
  </si>
  <si>
    <t>REQ.0244</t>
  </si>
  <si>
    <t>El tiempo del sistema debe estar sincronizado con el tiempo de los demás sistemas de la organización.</t>
  </si>
  <si>
    <t>REQ.0245</t>
  </si>
  <si>
    <t>El sistema debe descartar toda la información potencialmente insegura que sea recibida por entradas de datos.</t>
  </si>
  <si>
    <t>REQ.0246</t>
  </si>
  <si>
    <t>El sistema debe garantizar la unicidad de los correos electrónicos.</t>
  </si>
  <si>
    <t>REQ.0247</t>
  </si>
  <si>
    <t>El sistema debe garantizar que el correo electrónico declarado realmente pertenece a la persona en cuestión.</t>
  </si>
  <si>
    <t>REQ.0248</t>
  </si>
  <si>
    <t>El sistema debe garantizar que la visualización de correos electrónicos expuestos sean vistos por humanos.</t>
  </si>
  <si>
    <t>REQ.0249</t>
  </si>
  <si>
    <t>El sistema debe garantizar que la persona que realiza el proceso de restablecimiento de contraseña sea realmente el propietario.</t>
  </si>
  <si>
    <t>REQ.0250</t>
  </si>
  <si>
    <t>La aplicación debe garantizar que las peticiones que reciba a recursos no sigan un patrón discernible.</t>
  </si>
  <si>
    <t>REQ.0251</t>
  </si>
  <si>
    <t>La recolección activa de datos personales debe ser autorizada por el usuario dueño de la información (OECD.7, ISACA.G31.1.)</t>
  </si>
  <si>
    <t>REQ.0252</t>
  </si>
  <si>
    <t>Los datos personales deben poder ser actualizados por el usuario. (OECD.8, ISACA.G31.2.)</t>
  </si>
  <si>
    <t>REQ.0253</t>
  </si>
  <si>
    <t>El sistema debe especificar el propósito de la recolección de datos personales. (OECD.9, ISACA.G31.3.)</t>
  </si>
  <si>
    <t>REQ.0254</t>
  </si>
  <si>
    <t>El sistema debe usar los datos personales solo para el propósito indicado. (OECD.10, ISACA.G31.4.)</t>
  </si>
  <si>
    <t>REQ.0255</t>
  </si>
  <si>
    <t>Los datos personales deben protegerse con el máximo nivel de protección definido. (ISACA.G31.5)</t>
  </si>
  <si>
    <t>REQ.0256</t>
  </si>
  <si>
    <t>El sistema debe autorizar explícitamente los periféricos de entrada (teclado, mouse, etc)</t>
  </si>
  <si>
    <t>ALINEACIÓN</t>
  </si>
  <si>
    <t>TOTAL</t>
  </si>
  <si>
    <t>En diseño y perfil [DP]</t>
  </si>
  <si>
    <t>Solo en perfil [SP]</t>
  </si>
  <si>
    <t>Solo en diseño [SD]</t>
  </si>
  <si>
    <t>RIGUROSIDAD</t>
  </si>
  <si>
    <t>%</t>
  </si>
  <si>
    <t>Req. Sí</t>
  </si>
  <si>
    <t>Req. No</t>
  </si>
  <si>
    <t>Rigurosidad del Perfilamiento</t>
  </si>
  <si>
    <t>Rigurosidad de la Prueba (Planeada)</t>
  </si>
  <si>
    <t>Rigurosidad Efectiva</t>
  </si>
  <si>
    <t>Alcance (Característica)</t>
  </si>
  <si>
    <t>IMPACTOS</t>
  </si>
  <si>
    <t>MaxCri</t>
  </si>
  <si>
    <t>Rojo</t>
  </si>
  <si>
    <t>Naranja</t>
  </si>
  <si>
    <t>Amarillo</t>
  </si>
  <si>
    <t>CriterioFluid</t>
  </si>
  <si>
    <t>REQ.0002 Los activos de información del sistema deben estar identificados.</t>
  </si>
  <si>
    <t>REQ.0050 Los eventos con severidad de depuración no deben estar habilitados en producción.</t>
  </si>
  <si>
    <t>REQ.0250 La aplicación debe garantizar que las peticiones que reciba a recursos no sigan un patrón discernible.</t>
  </si>
  <si>
    <t>REQ.0040 El sistema debe requerir autenticación para todos los recursos, excepto para aquellos específicamente clasificados como públicos.</t>
  </si>
  <si>
    <t>Activos de Información</t>
  </si>
  <si>
    <t>Línea de negocio</t>
  </si>
  <si>
    <t>Dominio</t>
  </si>
  <si>
    <t>Subdominio</t>
  </si>
  <si>
    <t>Tipo de prueba</t>
  </si>
  <si>
    <t>Gerencia responsable</t>
  </si>
  <si>
    <t>Detectado en ciclo</t>
  </si>
  <si>
    <t>Escenario</t>
  </si>
  <si>
    <t>Ámbito</t>
  </si>
  <si>
    <t>Categorias Bancolombia</t>
  </si>
  <si>
    <t>Tipo de reporte</t>
  </si>
  <si>
    <t>Probabilidad</t>
  </si>
  <si>
    <t>Severidad</t>
  </si>
  <si>
    <t>Estado</t>
  </si>
  <si>
    <t>Naturaleza</t>
  </si>
  <si>
    <t>Mes</t>
  </si>
  <si>
    <t>Proveedor</t>
  </si>
  <si>
    <t>Responsable en PE</t>
  </si>
  <si>
    <t>Fábrica</t>
  </si>
  <si>
    <t>Banca Inversión</t>
  </si>
  <si>
    <t>Aplicaciones Corporativas</t>
  </si>
  <si>
    <t>A distancia</t>
  </si>
  <si>
    <t>Aplicación</t>
  </si>
  <si>
    <t>Gcia Dllo Canales</t>
  </si>
  <si>
    <t>Búsqueda</t>
  </si>
  <si>
    <t>Anónimo desde internet</t>
  </si>
  <si>
    <t>Aplicaciones</t>
  </si>
  <si>
    <t>Actualizar y configurar las líneas base de seguridad de los componentes</t>
  </si>
  <si>
    <t>Error</t>
  </si>
  <si>
    <t>25% Difícil de vulnerar</t>
  </si>
  <si>
    <t>Abierta</t>
  </si>
  <si>
    <t>Ambiente</t>
  </si>
  <si>
    <t>Enero</t>
  </si>
  <si>
    <t>ABITS</t>
  </si>
  <si>
    <t>cesospin</t>
  </si>
  <si>
    <t>Bancolombia</t>
  </si>
  <si>
    <t>Integración y BPM</t>
  </si>
  <si>
    <t>Analítica y Minería</t>
  </si>
  <si>
    <t>Gcia Dllo Aplicaciones Corp</t>
  </si>
  <si>
    <t>Cierre 1</t>
  </si>
  <si>
    <t>Anónimo desde intranet</t>
  </si>
  <si>
    <t>Bases de Datos</t>
  </si>
  <si>
    <t>Definir el modelo de autorización considerando el principio de mínimo privilegio</t>
  </si>
  <si>
    <t>Hallazgo</t>
  </si>
  <si>
    <t>50% Posible de vulnerar</t>
  </si>
  <si>
    <t>Corregida</t>
  </si>
  <si>
    <t>Conocimiento</t>
  </si>
  <si>
    <t>Febrero</t>
  </si>
  <si>
    <t>ACCENTURE</t>
  </si>
  <si>
    <t>jucuarta</t>
  </si>
  <si>
    <t>Factoring</t>
  </si>
  <si>
    <t>Mercado de Capitales</t>
  </si>
  <si>
    <t>Aplicaciones TI</t>
  </si>
  <si>
    <t>Escaneo(Infraestructura)</t>
  </si>
  <si>
    <t>Gcia Dllo de Clientes y ERP</t>
  </si>
  <si>
    <t>Cierre 2</t>
  </si>
  <si>
    <t>Escaneo de Infraestructura</t>
  </si>
  <si>
    <t>Desempeño</t>
  </si>
  <si>
    <t>Sugerencia</t>
  </si>
  <si>
    <t>75% Fácil de vulnerar</t>
  </si>
  <si>
    <t>Entregada a Metricas</t>
  </si>
  <si>
    <t>Marzo</t>
  </si>
  <si>
    <t>ACCENTURE - SOFTWARE</t>
  </si>
  <si>
    <t>lueospin</t>
  </si>
  <si>
    <t>Fiduciaria</t>
  </si>
  <si>
    <t>Negocios del activo</t>
  </si>
  <si>
    <t>Banca Electrónica</t>
  </si>
  <si>
    <t>Evidencia de Seguridad</t>
  </si>
  <si>
    <t>Gcia Dllo Medios de Pago</t>
  </si>
  <si>
    <t>Cierre 3</t>
  </si>
  <si>
    <t>Eventualidad</t>
  </si>
  <si>
    <t>Infraestructura</t>
  </si>
  <si>
    <t>100% Vulnerado Anteriormente</t>
  </si>
  <si>
    <t>ERO</t>
  </si>
  <si>
    <t>Desarrollo</t>
  </si>
  <si>
    <t>Abril</t>
  </si>
  <si>
    <t>ACCION FIDUCIARIA</t>
  </si>
  <si>
    <t>jodperez</t>
  </si>
  <si>
    <t>Leasing</t>
  </si>
  <si>
    <t>Canales CORE</t>
  </si>
  <si>
    <t>Gcia Dllo Mercado de Capitales</t>
  </si>
  <si>
    <t>Cierre 4</t>
  </si>
  <si>
    <t>Extranet asuario no autorizado</t>
  </si>
  <si>
    <t>protección de Servicios de Integración</t>
  </si>
  <si>
    <t>Evitar exponer la información técnica de la aplicación, servidores y plataformas</t>
  </si>
  <si>
    <t>Mayo</t>
  </si>
  <si>
    <t>ALCUADRADO</t>
  </si>
  <si>
    <t>fhidalgo</t>
  </si>
  <si>
    <t>MIami</t>
  </si>
  <si>
    <t>Negocios del pasivo y especializados</t>
  </si>
  <si>
    <t>Cartera Comercial y de Consumo</t>
  </si>
  <si>
    <t>Desarrollo Negocios del Activo</t>
  </si>
  <si>
    <t>Extranet usuario autorizado</t>
  </si>
  <si>
    <t>Excluir datos sensibles del código fuente y del registro de eventos</t>
  </si>
  <si>
    <t>Observación</t>
  </si>
  <si>
    <t>Documentación</t>
  </si>
  <si>
    <t>Junio</t>
  </si>
  <si>
    <t>ALFA GL</t>
  </si>
  <si>
    <t>ejmarin</t>
  </si>
  <si>
    <t>Panamá</t>
  </si>
  <si>
    <t>Canales</t>
  </si>
  <si>
    <t>Clientes CRM</t>
  </si>
  <si>
    <t>Gcia Dllo Negocios del pasivo</t>
  </si>
  <si>
    <t>Internet usuario autorizado</t>
  </si>
  <si>
    <t>Fortalecer controles en autenticación y manejo de sesión</t>
  </si>
  <si>
    <t>Ejecución</t>
  </si>
  <si>
    <t>Julio</t>
  </si>
  <si>
    <t>ALLIANCE ENTERPRISE</t>
  </si>
  <si>
    <t>jcgalleg</t>
  </si>
  <si>
    <t>Puerto Rico</t>
  </si>
  <si>
    <t>Servicios de Información</t>
  </si>
  <si>
    <t>Clientes Legados</t>
  </si>
  <si>
    <t>Gcia Dllo Servicios de Información</t>
  </si>
  <si>
    <t>Internet usuario no autorizado</t>
  </si>
  <si>
    <t>Fortalecer controles en el procesamiento de archivos</t>
  </si>
  <si>
    <t>Hardware</t>
  </si>
  <si>
    <t>Agosto</t>
  </si>
  <si>
    <t>AMAZING GLOBAL TECNOLOGIES</t>
  </si>
  <si>
    <t>jucaross</t>
  </si>
  <si>
    <t>Sufi</t>
  </si>
  <si>
    <t>Medios de Pago</t>
  </si>
  <si>
    <t>Comercio Exterior</t>
  </si>
  <si>
    <t>Gcia Dllo de Integración BPM</t>
  </si>
  <si>
    <t>Intranet usuario autorizado</t>
  </si>
  <si>
    <t>Fortalecer la protección de datos almacenados relacionados con contraseñas o llaves criptográficas</t>
  </si>
  <si>
    <t>Instalación</t>
  </si>
  <si>
    <t>Septiembre</t>
  </si>
  <si>
    <t>APLICACIONES LTDA</t>
  </si>
  <si>
    <t>djcatano</t>
  </si>
  <si>
    <t>Valores Bancolombia</t>
  </si>
  <si>
    <t>Corretaje y APT</t>
  </si>
  <si>
    <t>Gcia Base de Datos</t>
  </si>
  <si>
    <t>Intranet usuario no autorizado</t>
  </si>
  <si>
    <t>Implementar controles para validar datos de entrada</t>
  </si>
  <si>
    <t>Octubre</t>
  </si>
  <si>
    <t>ASISA LTDA</t>
  </si>
  <si>
    <t>Clientes y ERP</t>
  </si>
  <si>
    <t>Credito Hipotecario</t>
  </si>
  <si>
    <t>Gcia de Plataformas Centrales</t>
  </si>
  <si>
    <t>Parametrización</t>
  </si>
  <si>
    <t>Noviembre</t>
  </si>
  <si>
    <t>ASNET - AS/NET</t>
  </si>
  <si>
    <t>Integración e Informacion</t>
  </si>
  <si>
    <t>Datos Maestros y Operacionales</t>
  </si>
  <si>
    <t>Gcia de Plataformas Distribuidas</t>
  </si>
  <si>
    <t>Registrar eventos para trazabilidad y auditoría</t>
  </si>
  <si>
    <t>Performance</t>
  </si>
  <si>
    <t>Diciembre</t>
  </si>
  <si>
    <t>ASOBANCARIA</t>
  </si>
  <si>
    <t>Gcia de Telecomunicaciones</t>
  </si>
  <si>
    <t>Utilizar protocolos de comunicación seguros</t>
  </si>
  <si>
    <t>Requisito</t>
  </si>
  <si>
    <t>ASSENDA</t>
  </si>
  <si>
    <t>Filiales del Exterior</t>
  </si>
  <si>
    <t>Gcia de Diseño e Implementacion</t>
  </si>
  <si>
    <t>Validar la integridad de las transacciones en peticiones HTTP</t>
  </si>
  <si>
    <t>Seguridad</t>
  </si>
  <si>
    <t>ASSIS</t>
  </si>
  <si>
    <t>Financiero y Contabilidad</t>
  </si>
  <si>
    <t>Software</t>
  </si>
  <si>
    <t>AUDIT SOFTWARE</t>
  </si>
  <si>
    <t>Físicos</t>
  </si>
  <si>
    <t>AVANSOFT</t>
  </si>
  <si>
    <t>Herramienta de Integración</t>
  </si>
  <si>
    <t>BANCOLOMBIA</t>
  </si>
  <si>
    <t>Herramientas de Colaboración</t>
  </si>
  <si>
    <t>BANCOLOMBIA - ARQUITECTURA</t>
  </si>
  <si>
    <t>BANCOLOBMIA - CERTIFICACION</t>
  </si>
  <si>
    <t>Internet</t>
  </si>
  <si>
    <t>BANCOLOMBIA - DESARROLLO</t>
  </si>
  <si>
    <t>BANCOLOMBIA - GESTION DEL DESARROLLO PARA EL NEGOCIO</t>
  </si>
  <si>
    <t>MIT</t>
  </si>
  <si>
    <t>BANCOLOMBIA - INFRAESTRUCTURA</t>
  </si>
  <si>
    <t>Negocios Fiduciarios y Fondos de Inversión</t>
  </si>
  <si>
    <t>BANKVISION</t>
  </si>
  <si>
    <t>Pasivos</t>
  </si>
  <si>
    <t>BPR ASOCIADOS</t>
  </si>
  <si>
    <t>Pic y Crédito Hipotecario</t>
  </si>
  <si>
    <t>CA SOFTWARE DE COLOMBIA</t>
  </si>
  <si>
    <t>Riesgos</t>
  </si>
  <si>
    <t>CADENA</t>
  </si>
  <si>
    <t>CERTIFICACION</t>
  </si>
  <si>
    <t>Servicios Administrativos y Gestión Humana</t>
  </si>
  <si>
    <t>CHOUCAIR TESTING</t>
  </si>
  <si>
    <t>Servicios de Canales</t>
  </si>
  <si>
    <t>CM.COM E.U</t>
  </si>
  <si>
    <t>Servicios Integración</t>
  </si>
  <si>
    <t>COMPONENTES ELECTRONICAS LTDA</t>
  </si>
  <si>
    <t>SUFI</t>
  </si>
  <si>
    <t>COMPUHORAS S.A.S</t>
  </si>
  <si>
    <t>Tarjeta de Crédito</t>
  </si>
  <si>
    <t>CYBERTECH COLOMBIA</t>
  </si>
  <si>
    <t>Tarjeta de Débito</t>
  </si>
  <si>
    <t>DATAPRO</t>
  </si>
  <si>
    <t>Tesorería</t>
  </si>
  <si>
    <t>DELOITTE</t>
  </si>
  <si>
    <t>Transversales de SAP</t>
  </si>
  <si>
    <t>DIEBOLD</t>
  </si>
  <si>
    <t>Visualización y Entrega</t>
  </si>
  <si>
    <t>DIGIDATA DE COLOMBIA LTDA</t>
  </si>
  <si>
    <t>E-DEAS</t>
  </si>
  <si>
    <t>ENLACE OPERATIVO</t>
  </si>
  <si>
    <t>EXCELEC</t>
  </si>
  <si>
    <t>FARBIARZ Y ALVAREZ S.A.</t>
  </si>
  <si>
    <t>FINAC</t>
  </si>
  <si>
    <t>FISERV</t>
  </si>
  <si>
    <t>GESTOR INC SA</t>
  </si>
  <si>
    <t>HEINSOHN</t>
  </si>
  <si>
    <t>HEWLETT PACKARD COLOMBIA</t>
  </si>
  <si>
    <t>Honeywell</t>
  </si>
  <si>
    <t>IAS</t>
  </si>
  <si>
    <t>IBM</t>
  </si>
  <si>
    <t>IG SOFTWARE HOUSE S.A.</t>
  </si>
  <si>
    <t>IG WEBSERVICES S.A.</t>
  </si>
  <si>
    <t>INALTEC</t>
  </si>
  <si>
    <t>INFORMACION GERENCIAL</t>
  </si>
  <si>
    <t>INFORMESE LTDA</t>
  </si>
  <si>
    <t>INTENT</t>
  </si>
  <si>
    <t>INTERGRUPO</t>
  </si>
  <si>
    <t>INVAMER</t>
  </si>
  <si>
    <t>ITIS SUPPORT</t>
  </si>
  <si>
    <t>LASC</t>
  </si>
  <si>
    <t>MAKRO POINT</t>
  </si>
  <si>
    <t>MCKINSEY</t>
  </si>
  <si>
    <t>NASE LTDA</t>
  </si>
  <si>
    <t>NCR COLOMBIA LTDA</t>
  </si>
  <si>
    <t>NEXOS</t>
  </si>
  <si>
    <t>OCEAN SYSTEMS</t>
  </si>
  <si>
    <t>OCEANOS AZULES</t>
  </si>
  <si>
    <t>OPENCARD</t>
  </si>
  <si>
    <t>ORACLE</t>
  </si>
  <si>
    <t>PARADIGMA LTDA</t>
  </si>
  <si>
    <t>PARADIGMA SOLUTION</t>
  </si>
  <si>
    <t>PERCEPTIO</t>
  </si>
  <si>
    <t>PERSONAL SOFT</t>
  </si>
  <si>
    <t>PRAGMA</t>
  </si>
  <si>
    <t>PREDISOFT</t>
  </si>
  <si>
    <t>PROCALIDAD LTDA</t>
  </si>
  <si>
    <t>PROCIBERNETICA</t>
  </si>
  <si>
    <t>PSL</t>
  </si>
  <si>
    <t>PTESA</t>
  </si>
  <si>
    <t>SAS</t>
  </si>
  <si>
    <t>SASIF LTDA</t>
  </si>
  <si>
    <t>SERVINFORMACION</t>
  </si>
  <si>
    <t>SISTEMAS CORPORATIVOS S.A.</t>
  </si>
  <si>
    <t>SISTEMAS GYG LTDA</t>
  </si>
  <si>
    <t>SMARTSTREAM</t>
  </si>
  <si>
    <t>SOLATI</t>
  </si>
  <si>
    <t>SQA</t>
  </si>
  <si>
    <t>S-SQUARE</t>
  </si>
  <si>
    <t>TCS - SOFTWARE</t>
  </si>
  <si>
    <t>TCS SOLUTION CENTER</t>
  </si>
  <si>
    <t>THE ENIAC CORPORATION</t>
  </si>
  <si>
    <t>TLM</t>
  </si>
  <si>
    <t>TODO 1 COLOMBIA S.A.</t>
  </si>
  <si>
    <t>TODO 1 SERVICES INC</t>
  </si>
  <si>
    <t>VERTICE</t>
  </si>
  <si>
    <t>VISION SOFTWARE</t>
  </si>
  <si>
    <t>WEBSYS</t>
  </si>
  <si>
    <t>WM WIRELESS MOBILE LTDA</t>
  </si>
  <si>
    <t>Reference sheet for criticality calculation</t>
  </si>
  <si>
    <t>Metrics</t>
  </si>
  <si>
    <t>Vector</t>
  </si>
  <si>
    <t>Option</t>
  </si>
  <si>
    <t>Attack Vector</t>
  </si>
  <si>
    <t>AV</t>
  </si>
  <si>
    <t>Network</t>
  </si>
  <si>
    <t>Adjacent</t>
  </si>
  <si>
    <t>Local</t>
  </si>
  <si>
    <t>Physical</t>
  </si>
  <si>
    <t>Attack Complexity</t>
  </si>
  <si>
    <t>AC</t>
  </si>
  <si>
    <t>Privilege Required</t>
  </si>
  <si>
    <t>PR</t>
  </si>
  <si>
    <t>User Interaction</t>
  </si>
  <si>
    <t>UI</t>
  </si>
  <si>
    <t>Required</t>
  </si>
  <si>
    <t>S</t>
  </si>
  <si>
    <t>Unchanged</t>
  </si>
  <si>
    <t>Confidentiality Impact</t>
  </si>
  <si>
    <t>C</t>
  </si>
  <si>
    <t>Integrity Impact</t>
  </si>
  <si>
    <t>I</t>
  </si>
  <si>
    <t>Availability Impact</t>
  </si>
  <si>
    <t>A</t>
  </si>
  <si>
    <t>Exploit Code Maturity</t>
  </si>
  <si>
    <t>E</t>
  </si>
  <si>
    <t>Functional</t>
  </si>
  <si>
    <t>Proof of concept</t>
  </si>
  <si>
    <t>Unproven</t>
  </si>
  <si>
    <t>Remediation Level</t>
  </si>
  <si>
    <t>RL</t>
  </si>
  <si>
    <t>Unavailable</t>
  </si>
  <si>
    <t>Workaround</t>
  </si>
  <si>
    <t>Temporary Fix</t>
  </si>
  <si>
    <t>Oficial Fix</t>
  </si>
  <si>
    <t>Report Confidence</t>
  </si>
  <si>
    <t>RC</t>
  </si>
  <si>
    <t>Reasonable</t>
  </si>
  <si>
    <t>Unknown</t>
  </si>
  <si>
    <t>Metric</t>
  </si>
  <si>
    <t>Options</t>
  </si>
  <si>
    <t>N</t>
  </si>
  <si>
    <t>L</t>
  </si>
  <si>
    <t>P</t>
  </si>
  <si>
    <t>H</t>
  </si>
  <si>
    <t>R</t>
  </si>
  <si>
    <t>U</t>
  </si>
  <si>
    <t>F</t>
  </si>
  <si>
    <t>W</t>
  </si>
  <si>
    <t>T</t>
  </si>
  <si>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</sst>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
  </numFmts>
  <fonts count="21" x14ac:knownFonts="1">
    <font>
      <sz val="10"/>
      <color rgb="FF000000"/>
      <name val="Arial"/>
      <family val="2"/>
      <charset val="1"/>
    </font>
    <font>
      <b/>
      <sz val="18"/>
      <name val="Cambria"/>
      <family val="1"/>
      <charset val="1"/>
    </font>
    <font>
      <sz val="12"/>
      <name val="Times New Roman"/>
      <family val="1"/>
      <charset val="1"/>
    </font>
    <font>
      <b/>
      <sz val="12"/>
      <name val="Times New Roman"/>
      <family val="1"/>
      <charset val="1"/>
    </font>
    <font>
      <sz val="12"/>
      <color rgb="FF000000"/>
      <name val="Times New Roman"/>
      <family val="1"/>
      <charset val="1"/>
    </font>
    <font>
      <i/>
      <sz val="11"/>
      <name val="Cambria"/>
      <family val="1"/>
      <charset val="1"/>
    </font>
    <font>
      <b/>
      <sz val="11"/>
      <name val="Cambria"/>
      <family val="1"/>
      <charset val="1"/>
    </font>
    <font>
      <b/>
      <sz val="11"/>
      <name val="Cambria"/>
      <charset val="1"/>
    </font>
    <font>
      <sz val="11"/>
      <name val="Cambria"/>
      <family val="1"/>
      <charset val="1"/>
    </font>
    <font>
      <sz val="11"/>
      <name val="Arial"/>
      <family val="2"/>
      <charset val="1"/>
    </font>
    <font>
      <b/>
      <sz val="10"/>
      <name val="Cambria"/>
      <family val="1"/>
      <charset val="1"/>
    </font>
    <font>
      <sz val="10"/>
      <color rgb="FF000000"/>
      <name val="Cambria"/>
      <family val="1"/>
      <charset val="1"/>
    </font>
    <font>
      <sz val="8"/>
      <name val="Cambria"/>
      <family val="1"/>
      <charset val="1"/>
    </font>
    <font>
      <sz val="6"/>
      <name val="Cambria"/>
      <family val="1"/>
      <charset val="1"/>
    </font>
    <font>
      <sz val="6"/>
      <color rgb="FF000000"/>
      <name val="Cambria"/>
      <family val="1"/>
      <charset val="1"/>
    </font>
    <font>
      <b/>
      <sz val="8"/>
      <name val="Cambria"/>
      <family val="1"/>
      <charset val="1"/>
    </font>
    <font>
      <b/>
      <sz val="11"/>
      <name val="Arial"/>
      <family val="2"/>
      <charset val="1"/>
    </font>
    <font>
      <b/>
      <sz val="14"/>
      <name val="Cambria"/>
      <family val="1"/>
      <charset val="1"/>
    </font>
    <font>
      <sz val="11"/>
      <color rgb="FF000000"/>
      <name val="CAMBRIA"/>
      <family val="1"/>
      <charset val="1"/>
    </font>
    <font>
      <sz val="11"/>
      <color rgb="FF000000"/>
      <name val="Cambria"/>
      <family val="1"/>
      <charset val="1"/>
    </font>
    <font>
      <sz val="11"/>
      <color rgb="FF000000"/>
      <name val="Arial"/>
      <family val="2"/>
      <charset val="1"/>
    </font>
  </fonts>
  <fills count="11">
    <fill>
      <patternFill patternType="none"/>
    </fill>
    <fill>
      <patternFill patternType="gray125"/>
    </fill>
    <fill>
      <patternFill patternType="solid">
        <fgColor rgb="FFFFFFFF"/>
        <bgColor rgb="FFFFFFCC"/>
      </patternFill>
    </fill>
    <fill>
      <patternFill patternType="solid">
        <fgColor rgb="FFAFABAB"/>
        <bgColor rgb="FFB7B7B7"/>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0C0C0"/>
      </patternFill>
    </fill>
    <fill>
      <patternFill patternType="solid">
        <fgColor rgb="FFFF9900"/>
        <bgColor rgb="FFFFC000"/>
      </patternFill>
    </fill>
    <fill>
      <patternFill patternType="solid">
        <fgColor rgb="FFC0C0C0"/>
        <bgColor rgb="FFB7B7B7"/>
      </patternFill>
    </fill>
    <fill>
      <patternFill patternType="solid">
        <fgColor rgb="FFB7B7B7"/>
        <bgColor rgb="FFC0C0C0"/>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90">
    <xf numFmtId="0" fontId="0" fillId="0" borderId="0" xfId="0"/>
    <xf numFmtId="0" fontId="0" fillId="0" borderId="1" xfId="0" applyBorder="1"/>
    <xf numFmtId="0" fontId="0" fillId="0" borderId="0" xfId="0" applyBorder="1"/>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2" borderId="3" xfId="0" applyFont="1" applyFill="1" applyBorder="1" applyAlignment="1">
      <alignment horizontal="right"/>
    </xf>
    <xf numFmtId="0" fontId="4" fillId="2" borderId="3" xfId="0" applyFont="1" applyFill="1" applyBorder="1" applyAlignment="1">
      <alignment horizontal="left"/>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0" fontId="5" fillId="0" borderId="1" xfId="0" applyFont="1" applyBorder="1" applyAlignment="1">
      <alignment horizontal="center" wrapText="1"/>
    </xf>
    <xf numFmtId="0" fontId="5" fillId="4" borderId="1" xfId="0" applyFont="1" applyFill="1" applyBorder="1" applyAlignment="1">
      <alignment horizontal="center" wrapText="1"/>
    </xf>
    <xf numFmtId="0" fontId="5" fillId="5" borderId="1" xfId="0" applyFont="1" applyFill="1" applyBorder="1" applyAlignment="1">
      <alignment horizontal="center" wrapText="1"/>
    </xf>
    <xf numFmtId="0" fontId="5" fillId="6" borderId="1" xfId="0" applyFont="1" applyFill="1" applyBorder="1" applyAlignment="1">
      <alignment horizontal="center" wrapText="1"/>
    </xf>
    <xf numFmtId="0" fontId="5" fillId="5" borderId="1" xfId="0" applyFont="1" applyFill="1" applyBorder="1" applyAlignment="1">
      <alignment horizontal="left" wrapText="1"/>
    </xf>
    <xf numFmtId="0" fontId="6" fillId="7" borderId="1" xfId="0" applyFont="1" applyFill="1" applyBorder="1" applyAlignment="1">
      <alignment horizontal="center" wrapText="1"/>
    </xf>
    <xf numFmtId="0" fontId="6" fillId="8" borderId="1" xfId="0" applyFont="1" applyFill="1" applyBorder="1" applyAlignment="1">
      <alignment horizontal="center" wrapText="1"/>
    </xf>
    <xf numFmtId="0" fontId="6" fillId="5" borderId="1" xfId="0" applyFont="1" applyFill="1" applyBorder="1" applyAlignment="1">
      <alignment horizontal="center" wrapText="1"/>
    </xf>
    <xf numFmtId="0" fontId="7" fillId="5" borderId="1" xfId="0" applyFont="1" applyFill="1" applyBorder="1" applyAlignment="1">
      <alignment horizontal="left" wrapText="1"/>
    </xf>
    <xf numFmtId="0" fontId="7" fillId="5" borderId="1" xfId="0" applyFont="1" applyFill="1" applyBorder="1" applyAlignment="1">
      <alignment horizontal="center" wrapText="1"/>
    </xf>
    <xf numFmtId="0" fontId="8" fillId="0" borderId="1" xfId="0" applyFont="1" applyBorder="1" applyAlignment="1">
      <alignment horizontal="center" wrapText="1"/>
    </xf>
    <xf numFmtId="0" fontId="8" fillId="0" borderId="1" xfId="0" applyFont="1" applyBorder="1" applyAlignment="1">
      <alignment wrapText="1"/>
    </xf>
    <xf numFmtId="0" fontId="6" fillId="0" borderId="1" xfId="0" applyFont="1" applyBorder="1" applyAlignment="1">
      <alignment wrapText="1"/>
    </xf>
    <xf numFmtId="0" fontId="8" fillId="0" borderId="1" xfId="0" applyFont="1" applyBorder="1" applyAlignment="1">
      <alignment horizontal="left"/>
    </xf>
    <xf numFmtId="0" fontId="8" fillId="0" borderId="1" xfId="0" applyFont="1" applyBorder="1" applyAlignment="1">
      <alignment horizontal="left" vertical="center"/>
    </xf>
    <xf numFmtId="0" fontId="0" fillId="0" borderId="1" xfId="0" applyBorder="1" applyAlignment="1">
      <alignment horizontal="left"/>
    </xf>
    <xf numFmtId="0" fontId="9" fillId="0" borderId="1" xfId="0" applyFont="1" applyBorder="1" applyAlignment="1">
      <alignment horizontal="right"/>
    </xf>
    <xf numFmtId="0" fontId="9" fillId="0" borderId="1" xfId="0" applyFont="1" applyBorder="1" applyAlignment="1">
      <alignment wrapText="1"/>
    </xf>
    <xf numFmtId="0" fontId="1" fillId="0" borderId="2" xfId="0" applyFont="1" applyBorder="1" applyAlignment="1"/>
    <xf numFmtId="0" fontId="8" fillId="0" borderId="2" xfId="0" applyFont="1" applyBorder="1" applyAlignment="1"/>
    <xf numFmtId="0" fontId="10" fillId="9" borderId="0" xfId="0" applyFont="1" applyFill="1" applyBorder="1" applyAlignment="1">
      <alignment horizontal="center" vertical="center"/>
    </xf>
    <xf numFmtId="0" fontId="10" fillId="9" borderId="0" xfId="0" applyFont="1" applyFill="1" applyBorder="1" applyAlignment="1">
      <alignment horizontal="center" vertical="center" wrapText="1"/>
    </xf>
    <xf numFmtId="0" fontId="8" fillId="0" borderId="0" xfId="0" applyFont="1" applyBorder="1" applyAlignment="1">
      <alignment vertical="center"/>
    </xf>
    <xf numFmtId="0" fontId="11" fillId="0" borderId="0" xfId="0" applyFont="1" applyBorder="1" applyAlignment="1">
      <alignment vertical="center" wrapText="1"/>
    </xf>
    <xf numFmtId="0" fontId="11" fillId="0" borderId="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1" fillId="2" borderId="0" xfId="0" applyFont="1" applyFill="1" applyBorder="1" applyAlignment="1">
      <alignment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1" fillId="0" borderId="0" xfId="0" applyFont="1" applyBorder="1" applyAlignment="1">
      <alignment horizontal="left" vertical="center" wrapText="1"/>
    </xf>
    <xf numFmtId="0" fontId="8" fillId="0" borderId="0" xfId="0" applyFont="1" applyBorder="1" applyAlignment="1">
      <alignment vertical="center" wrapText="1"/>
    </xf>
    <xf numFmtId="0" fontId="8" fillId="0" borderId="3" xfId="0" applyFont="1" applyBorder="1" applyAlignment="1"/>
    <xf numFmtId="0" fontId="8" fillId="0" borderId="5" xfId="0" applyFont="1" applyBorder="1" applyAlignment="1"/>
    <xf numFmtId="0" fontId="8" fillId="0" borderId="3" xfId="0" applyFont="1" applyBorder="1" applyAlignment="1">
      <alignment horizontal="center"/>
    </xf>
    <xf numFmtId="0" fontId="8" fillId="0" borderId="3" xfId="0" applyFont="1" applyBorder="1" applyAlignment="1">
      <alignment vertical="center"/>
    </xf>
    <xf numFmtId="0" fontId="8" fillId="0" borderId="6" xfId="0" applyFont="1" applyBorder="1" applyAlignment="1"/>
    <xf numFmtId="0" fontId="10" fillId="10" borderId="0" xfId="0" applyFont="1" applyFill="1" applyBorder="1" applyAlignment="1">
      <alignment horizontal="right"/>
    </xf>
    <xf numFmtId="0" fontId="10" fillId="10" borderId="0" xfId="0" applyFont="1" applyFill="1" applyBorder="1" applyAlignment="1">
      <alignment horizontal="center"/>
    </xf>
    <xf numFmtId="0" fontId="10" fillId="0" borderId="7" xfId="0" applyFont="1" applyBorder="1" applyAlignment="1"/>
    <xf numFmtId="0" fontId="10" fillId="0" borderId="0" xfId="0" applyFont="1" applyAlignment="1"/>
    <xf numFmtId="0" fontId="10" fillId="0" borderId="0" xfId="0" applyFont="1" applyAlignment="1">
      <alignment horizontal="center"/>
    </xf>
    <xf numFmtId="0" fontId="8" fillId="0" borderId="0" xfId="0" applyFont="1" applyAlignment="1">
      <alignment horizontal="center"/>
    </xf>
    <xf numFmtId="0" fontId="0" fillId="0" borderId="0" xfId="0" applyFont="1" applyAlignment="1"/>
    <xf numFmtId="0" fontId="8" fillId="0" borderId="0" xfId="0" applyFont="1" applyAlignment="1">
      <alignment vertical="center"/>
    </xf>
    <xf numFmtId="0" fontId="10" fillId="0" borderId="0" xfId="0" applyFont="1" applyBorder="1" applyAlignment="1">
      <alignment horizontal="right"/>
    </xf>
    <xf numFmtId="0" fontId="8" fillId="0" borderId="7" xfId="0" applyFont="1" applyBorder="1" applyAlignment="1"/>
    <xf numFmtId="0" fontId="8" fillId="0" borderId="0" xfId="0" applyFont="1" applyAlignment="1">
      <alignment horizontal="center" vertical="center"/>
    </xf>
    <xf numFmtId="164" fontId="8" fillId="0" borderId="0" xfId="0" applyNumberFormat="1" applyFont="1" applyBorder="1" applyAlignment="1">
      <alignment horizontal="center"/>
    </xf>
    <xf numFmtId="0" fontId="8" fillId="0" borderId="0" xfId="0" applyFont="1" applyBorder="1" applyAlignment="1">
      <alignment horizontal="center"/>
    </xf>
    <xf numFmtId="164" fontId="8" fillId="0" borderId="0" xfId="0" applyNumberFormat="1" applyFont="1" applyAlignment="1">
      <alignment horizont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vertical="center"/>
    </xf>
    <xf numFmtId="0" fontId="12" fillId="0" borderId="0" xfId="0" applyFont="1" applyAlignment="1">
      <alignment vertical="center"/>
    </xf>
    <xf numFmtId="0" fontId="12" fillId="0" borderId="0" xfId="0" applyFont="1" applyAlignment="1">
      <alignment horizontal="left"/>
    </xf>
    <xf numFmtId="0" fontId="14" fillId="0" borderId="0" xfId="0" applyFont="1" applyAlignment="1">
      <alignment vertical="center"/>
    </xf>
    <xf numFmtId="0" fontId="15" fillId="0" borderId="0" xfId="0" applyFont="1" applyAlignment="1">
      <alignment horizontal="center" vertical="center"/>
    </xf>
    <xf numFmtId="0" fontId="10" fillId="0" borderId="0" xfId="0" applyFont="1" applyAlignment="1">
      <alignment horizontal="center" vertical="center"/>
    </xf>
    <xf numFmtId="0" fontId="13" fillId="0" borderId="0" xfId="0" applyFont="1" applyAlignment="1"/>
    <xf numFmtId="0" fontId="16" fillId="0" borderId="0" xfId="0" applyFont="1" applyAlignment="1"/>
    <xf numFmtId="0" fontId="16" fillId="0" borderId="0" xfId="0" applyFont="1" applyAlignment="1">
      <alignment horizontal="center"/>
    </xf>
    <xf numFmtId="0" fontId="9" fillId="0" borderId="0" xfId="0" applyFont="1" applyAlignment="1"/>
    <xf numFmtId="0" fontId="9" fillId="0" borderId="0" xfId="0" applyFont="1" applyAlignment="1">
      <alignment horizontal="right"/>
    </xf>
    <xf numFmtId="0" fontId="9" fillId="0" borderId="0" xfId="0" applyFont="1" applyBorder="1" applyAlignment="1"/>
    <xf numFmtId="0" fontId="17" fillId="0" borderId="0" xfId="0" applyFont="1" applyBorder="1" applyAlignment="1"/>
    <xf numFmtId="0" fontId="8" fillId="0" borderId="2" xfId="0" applyFont="1" applyBorder="1" applyAlignment="1">
      <alignment horizontal="center"/>
    </xf>
    <xf numFmtId="0" fontId="10" fillId="0" borderId="0" xfId="0" applyFont="1" applyBorder="1" applyAlignment="1">
      <alignment horizontal="center"/>
    </xf>
    <xf numFmtId="0" fontId="18" fillId="0" borderId="8" xfId="0" applyFont="1" applyBorder="1" applyAlignment="1"/>
    <xf numFmtId="0" fontId="19" fillId="0" borderId="8" xfId="0" applyFont="1" applyBorder="1" applyAlignment="1"/>
    <xf numFmtId="0" fontId="8" fillId="0" borderId="8" xfId="0" applyFont="1" applyBorder="1" applyAlignment="1"/>
    <xf numFmtId="0" fontId="19" fillId="0" borderId="0" xfId="0" applyFont="1" applyAlignment="1">
      <alignment wrapText="1"/>
    </xf>
    <xf numFmtId="0" fontId="20" fillId="0" borderId="8" xfId="0" applyFont="1" applyBorder="1" applyAlignment="1"/>
    <xf numFmtId="0" fontId="8" fillId="0" borderId="8" xfId="0" applyFont="1" applyBorder="1" applyAlignment="1">
      <alignment horizontal="center"/>
    </xf>
    <xf numFmtId="0" fontId="4" fillId="2" borderId="1" xfId="0" applyFont="1" applyFill="1" applyBorder="1" applyAlignment="1">
      <alignment horizontal="left" vertical="center" wrapText="1"/>
    </xf>
    <xf numFmtId="0" fontId="4" fillId="2" borderId="4" xfId="0" applyFont="1" applyFill="1" applyBorder="1" applyAlignment="1">
      <alignment horizontal="center" vertical="top"/>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 fillId="2" borderId="2" xfId="0" applyFont="1" applyFill="1" applyBorder="1" applyAlignment="1">
      <alignment horizontal="left" vertical="center"/>
    </xf>
    <xf numFmtId="0" fontId="3" fillId="3" borderId="1" xfId="0" applyFont="1" applyFill="1" applyBorder="1" applyAlignment="1">
      <alignment horizontal="center" vertical="center" wrapText="1"/>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rgb="FFFFFFFF"/>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7B7B7"/>
      <rgbColor rgb="FFFF99CC"/>
      <rgbColor rgb="FFCC99FF"/>
      <rgbColor rgb="FFFFCC99"/>
      <rgbColor rgb="FF3366FF"/>
      <rgbColor rgb="FF33CCCC"/>
      <rgbColor rgb="FF99CC00"/>
      <rgbColor rgb="FFFFC0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22"/>
  <sheetViews>
    <sheetView zoomScaleNormal="100" workbookViewId="0">
      <selection activeCell="F14" sqref="F14:G14"/>
    </sheetView>
  </sheetViews>
  <sheetFormatPr baseColWidth="10" defaultColWidth="9.140625" defaultRowHeight="12.75" x14ac:dyDescent="0.2"/>
  <cols>
    <col min="1" max="1" width="4.7109375" style="1" customWidth="1"/>
    <col min="2" max="2" width="22.5703125" style="1" customWidth="1"/>
    <col min="3" max="3" width="27.42578125" style="1" customWidth="1"/>
    <col min="4" max="4" width="22.140625" style="1" customWidth="1"/>
    <col min="5" max="5" width="39.85546875" style="1" customWidth="1"/>
    <col min="6" max="6" width="28.5703125" style="2" customWidth="1"/>
    <col min="7" max="7" width="13.7109375" style="2" customWidth="1"/>
    <col min="8" max="8" width="16.42578125" style="1" customWidth="1"/>
    <col min="9" max="9" width="17.28515625" style="1" customWidth="1"/>
    <col min="10" max="10" width="30.140625" style="1" customWidth="1"/>
    <col min="11" max="11" width="21.7109375" style="1" customWidth="1"/>
    <col min="12" max="12" width="17.85546875" style="1" customWidth="1"/>
    <col min="13" max="13" width="19.140625" style="1" customWidth="1"/>
    <col min="14" max="1025" width="9.140625" customWidth="1"/>
  </cols>
  <sheetData>
    <row r="1" spans="1:13" ht="22.5" x14ac:dyDescent="0.2">
      <c r="A1" s="88" t="s">
        <v>0</v>
      </c>
      <c r="B1" s="88"/>
      <c r="C1" s="88"/>
      <c r="D1" s="88"/>
      <c r="E1" s="88"/>
      <c r="F1" s="88"/>
      <c r="G1" s="88"/>
      <c r="H1" s="88"/>
      <c r="I1" s="88"/>
      <c r="J1" s="88"/>
      <c r="K1" s="88"/>
      <c r="L1" s="88"/>
      <c r="M1" s="88"/>
    </row>
    <row r="2" spans="1:13" ht="15.75" customHeight="1" x14ac:dyDescent="0.2">
      <c r="A2" s="3" t="s">
        <v>1</v>
      </c>
      <c r="B2" s="4" t="s">
        <v>2</v>
      </c>
      <c r="C2" s="4" t="s">
        <v>3</v>
      </c>
      <c r="D2" s="4" t="s">
        <v>4</v>
      </c>
      <c r="E2" s="4" t="s">
        <v>5</v>
      </c>
      <c r="F2" s="89" t="s">
        <v>6</v>
      </c>
      <c r="G2" s="89"/>
      <c r="H2" s="4" t="s">
        <v>7</v>
      </c>
      <c r="I2" s="4" t="s">
        <v>8</v>
      </c>
      <c r="J2" s="4" t="s">
        <v>9</v>
      </c>
      <c r="K2" s="4" t="s">
        <v>10</v>
      </c>
      <c r="L2" s="4" t="s">
        <v>11</v>
      </c>
      <c r="M2" s="4" t="s">
        <v>12</v>
      </c>
    </row>
    <row r="3" spans="1:13" ht="15.75" customHeight="1" x14ac:dyDescent="0.25">
      <c r="A3" s="87">
        <v>1</v>
      </c>
      <c r="B3" s="83" t="s">
        <v>13</v>
      </c>
      <c r="C3" s="83" t="s">
        <v>14</v>
      </c>
      <c r="D3" s="83" t="s">
        <v>14</v>
      </c>
      <c r="E3" s="83" t="s">
        <v>14</v>
      </c>
      <c r="F3" s="5" t="str">
        <f>CVSSv3!$A$4</f>
        <v>Attack Vector</v>
      </c>
      <c r="G3" s="6" t="s">
        <v>15</v>
      </c>
      <c r="H3" s="86" t="e">
        <f>ROUNDUP((IF((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lt;=0,0,(IF(G7=CVSSv3!$C$8,ROUNDUP((MIN((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ROUNDUP((MIN(1.08*((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IF(G11=CVSSv3!$C$12,CVSSv3!$C$25,(IF(G11=CVSSv3!$D$12,CVSSv3!$D$25,(IF(G11=CVSSv3!$E$12,CVSSv3!$E$25,(IF(G11=CVSSv3!$F$12,CVSSv3!$F$25,""))))))))*(IF(G12=CVSSv3!$C$13,CVSSv3!$C$26,(IF(G12=CVSSv3!$D$13,CVSSv3!$D$26,(IF(G12=CVSSv3!$E$13,CVSSv3!$E$26,(IF(G12=CVSSv3!$F$13,CVSSv3!$F$26,""))))))))*(IF(G13=CVSSv3!$C$14,CVSSv3!$C$27,(IF(G13=CVSSv3!$D$14,CVSSv3!$D$27,(IF(G13=CVSSv3!$E$14,CVSSv3!$E$27,""))))))),1)</f>
        <v>#VALUE!</v>
      </c>
      <c r="I3" s="87">
        <v>0</v>
      </c>
      <c r="J3" s="87">
        <v>0</v>
      </c>
      <c r="K3" s="83" t="s">
        <v>14</v>
      </c>
      <c r="L3" s="83" t="s">
        <v>14</v>
      </c>
      <c r="M3" s="83" t="s">
        <v>16</v>
      </c>
    </row>
    <row r="4" spans="1:13" ht="15.75" x14ac:dyDescent="0.2">
      <c r="A4" s="87"/>
      <c r="B4" s="83"/>
      <c r="C4" s="83"/>
      <c r="D4" s="83"/>
      <c r="E4" s="83"/>
      <c r="F4" s="7" t="str">
        <f>CVSSv3!$A$5</f>
        <v>Attack Complexity</v>
      </c>
      <c r="G4" s="8" t="s">
        <v>17</v>
      </c>
      <c r="H4" s="86"/>
      <c r="I4" s="87"/>
      <c r="J4" s="87"/>
      <c r="K4" s="83"/>
      <c r="L4" s="83"/>
      <c r="M4" s="83"/>
    </row>
    <row r="5" spans="1:13" ht="15.75" x14ac:dyDescent="0.2">
      <c r="A5" s="87"/>
      <c r="B5" s="83"/>
      <c r="C5" s="83"/>
      <c r="D5" s="83"/>
      <c r="E5" s="83"/>
      <c r="F5" s="7" t="str">
        <f>CVSSv3!$A$6</f>
        <v>Privilege Required</v>
      </c>
      <c r="G5" s="8" t="s">
        <v>18</v>
      </c>
      <c r="H5" s="86"/>
      <c r="I5" s="87"/>
      <c r="J5" s="87"/>
      <c r="K5" s="83"/>
      <c r="L5" s="83"/>
      <c r="M5" s="83"/>
    </row>
    <row r="6" spans="1:13" ht="15.75" x14ac:dyDescent="0.2">
      <c r="A6" s="87"/>
      <c r="B6" s="83"/>
      <c r="C6" s="83"/>
      <c r="D6" s="83"/>
      <c r="E6" s="83"/>
      <c r="F6" s="7" t="str">
        <f>CVSSv3!$A$7</f>
        <v>User Interaction</v>
      </c>
      <c r="G6" s="8" t="s">
        <v>18</v>
      </c>
      <c r="H6" s="86"/>
      <c r="I6" s="87"/>
      <c r="J6" s="87"/>
      <c r="K6" s="83"/>
      <c r="L6" s="83"/>
      <c r="M6" s="83"/>
    </row>
    <row r="7" spans="1:13" ht="15.75" x14ac:dyDescent="0.2">
      <c r="A7" s="87"/>
      <c r="B7" s="83"/>
      <c r="C7" s="83"/>
      <c r="D7" s="83"/>
      <c r="E7" s="83"/>
      <c r="F7" s="7" t="str">
        <f>CVSSv3!$A$8</f>
        <v>Scope</v>
      </c>
      <c r="G7" s="8" t="s">
        <v>19</v>
      </c>
      <c r="H7" s="86"/>
      <c r="I7" s="87"/>
      <c r="J7" s="87"/>
      <c r="K7" s="83"/>
      <c r="L7" s="83"/>
      <c r="M7" s="83"/>
    </row>
    <row r="8" spans="1:13" ht="15.75" x14ac:dyDescent="0.2">
      <c r="A8" s="87"/>
      <c r="B8" s="83"/>
      <c r="C8" s="83"/>
      <c r="D8" s="83"/>
      <c r="E8" s="83"/>
      <c r="F8" s="7" t="str">
        <f>CVSSv3!$A$9</f>
        <v>Confidentiality Impact</v>
      </c>
      <c r="G8" s="8" t="s">
        <v>20</v>
      </c>
      <c r="H8" s="86"/>
      <c r="I8" s="87"/>
      <c r="J8" s="87"/>
      <c r="K8" s="83"/>
      <c r="L8" s="83"/>
      <c r="M8" s="83"/>
    </row>
    <row r="9" spans="1:13" ht="15.75" x14ac:dyDescent="0.2">
      <c r="A9" s="87"/>
      <c r="B9" s="83"/>
      <c r="C9" s="83"/>
      <c r="D9" s="83"/>
      <c r="E9" s="83"/>
      <c r="F9" s="7" t="str">
        <f>CVSSv3!$A$10</f>
        <v>Integrity Impact</v>
      </c>
      <c r="G9" s="8" t="s">
        <v>20</v>
      </c>
      <c r="H9" s="86"/>
      <c r="I9" s="87"/>
      <c r="J9" s="87"/>
      <c r="K9" s="83"/>
      <c r="L9" s="83"/>
      <c r="M9" s="83"/>
    </row>
    <row r="10" spans="1:13" ht="15.75" x14ac:dyDescent="0.2">
      <c r="A10" s="87"/>
      <c r="B10" s="83"/>
      <c r="C10" s="83"/>
      <c r="D10" s="83"/>
      <c r="E10" s="83"/>
      <c r="F10" s="7" t="str">
        <f>CVSSv3!$A$11</f>
        <v>Availability Impact</v>
      </c>
      <c r="G10" s="8" t="s">
        <v>20</v>
      </c>
      <c r="H10" s="86"/>
      <c r="I10" s="87"/>
      <c r="J10" s="87"/>
      <c r="K10" s="83"/>
      <c r="L10" s="83"/>
      <c r="M10" s="83"/>
    </row>
    <row r="11" spans="1:13" ht="15.75" x14ac:dyDescent="0.2">
      <c r="A11" s="87"/>
      <c r="B11" s="83"/>
      <c r="C11" s="83"/>
      <c r="D11" s="83"/>
      <c r="E11" s="83"/>
      <c r="F11" s="7" t="str">
        <f>CVSSv3!$A$12</f>
        <v>Exploit Code Maturity</v>
      </c>
      <c r="G11" s="8" t="s">
        <v>20</v>
      </c>
      <c r="H11" s="86"/>
      <c r="I11" s="87"/>
      <c r="J11" s="87"/>
      <c r="K11" s="83"/>
      <c r="L11" s="83"/>
      <c r="M11" s="83"/>
    </row>
    <row r="12" spans="1:13" ht="15.75" x14ac:dyDescent="0.2">
      <c r="A12" s="87"/>
      <c r="B12" s="83"/>
      <c r="C12" s="83"/>
      <c r="D12" s="83"/>
      <c r="E12" s="83"/>
      <c r="F12" s="7" t="str">
        <f>CVSSv3!$A$13</f>
        <v>Remediation Level</v>
      </c>
      <c r="G12" s="8" t="s">
        <v>21</v>
      </c>
      <c r="H12" s="86"/>
      <c r="I12" s="87"/>
      <c r="J12" s="87"/>
      <c r="K12" s="83"/>
      <c r="L12" s="83"/>
      <c r="M12" s="83"/>
    </row>
    <row r="13" spans="1:13" ht="15.75" x14ac:dyDescent="0.2">
      <c r="A13" s="87"/>
      <c r="B13" s="83"/>
      <c r="C13" s="83"/>
      <c r="D13" s="83"/>
      <c r="E13" s="83"/>
      <c r="F13" s="7" t="str">
        <f>CVSSv3!$A$14</f>
        <v>Report Confidence</v>
      </c>
      <c r="G13" s="8" t="s">
        <v>22</v>
      </c>
      <c r="H13" s="86"/>
      <c r="I13" s="87"/>
      <c r="J13" s="87"/>
      <c r="K13" s="83"/>
      <c r="L13" s="83"/>
      <c r="M13" s="83"/>
    </row>
    <row r="14" spans="1:13" ht="15.75" x14ac:dyDescent="0.2">
      <c r="A14" s="87"/>
      <c r="B14" s="83"/>
      <c r="C14" s="83"/>
      <c r="D14" s="83"/>
      <c r="E14" s="83"/>
      <c r="F14" s="84" t="str">
        <f>"("&amp;CVSSv3!$B$4&amp;":"&amp;IF(G3=CVSSv3!$C$4,CVSSv3!$C$30,IF(G3=CVSSv3!$D$4,CVSSv3!$D$30,IF(G3=CVSSv3!$E$4,CVSSv3!$E$30,IF(G3=CVSSv3!$F$4,CVSSv3!$F$30,""))))&amp;"/"&amp;CVSSv3!$B$5&amp;":"&amp;IF(G4=CVSSv3!$C$5,CVSSv3!$C$31,IF(G4=CVSSv3!$D$5,CVSSv3!$D$31,""))&amp;"/"&amp;CVSSv3!$B$6&amp;":"&amp;IF(G5=CVSSv3!$C$6,CVSSv3!$C$32,IF(G5=CVSSv3!$D$6,CVSSv3!$D$32,IF(G5=CVSSv3!$E$6,CVSSv3!$E$32,"")))&amp;"/"&amp;CVSSv3!$B$7&amp;":"&amp;IF(G6=CVSSv3!$C$7,CVSSv3!$C$33,IF(G6=CVSSv3!$D$7,CVSSv3!$D$33,""))&amp;"/"&amp;CVSSv3!$B$8&amp;":"&amp;IF(G7=CVSSv3!$C$8,CVSSv3!$C$34,IF(G7=CVSSv3!$D$8,CVSSv3!$D$34,""))&amp;"/"&amp;CVSSv3!$B$9&amp;":"&amp;IF(G8=CVSSv3!$C$9,CVSSv3!$C$35,IF(G8=CVSSv3!$D$9,CVSSv3!$D$35,IF(G8=CVSSv3!$E$9,CVSSv3!$E$35,"")))&amp;"/"&amp;CVSSv3!$B$10&amp;":"&amp;IF(G9=CVSSv3!$C$10,CVSSv3!$C$36,IF(G9=CVSSv3!$D$10,CVSSv3!$D$36,IF(G9=CVSSv3!$E$10,CVSSv3!$E$36,"")))&amp;"/"&amp;CVSSv3!$B$11&amp;":"&amp;IF(G10=CVSSv3!$C$11,CVSSv3!$C$37,IF(G10=CVSSv3!$D$11,CVSSv3!$D$37,IF(G10=CVSSv3!$E$11,CVSSv3!$E$37,"")))&amp;"/"&amp;CVSSv3!$B$12&amp;":"&amp;IF(G11=CVSSv3!$C$12,CVSSv3!$C$38,IF(G11=CVSSv3!$D$12,CVSSv3!$D$38,IF(G11=CVSSv3!$E$12,CVSSv3!$E$38,IF(G11=CVSSv3!$F$12,CVSSv3!$F$38,""))))&amp;"/"&amp;CVSSv3!$B$13&amp;":"&amp;IF(G12=CVSSv3!$C$13,CVSSv3!$C$39,IF(G12=CVSSv3!$D$13,CVSSv3!$D$39,IF(G12=CVSSv3!$E$13,CVSSv3!$E$39,IF(G12=CVSSv3!$F$13,CVSSv3!$F$39,""))))&amp;"/"&amp;CVSSv3!$B$14&amp;":"&amp;IF(G13=CVSSv3!$C$14,CVSSv3!$C$40,IF(G13=CVSSv3!$D$14,CVSSv3!$D$40,IF(G13=CVSSv3!$E$14,CVSSv3!$E$40,"")))&amp;")"</f>
        <v>(AV:/AC:L/PR:N/UI:N/S:/C:H/I:H/A:H/E:H/RL:/RC:C)</v>
      </c>
      <c r="G14" s="84"/>
      <c r="H14" s="86"/>
      <c r="I14" s="87"/>
      <c r="J14" s="87"/>
      <c r="K14" s="83"/>
      <c r="L14" s="83"/>
      <c r="M14" s="83"/>
    </row>
    <row r="15" spans="1:13" ht="15.75" customHeight="1" x14ac:dyDescent="0.25">
      <c r="A15" s="85">
        <v>2</v>
      </c>
      <c r="B15" s="83" t="s">
        <v>23</v>
      </c>
      <c r="C15" s="83" t="s">
        <v>14</v>
      </c>
      <c r="D15" s="83" t="s">
        <v>14</v>
      </c>
      <c r="E15" s="83" t="s">
        <v>14</v>
      </c>
      <c r="F15" s="5" t="str">
        <f>CVSSv3!$A$4</f>
        <v>Attack Vector</v>
      </c>
      <c r="G15" s="6" t="s">
        <v>15</v>
      </c>
      <c r="H15" s="86" t="e">
        <f>ROUNDUP((IF((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lt;=0,0,(IF(G19=CVSSv3!$C$8,ROUNDUP((MIN((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ROUNDUP((MIN(1.08*((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IF(G23=CVSSv3!$C$12,CVSSv3!$C$25,(IF(G23=CVSSv3!$D$12,CVSSv3!$D$25,(IF(G23=CVSSv3!$E$12,CVSSv3!$E$25,(IF(G23=CVSSv3!$F$12,CVSSv3!$F$25,""))))))))*(IF(G24=CVSSv3!$C$13,CVSSv3!$C$26,(IF(G24=CVSSv3!$D$13,CVSSv3!$D$26,(IF(G24=CVSSv3!$E$13,CVSSv3!$E$26,(IF(G24=CVSSv3!$F$13,CVSSv3!$F$26,""))))))))*(IF(G25=CVSSv3!$C$14,CVSSv3!$C$27,(IF(G25=CVSSv3!$D$14,CVSSv3!$D$27,(IF(G25=CVSSv3!$E$14,CVSSv3!$E$27,""))))))),1)</f>
        <v>#VALUE!</v>
      </c>
      <c r="I15" s="87">
        <v>0</v>
      </c>
      <c r="J15" s="87">
        <v>0</v>
      </c>
      <c r="K15" s="83" t="s">
        <v>14</v>
      </c>
      <c r="L15" s="83" t="s">
        <v>14</v>
      </c>
      <c r="M15" s="83" t="s">
        <v>16</v>
      </c>
    </row>
    <row r="16" spans="1:13" ht="15.75" x14ac:dyDescent="0.2">
      <c r="A16" s="85"/>
      <c r="B16" s="83"/>
      <c r="C16" s="83"/>
      <c r="D16" s="83"/>
      <c r="E16" s="83"/>
      <c r="F16" s="7" t="str">
        <f>CVSSv3!$A$5</f>
        <v>Attack Complexity</v>
      </c>
      <c r="G16" s="8" t="s">
        <v>20</v>
      </c>
      <c r="H16" s="86"/>
      <c r="I16" s="87"/>
      <c r="J16" s="87"/>
      <c r="K16" s="83"/>
      <c r="L16" s="83"/>
      <c r="M16" s="83"/>
    </row>
    <row r="17" spans="1:13" ht="15.75" x14ac:dyDescent="0.2">
      <c r="A17" s="85"/>
      <c r="B17" s="83"/>
      <c r="C17" s="83"/>
      <c r="D17" s="83"/>
      <c r="E17" s="83"/>
      <c r="F17" s="7" t="str">
        <f>CVSSv3!$A$6</f>
        <v>Privilege Required</v>
      </c>
      <c r="G17" s="8" t="s">
        <v>18</v>
      </c>
      <c r="H17" s="86"/>
      <c r="I17" s="87"/>
      <c r="J17" s="87"/>
      <c r="K17" s="83"/>
      <c r="L17" s="83"/>
      <c r="M17" s="83"/>
    </row>
    <row r="18" spans="1:13" ht="15.75" x14ac:dyDescent="0.2">
      <c r="A18" s="85"/>
      <c r="B18" s="83"/>
      <c r="C18" s="83"/>
      <c r="D18" s="83"/>
      <c r="E18" s="83"/>
      <c r="F18" s="7" t="str">
        <f>CVSSv3!$A$7</f>
        <v>User Interaction</v>
      </c>
      <c r="G18" s="8" t="s">
        <v>18</v>
      </c>
      <c r="H18" s="86"/>
      <c r="I18" s="87"/>
      <c r="J18" s="87"/>
      <c r="K18" s="83"/>
      <c r="L18" s="83"/>
      <c r="M18" s="83"/>
    </row>
    <row r="19" spans="1:13" ht="15.75" x14ac:dyDescent="0.2">
      <c r="A19" s="85"/>
      <c r="B19" s="83"/>
      <c r="C19" s="83"/>
      <c r="D19" s="83"/>
      <c r="E19" s="83"/>
      <c r="F19" s="7" t="str">
        <f>CVSSv3!$A$8</f>
        <v>Scope</v>
      </c>
      <c r="G19" s="8" t="s">
        <v>24</v>
      </c>
      <c r="H19" s="86"/>
      <c r="I19" s="87"/>
      <c r="J19" s="87"/>
      <c r="K19" s="83"/>
      <c r="L19" s="83"/>
      <c r="M19" s="83"/>
    </row>
    <row r="20" spans="1:13" ht="15.75" x14ac:dyDescent="0.2">
      <c r="A20" s="85"/>
      <c r="B20" s="83"/>
      <c r="C20" s="83"/>
      <c r="D20" s="83"/>
      <c r="E20" s="83"/>
      <c r="F20" s="7" t="str">
        <f>CVSSv3!$A$9</f>
        <v>Confidentiality Impact</v>
      </c>
      <c r="G20" s="8" t="s">
        <v>20</v>
      </c>
      <c r="H20" s="86"/>
      <c r="I20" s="87"/>
      <c r="J20" s="87"/>
      <c r="K20" s="83"/>
      <c r="L20" s="83"/>
      <c r="M20" s="83"/>
    </row>
    <row r="21" spans="1:13" ht="15.75" x14ac:dyDescent="0.2">
      <c r="A21" s="85"/>
      <c r="B21" s="83"/>
      <c r="C21" s="83"/>
      <c r="D21" s="83"/>
      <c r="E21" s="83"/>
      <c r="F21" s="7" t="str">
        <f>CVSSv3!$A$10</f>
        <v>Integrity Impact</v>
      </c>
      <c r="G21" s="8" t="s">
        <v>20</v>
      </c>
      <c r="H21" s="86"/>
      <c r="I21" s="87"/>
      <c r="J21" s="87"/>
      <c r="K21" s="83"/>
      <c r="L21" s="83"/>
      <c r="M21" s="83"/>
    </row>
    <row r="22" spans="1:13" ht="15.75" x14ac:dyDescent="0.2">
      <c r="A22" s="85"/>
      <c r="B22" s="83"/>
      <c r="C22" s="83"/>
      <c r="D22" s="83"/>
      <c r="E22" s="83"/>
      <c r="F22" s="7" t="str">
        <f>CVSSv3!$A$11</f>
        <v>Availability Impact</v>
      </c>
      <c r="G22" s="8" t="s">
        <v>20</v>
      </c>
      <c r="H22" s="86"/>
      <c r="I22" s="87"/>
      <c r="J22" s="87"/>
      <c r="K22" s="83"/>
      <c r="L22" s="83"/>
      <c r="M22" s="83"/>
    </row>
    <row r="23" spans="1:13" ht="15.75" x14ac:dyDescent="0.2">
      <c r="A23" s="85"/>
      <c r="B23" s="83"/>
      <c r="C23" s="83"/>
      <c r="D23" s="83"/>
      <c r="E23" s="83"/>
      <c r="F23" s="7" t="str">
        <f>CVSSv3!$A$12</f>
        <v>Exploit Code Maturity</v>
      </c>
      <c r="G23" s="8" t="s">
        <v>20</v>
      </c>
      <c r="H23" s="86"/>
      <c r="I23" s="87"/>
      <c r="J23" s="87"/>
      <c r="K23" s="83"/>
      <c r="L23" s="83"/>
      <c r="M23" s="83"/>
    </row>
    <row r="24" spans="1:13" ht="15.75" x14ac:dyDescent="0.2">
      <c r="A24" s="85"/>
      <c r="B24" s="83"/>
      <c r="C24" s="83"/>
      <c r="D24" s="83"/>
      <c r="E24" s="83"/>
      <c r="F24" s="7" t="str">
        <f>CVSSv3!$A$13</f>
        <v>Remediation Level</v>
      </c>
      <c r="G24" s="8" t="s">
        <v>21</v>
      </c>
      <c r="H24" s="86"/>
      <c r="I24" s="87"/>
      <c r="J24" s="87"/>
      <c r="K24" s="83"/>
      <c r="L24" s="83"/>
      <c r="M24" s="83"/>
    </row>
    <row r="25" spans="1:13" ht="15.75" x14ac:dyDescent="0.2">
      <c r="A25" s="85"/>
      <c r="B25" s="83"/>
      <c r="C25" s="83"/>
      <c r="D25" s="83"/>
      <c r="E25" s="83"/>
      <c r="F25" s="7" t="str">
        <f>CVSSv3!$A$14</f>
        <v>Report Confidence</v>
      </c>
      <c r="G25" s="8" t="s">
        <v>25</v>
      </c>
      <c r="H25" s="86"/>
      <c r="I25" s="87"/>
      <c r="J25" s="87"/>
      <c r="K25" s="83"/>
      <c r="L25" s="83"/>
      <c r="M25" s="83"/>
    </row>
    <row r="26" spans="1:13" ht="15.75" x14ac:dyDescent="0.2">
      <c r="A26" s="85"/>
      <c r="B26" s="83"/>
      <c r="C26" s="83"/>
      <c r="D26" s="83"/>
      <c r="E26" s="83"/>
      <c r="F26" s="84" t="str">
        <f>"("&amp;CVSSv3!$B$4&amp;":"&amp;IF(G15=CVSSv3!$C$4,CVSSv3!$C$30,IF(G15=CVSSv3!$D$4,CVSSv3!$D$30,IF(G15=CVSSv3!$E$4,CVSSv3!$E$30,IF(G15=CVSSv3!$F$4,CVSSv3!$F$30,""))))&amp;"/"&amp;CVSSv3!$B$5&amp;":"&amp;IF(G16=CVSSv3!$C$5,CVSSv3!$C$31,IF(G16=CVSSv3!$D$5,CVSSv3!$D$31,""))&amp;"/"&amp;CVSSv3!$B$6&amp;":"&amp;IF(G17=CVSSv3!$C$6,CVSSv3!$C$32,IF(G17=CVSSv3!$D$6,CVSSv3!$D$32,IF(G17=CVSSv3!$E$6,CVSSv3!$E$32,"")))&amp;"/"&amp;CVSSv3!$B$7&amp;":"&amp;IF(G18=CVSSv3!$C$7,CVSSv3!$C$33,IF(G18=CVSSv3!$D$7,CVSSv3!$D$33,""))&amp;"/"&amp;CVSSv3!$B$8&amp;":"&amp;IF(G19=CVSSv3!$C$8,CVSSv3!$C$34,IF(G19=CVSSv3!$D$8,CVSSv3!$D$34,""))&amp;"/"&amp;CVSSv3!$B$9&amp;":"&amp;IF(G20=CVSSv3!$C$9,CVSSv3!$C$35,IF(G20=CVSSv3!$D$9,CVSSv3!$D$35,IF(G20=CVSSv3!$E$9,CVSSv3!$E$35,"")))&amp;"/"&amp;CVSSv3!$B$10&amp;":"&amp;IF(G21=CVSSv3!$C$10,CVSSv3!$C$36,IF(G21=CVSSv3!$D$10,CVSSv3!$D$36,IF(G21=CVSSv3!$E$10,CVSSv3!$E$36,"")))&amp;"/"&amp;CVSSv3!$B$11&amp;":"&amp;IF(G22=CVSSv3!$C$11,CVSSv3!$C$37,IF(G22=CVSSv3!$D$11,CVSSv3!$D$37,IF(G22=CVSSv3!$E$11,CVSSv3!$E$37,"")))&amp;"/"&amp;CVSSv3!$B$12&amp;":"&amp;IF(G23=CVSSv3!$C$12,CVSSv3!$C$38,IF(G23=CVSSv3!$D$12,CVSSv3!$D$38,IF(G23=CVSSv3!$E$12,CVSSv3!$E$38,IF(G23=CVSSv3!$F$12,CVSSv3!$F$38,""))))&amp;"/"&amp;CVSSv3!$B$13&amp;":"&amp;IF(G24=CVSSv3!$C$13,CVSSv3!$C$39,IF(G24=CVSSv3!$D$13,CVSSv3!$D$39,IF(G24=CVSSv3!$E$13,CVSSv3!$E$39,IF(G24=CVSSv3!$F$13,CVSSv3!$F$39,""))))&amp;"/"&amp;CVSSv3!$B$14&amp;":"&amp;IF(G25=CVSSv3!$C$14,CVSSv3!$C$40,IF(G25=CVSSv3!$D$14,CVSSv3!$D$40,IF(G25=CVSSv3!$E$14,CVSSv3!$E$40,"")))&amp;")"</f>
        <v>(AV:/AC:H/PR:N/UI:N/S:C/C:H/I:H/A:H/E:H/RL:/RC:)</v>
      </c>
      <c r="G26" s="84"/>
      <c r="H26" s="86"/>
      <c r="I26" s="87"/>
      <c r="J26" s="87"/>
      <c r="K26" s="83"/>
      <c r="L26" s="83"/>
      <c r="M26" s="83"/>
    </row>
    <row r="27" spans="1:13" ht="15.75" customHeight="1" x14ac:dyDescent="0.25">
      <c r="A27" s="85">
        <v>3</v>
      </c>
      <c r="B27" s="83" t="s">
        <v>26</v>
      </c>
      <c r="C27" s="83" t="s">
        <v>14</v>
      </c>
      <c r="D27" s="83" t="s">
        <v>14</v>
      </c>
      <c r="E27" s="83" t="s">
        <v>14</v>
      </c>
      <c r="F27" s="5" t="str">
        <f>CVSSv3!$A$4</f>
        <v>Attack Vector</v>
      </c>
      <c r="G27" s="6" t="s">
        <v>15</v>
      </c>
      <c r="H27" s="86" t="e">
        <f>ROUNDUP((IF((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lt;=0,0,(IF(G31=CVSSv3!$C$8,ROUNDUP((MIN((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ROUNDUP((MIN(1.08*((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IF(G35=CVSSv3!$C$12,CVSSv3!$C$25,(IF(G35=CVSSv3!$D$12,CVSSv3!$D$25,(IF(G35=CVSSv3!$E$12,CVSSv3!$E$25,(IF(G35=CVSSv3!$F$12,CVSSv3!$F$25,""))))))))*(IF(G36=CVSSv3!$C$13,CVSSv3!$C$26,(IF(G36=CVSSv3!$D$13,CVSSv3!$D$26,(IF(G36=CVSSv3!$E$13,CVSSv3!$E$26,(IF(G36=CVSSv3!$F$13,CVSSv3!$F$26,""))))))))*(IF(G37=CVSSv3!$C$14,CVSSv3!$C$27,(IF(G37=CVSSv3!$D$14,CVSSv3!$D$27,(IF(G37=CVSSv3!$E$14,CVSSv3!$E$27,""))))))),1)</f>
        <v>#VALUE!</v>
      </c>
      <c r="I27" s="87">
        <v>0</v>
      </c>
      <c r="J27" s="87">
        <v>0</v>
      </c>
      <c r="K27" s="83" t="s">
        <v>14</v>
      </c>
      <c r="L27" s="83" t="s">
        <v>14</v>
      </c>
      <c r="M27" s="83" t="s">
        <v>16</v>
      </c>
    </row>
    <row r="28" spans="1:13" ht="15.75" x14ac:dyDescent="0.2">
      <c r="A28" s="85"/>
      <c r="B28" s="83"/>
      <c r="C28" s="83"/>
      <c r="D28" s="83"/>
      <c r="E28" s="83"/>
      <c r="F28" s="7" t="str">
        <f>CVSSv3!$A$5</f>
        <v>Attack Complexity</v>
      </c>
      <c r="G28" s="8" t="s">
        <v>20</v>
      </c>
      <c r="H28" s="86"/>
      <c r="I28" s="87"/>
      <c r="J28" s="87"/>
      <c r="K28" s="83"/>
      <c r="L28" s="83"/>
      <c r="M28" s="83"/>
    </row>
    <row r="29" spans="1:13" ht="15.75" x14ac:dyDescent="0.2">
      <c r="A29" s="85"/>
      <c r="B29" s="83"/>
      <c r="C29" s="83"/>
      <c r="D29" s="83"/>
      <c r="E29" s="83"/>
      <c r="F29" s="7" t="str">
        <f>CVSSv3!$A$6</f>
        <v>Privilege Required</v>
      </c>
      <c r="G29" s="8" t="s">
        <v>18</v>
      </c>
      <c r="H29" s="86"/>
      <c r="I29" s="87"/>
      <c r="J29" s="87"/>
      <c r="K29" s="83"/>
      <c r="L29" s="83"/>
      <c r="M29" s="83"/>
    </row>
    <row r="30" spans="1:13" ht="15.75" x14ac:dyDescent="0.2">
      <c r="A30" s="85"/>
      <c r="B30" s="83"/>
      <c r="C30" s="83"/>
      <c r="D30" s="83"/>
      <c r="E30" s="83"/>
      <c r="F30" s="7" t="str">
        <f>CVSSv3!$A$7</f>
        <v>User Interaction</v>
      </c>
      <c r="G30" s="8" t="s">
        <v>18</v>
      </c>
      <c r="H30" s="86"/>
      <c r="I30" s="87"/>
      <c r="J30" s="87"/>
      <c r="K30" s="83"/>
      <c r="L30" s="83"/>
      <c r="M30" s="83"/>
    </row>
    <row r="31" spans="1:13" ht="15.75" x14ac:dyDescent="0.2">
      <c r="A31" s="85"/>
      <c r="B31" s="83"/>
      <c r="C31" s="83"/>
      <c r="D31" s="83"/>
      <c r="E31" s="83"/>
      <c r="F31" s="7" t="str">
        <f>CVSSv3!$A$8</f>
        <v>Scope</v>
      </c>
      <c r="G31" s="8" t="s">
        <v>24</v>
      </c>
      <c r="H31" s="86"/>
      <c r="I31" s="87"/>
      <c r="J31" s="87"/>
      <c r="K31" s="83"/>
      <c r="L31" s="83"/>
      <c r="M31" s="83"/>
    </row>
    <row r="32" spans="1:13" ht="15.75" x14ac:dyDescent="0.2">
      <c r="A32" s="85"/>
      <c r="B32" s="83"/>
      <c r="C32" s="83"/>
      <c r="D32" s="83"/>
      <c r="E32" s="83"/>
      <c r="F32" s="7" t="str">
        <f>CVSSv3!$A$9</f>
        <v>Confidentiality Impact</v>
      </c>
      <c r="G32" s="8" t="s">
        <v>20</v>
      </c>
      <c r="H32" s="86"/>
      <c r="I32" s="87"/>
      <c r="J32" s="87"/>
      <c r="K32" s="83"/>
      <c r="L32" s="83"/>
      <c r="M32" s="83"/>
    </row>
    <row r="33" spans="1:13" ht="15.75" x14ac:dyDescent="0.2">
      <c r="A33" s="85"/>
      <c r="B33" s="83"/>
      <c r="C33" s="83"/>
      <c r="D33" s="83"/>
      <c r="E33" s="83"/>
      <c r="F33" s="7" t="str">
        <f>CVSSv3!$A$10</f>
        <v>Integrity Impact</v>
      </c>
      <c r="G33" s="8" t="s">
        <v>20</v>
      </c>
      <c r="H33" s="86"/>
      <c r="I33" s="87"/>
      <c r="J33" s="87"/>
      <c r="K33" s="83"/>
      <c r="L33" s="83"/>
      <c r="M33" s="83"/>
    </row>
    <row r="34" spans="1:13" ht="15.75" x14ac:dyDescent="0.2">
      <c r="A34" s="85"/>
      <c r="B34" s="83"/>
      <c r="C34" s="83"/>
      <c r="D34" s="83"/>
      <c r="E34" s="83"/>
      <c r="F34" s="7" t="str">
        <f>CVSSv3!$A$11</f>
        <v>Availability Impact</v>
      </c>
      <c r="G34" s="8" t="s">
        <v>20</v>
      </c>
      <c r="H34" s="86"/>
      <c r="I34" s="87"/>
      <c r="J34" s="87"/>
      <c r="K34" s="83"/>
      <c r="L34" s="83"/>
      <c r="M34" s="83"/>
    </row>
    <row r="35" spans="1:13" ht="15.75" x14ac:dyDescent="0.2">
      <c r="A35" s="85"/>
      <c r="B35" s="83"/>
      <c r="C35" s="83"/>
      <c r="D35" s="83"/>
      <c r="E35" s="83"/>
      <c r="F35" s="7" t="str">
        <f>CVSSv3!$A$12</f>
        <v>Exploit Code Maturity</v>
      </c>
      <c r="G35" s="8" t="s">
        <v>20</v>
      </c>
      <c r="H35" s="86"/>
      <c r="I35" s="87"/>
      <c r="J35" s="87"/>
      <c r="K35" s="83"/>
      <c r="L35" s="83"/>
      <c r="M35" s="83"/>
    </row>
    <row r="36" spans="1:13" ht="15.75" x14ac:dyDescent="0.2">
      <c r="A36" s="85"/>
      <c r="B36" s="83"/>
      <c r="C36" s="83"/>
      <c r="D36" s="83"/>
      <c r="E36" s="83"/>
      <c r="F36" s="7" t="str">
        <f>CVSSv3!$A$13</f>
        <v>Remediation Level</v>
      </c>
      <c r="G36" s="8" t="s">
        <v>21</v>
      </c>
      <c r="H36" s="86"/>
      <c r="I36" s="87"/>
      <c r="J36" s="87"/>
      <c r="K36" s="83"/>
      <c r="L36" s="83"/>
      <c r="M36" s="83"/>
    </row>
    <row r="37" spans="1:13" ht="15.75" x14ac:dyDescent="0.2">
      <c r="A37" s="85"/>
      <c r="B37" s="83"/>
      <c r="C37" s="83"/>
      <c r="D37" s="83"/>
      <c r="E37" s="83"/>
      <c r="F37" s="7" t="str">
        <f>CVSSv3!$A$14</f>
        <v>Report Confidence</v>
      </c>
      <c r="G37" s="8" t="s">
        <v>25</v>
      </c>
      <c r="H37" s="86"/>
      <c r="I37" s="87"/>
      <c r="J37" s="87"/>
      <c r="K37" s="83"/>
      <c r="L37" s="83"/>
      <c r="M37" s="83"/>
    </row>
    <row r="38" spans="1:13" ht="15.75" x14ac:dyDescent="0.2">
      <c r="A38" s="85"/>
      <c r="B38" s="83"/>
      <c r="C38" s="83"/>
      <c r="D38" s="83"/>
      <c r="E38" s="83"/>
      <c r="F38" s="84" t="str">
        <f>"("&amp;CVSSv3!$B$4&amp;":"&amp;IF(G27=CVSSv3!$C$4,CVSSv3!$C$30,IF(G27=CVSSv3!$D$4,CVSSv3!$D$30,IF(G27=CVSSv3!$E$4,CVSSv3!$E$30,IF(G27=CVSSv3!$F$4,CVSSv3!$F$30,""))))&amp;"/"&amp;CVSSv3!$B$5&amp;":"&amp;IF(G28=CVSSv3!$C$5,CVSSv3!$C$31,IF(G28=CVSSv3!$D$5,CVSSv3!$D$31,""))&amp;"/"&amp;CVSSv3!$B$6&amp;":"&amp;IF(G29=CVSSv3!$C$6,CVSSv3!$C$32,IF(G29=CVSSv3!$D$6,CVSSv3!$D$32,IF(G29=CVSSv3!$E$6,CVSSv3!$E$32,"")))&amp;"/"&amp;CVSSv3!$B$7&amp;":"&amp;IF(G30=CVSSv3!$C$7,CVSSv3!$C$33,IF(G30=CVSSv3!$D$7,CVSSv3!$D$33,""))&amp;"/"&amp;CVSSv3!$B$8&amp;":"&amp;IF(G31=CVSSv3!$C$8,CVSSv3!$C$34,IF(G31=CVSSv3!$D$8,CVSSv3!$D$34,""))&amp;"/"&amp;CVSSv3!$B$9&amp;":"&amp;IF(G32=CVSSv3!$C$9,CVSSv3!$C$35,IF(G32=CVSSv3!$D$9,CVSSv3!$D$35,IF(G32=CVSSv3!$E$9,CVSSv3!$E$35,"")))&amp;"/"&amp;CVSSv3!$B$10&amp;":"&amp;IF(G33=CVSSv3!$C$10,CVSSv3!$C$36,IF(G33=CVSSv3!$D$10,CVSSv3!$D$36,IF(G33=CVSSv3!$E$10,CVSSv3!$E$36,"")))&amp;"/"&amp;CVSSv3!$B$11&amp;":"&amp;IF(G34=CVSSv3!$C$11,CVSSv3!$C$37,IF(G34=CVSSv3!$D$11,CVSSv3!$D$37,IF(G34=CVSSv3!$E$11,CVSSv3!$E$37,"")))&amp;"/"&amp;CVSSv3!$B$12&amp;":"&amp;IF(G35=CVSSv3!$C$12,CVSSv3!$C$38,IF(G35=CVSSv3!$D$12,CVSSv3!$D$38,IF(G35=CVSSv3!$E$12,CVSSv3!$E$38,IF(G35=CVSSv3!$F$12,CVSSv3!$F$38,""))))&amp;"/"&amp;CVSSv3!$B$13&amp;":"&amp;IF(G36=CVSSv3!$C$13,CVSSv3!$C$39,IF(G36=CVSSv3!$D$13,CVSSv3!$D$39,IF(G36=CVSSv3!$E$13,CVSSv3!$E$39,IF(G36=CVSSv3!$F$13,CVSSv3!$F$39,""))))&amp;"/"&amp;CVSSv3!$B$14&amp;":"&amp;IF(G37=CVSSv3!$C$14,CVSSv3!$C$40,IF(G37=CVSSv3!$D$14,CVSSv3!$D$40,IF(G37=CVSSv3!$E$14,CVSSv3!$E$40,"")))&amp;")"</f>
        <v>(AV:/AC:H/PR:N/UI:N/S:C/C:H/I:H/A:H/E:H/RL:/RC:)</v>
      </c>
      <c r="G38" s="84"/>
      <c r="H38" s="86"/>
      <c r="I38" s="87"/>
      <c r="J38" s="87"/>
      <c r="K38" s="83"/>
      <c r="L38" s="83"/>
      <c r="M38" s="83"/>
    </row>
    <row r="39" spans="1:13" ht="15.75" customHeight="1" x14ac:dyDescent="0.25">
      <c r="A39" s="85">
        <v>4</v>
      </c>
      <c r="B39" s="83" t="s">
        <v>27</v>
      </c>
      <c r="C39" s="83" t="s">
        <v>14</v>
      </c>
      <c r="D39" s="83" t="s">
        <v>14</v>
      </c>
      <c r="E39" s="83" t="s">
        <v>14</v>
      </c>
      <c r="F39" s="5" t="str">
        <f>CVSSv3!$A$4</f>
        <v>Attack Vector</v>
      </c>
      <c r="G39" s="6" t="s">
        <v>15</v>
      </c>
      <c r="H39" s="86" t="e">
        <f>ROUNDUP((IF((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lt;=0,0,(IF(G43=CVSSv3!$C$8,ROUNDUP((MIN((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ROUNDUP((MIN(1.08*((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IF(G47=CVSSv3!$C$12,CVSSv3!$C$25,(IF(G47=CVSSv3!$D$12,CVSSv3!$D$25,(IF(G47=CVSSv3!$E$12,CVSSv3!$E$25,(IF(G47=CVSSv3!$F$12,CVSSv3!$F$25,""))))))))*(IF(G48=CVSSv3!$C$13,CVSSv3!$C$26,(IF(G48=CVSSv3!$D$13,CVSSv3!$D$26,(IF(G48=CVSSv3!$E$13,CVSSv3!$E$26,(IF(G48=CVSSv3!$F$13,CVSSv3!$F$26,""))))))))*(IF(G49=CVSSv3!$C$14,CVSSv3!$C$27,(IF(G49=CVSSv3!$D$14,CVSSv3!$D$27,(IF(G49=CVSSv3!$E$14,CVSSv3!$E$27,""))))))),1)</f>
        <v>#VALUE!</v>
      </c>
      <c r="I39" s="87">
        <v>0</v>
      </c>
      <c r="J39" s="87">
        <v>0</v>
      </c>
      <c r="K39" s="83" t="s">
        <v>14</v>
      </c>
      <c r="L39" s="83" t="s">
        <v>14</v>
      </c>
      <c r="M39" s="83" t="s">
        <v>16</v>
      </c>
    </row>
    <row r="40" spans="1:13" ht="15.75" x14ac:dyDescent="0.2">
      <c r="A40" s="85"/>
      <c r="B40" s="83"/>
      <c r="C40" s="83"/>
      <c r="D40" s="83"/>
      <c r="E40" s="83"/>
      <c r="F40" s="7" t="str">
        <f>CVSSv3!$A$5</f>
        <v>Attack Complexity</v>
      </c>
      <c r="G40" s="8" t="s">
        <v>20</v>
      </c>
      <c r="H40" s="86"/>
      <c r="I40" s="87"/>
      <c r="J40" s="87"/>
      <c r="K40" s="83"/>
      <c r="L40" s="83"/>
      <c r="M40" s="83"/>
    </row>
    <row r="41" spans="1:13" ht="15.75" x14ac:dyDescent="0.2">
      <c r="A41" s="85"/>
      <c r="B41" s="83"/>
      <c r="C41" s="83"/>
      <c r="D41" s="83"/>
      <c r="E41" s="83"/>
      <c r="F41" s="7" t="str">
        <f>CVSSv3!$A$6</f>
        <v>Privilege Required</v>
      </c>
      <c r="G41" s="8" t="s">
        <v>18</v>
      </c>
      <c r="H41" s="86"/>
      <c r="I41" s="87"/>
      <c r="J41" s="87"/>
      <c r="K41" s="83"/>
      <c r="L41" s="83"/>
      <c r="M41" s="83"/>
    </row>
    <row r="42" spans="1:13" ht="15.75" x14ac:dyDescent="0.2">
      <c r="A42" s="85"/>
      <c r="B42" s="83"/>
      <c r="C42" s="83"/>
      <c r="D42" s="83"/>
      <c r="E42" s="83"/>
      <c r="F42" s="7" t="str">
        <f>CVSSv3!$A$7</f>
        <v>User Interaction</v>
      </c>
      <c r="G42" s="8" t="s">
        <v>18</v>
      </c>
      <c r="H42" s="86"/>
      <c r="I42" s="87"/>
      <c r="J42" s="87"/>
      <c r="K42" s="83"/>
      <c r="L42" s="83"/>
      <c r="M42" s="83"/>
    </row>
    <row r="43" spans="1:13" ht="15.75" x14ac:dyDescent="0.2">
      <c r="A43" s="85"/>
      <c r="B43" s="83"/>
      <c r="C43" s="83"/>
      <c r="D43" s="83"/>
      <c r="E43" s="83"/>
      <c r="F43" s="7" t="str">
        <f>CVSSv3!$A$8</f>
        <v>Scope</v>
      </c>
      <c r="G43" s="8" t="s">
        <v>24</v>
      </c>
      <c r="H43" s="86"/>
      <c r="I43" s="87"/>
      <c r="J43" s="87"/>
      <c r="K43" s="83"/>
      <c r="L43" s="83"/>
      <c r="M43" s="83"/>
    </row>
    <row r="44" spans="1:13" ht="15.75" x14ac:dyDescent="0.2">
      <c r="A44" s="85"/>
      <c r="B44" s="83"/>
      <c r="C44" s="83"/>
      <c r="D44" s="83"/>
      <c r="E44" s="83"/>
      <c r="F44" s="7" t="str">
        <f>CVSSv3!$A$9</f>
        <v>Confidentiality Impact</v>
      </c>
      <c r="G44" s="8" t="s">
        <v>20</v>
      </c>
      <c r="H44" s="86"/>
      <c r="I44" s="87"/>
      <c r="J44" s="87"/>
      <c r="K44" s="83"/>
      <c r="L44" s="83"/>
      <c r="M44" s="83"/>
    </row>
    <row r="45" spans="1:13" ht="15.75" x14ac:dyDescent="0.2">
      <c r="A45" s="85"/>
      <c r="B45" s="83"/>
      <c r="C45" s="83"/>
      <c r="D45" s="83"/>
      <c r="E45" s="83"/>
      <c r="F45" s="7" t="str">
        <f>CVSSv3!$A$10</f>
        <v>Integrity Impact</v>
      </c>
      <c r="G45" s="8" t="s">
        <v>20</v>
      </c>
      <c r="H45" s="86"/>
      <c r="I45" s="87"/>
      <c r="J45" s="87"/>
      <c r="K45" s="83"/>
      <c r="L45" s="83"/>
      <c r="M45" s="83"/>
    </row>
    <row r="46" spans="1:13" ht="15.75" x14ac:dyDescent="0.2">
      <c r="A46" s="85"/>
      <c r="B46" s="83"/>
      <c r="C46" s="83"/>
      <c r="D46" s="83"/>
      <c r="E46" s="83"/>
      <c r="F46" s="7" t="str">
        <f>CVSSv3!$A$11</f>
        <v>Availability Impact</v>
      </c>
      <c r="G46" s="8" t="s">
        <v>20</v>
      </c>
      <c r="H46" s="86"/>
      <c r="I46" s="87"/>
      <c r="J46" s="87"/>
      <c r="K46" s="83"/>
      <c r="L46" s="83"/>
      <c r="M46" s="83"/>
    </row>
    <row r="47" spans="1:13" ht="15.75" x14ac:dyDescent="0.2">
      <c r="A47" s="85"/>
      <c r="B47" s="83"/>
      <c r="C47" s="83"/>
      <c r="D47" s="83"/>
      <c r="E47" s="83"/>
      <c r="F47" s="7" t="str">
        <f>CVSSv3!$A$12</f>
        <v>Exploit Code Maturity</v>
      </c>
      <c r="G47" s="8" t="s">
        <v>20</v>
      </c>
      <c r="H47" s="86"/>
      <c r="I47" s="87"/>
      <c r="J47" s="87"/>
      <c r="K47" s="83"/>
      <c r="L47" s="83"/>
      <c r="M47" s="83"/>
    </row>
    <row r="48" spans="1:13" ht="15.75" x14ac:dyDescent="0.2">
      <c r="A48" s="85"/>
      <c r="B48" s="83"/>
      <c r="C48" s="83"/>
      <c r="D48" s="83"/>
      <c r="E48" s="83"/>
      <c r="F48" s="7" t="str">
        <f>CVSSv3!$A$13</f>
        <v>Remediation Level</v>
      </c>
      <c r="G48" s="8" t="s">
        <v>21</v>
      </c>
      <c r="H48" s="86"/>
      <c r="I48" s="87"/>
      <c r="J48" s="87"/>
      <c r="K48" s="83"/>
      <c r="L48" s="83"/>
      <c r="M48" s="83"/>
    </row>
    <row r="49" spans="1:13" ht="15.75" x14ac:dyDescent="0.2">
      <c r="A49" s="85"/>
      <c r="B49" s="83"/>
      <c r="C49" s="83"/>
      <c r="D49" s="83"/>
      <c r="E49" s="83"/>
      <c r="F49" s="7" t="str">
        <f>CVSSv3!$A$14</f>
        <v>Report Confidence</v>
      </c>
      <c r="G49" s="8" t="s">
        <v>25</v>
      </c>
      <c r="H49" s="86"/>
      <c r="I49" s="87"/>
      <c r="J49" s="87"/>
      <c r="K49" s="83"/>
      <c r="L49" s="83"/>
      <c r="M49" s="83"/>
    </row>
    <row r="50" spans="1:13" ht="15.75" x14ac:dyDescent="0.2">
      <c r="A50" s="85"/>
      <c r="B50" s="83"/>
      <c r="C50" s="83"/>
      <c r="D50" s="83"/>
      <c r="E50" s="83"/>
      <c r="F50" s="84" t="str">
        <f>"("&amp;CVSSv3!$B$4&amp;":"&amp;IF(G39=CVSSv3!$C$4,CVSSv3!$C$30,IF(G39=CVSSv3!$D$4,CVSSv3!$D$30,IF(G39=CVSSv3!$E$4,CVSSv3!$E$30,IF(G39=CVSSv3!$F$4,CVSSv3!$F$30,""))))&amp;"/"&amp;CVSSv3!$B$5&amp;":"&amp;IF(G40=CVSSv3!$C$5,CVSSv3!$C$31,IF(G40=CVSSv3!$D$5,CVSSv3!$D$31,""))&amp;"/"&amp;CVSSv3!$B$6&amp;":"&amp;IF(G41=CVSSv3!$C$6,CVSSv3!$C$32,IF(G41=CVSSv3!$D$6,CVSSv3!$D$32,IF(G41=CVSSv3!$E$6,CVSSv3!$E$32,"")))&amp;"/"&amp;CVSSv3!$B$7&amp;":"&amp;IF(G42=CVSSv3!$C$7,CVSSv3!$C$33,IF(G42=CVSSv3!$D$7,CVSSv3!$D$33,""))&amp;"/"&amp;CVSSv3!$B$8&amp;":"&amp;IF(G43=CVSSv3!$C$8,CVSSv3!$C$34,IF(G43=CVSSv3!$D$8,CVSSv3!$D$34,""))&amp;"/"&amp;CVSSv3!$B$9&amp;":"&amp;IF(G44=CVSSv3!$C$9,CVSSv3!$C$35,IF(G44=CVSSv3!$D$9,CVSSv3!$D$35,IF(G44=CVSSv3!$E$9,CVSSv3!$E$35,"")))&amp;"/"&amp;CVSSv3!$B$10&amp;":"&amp;IF(G45=CVSSv3!$C$10,CVSSv3!$C$36,IF(G45=CVSSv3!$D$10,CVSSv3!$D$36,IF(G45=CVSSv3!$E$10,CVSSv3!$E$36,"")))&amp;"/"&amp;CVSSv3!$B$11&amp;":"&amp;IF(G46=CVSSv3!$C$11,CVSSv3!$C$37,IF(G46=CVSSv3!$D$11,CVSSv3!$D$37,IF(G46=CVSSv3!$E$11,CVSSv3!$E$37,"")))&amp;"/"&amp;CVSSv3!$B$12&amp;":"&amp;IF(G47=CVSSv3!$C$12,CVSSv3!$C$38,IF(G47=CVSSv3!$D$12,CVSSv3!$D$38,IF(G47=CVSSv3!$E$12,CVSSv3!$E$38,IF(G47=CVSSv3!$F$12,CVSSv3!$F$38,""))))&amp;"/"&amp;CVSSv3!$B$13&amp;":"&amp;IF(G48=CVSSv3!$C$13,CVSSv3!$C$39,IF(G48=CVSSv3!$D$13,CVSSv3!$D$39,IF(G48=CVSSv3!$E$13,CVSSv3!$E$39,IF(G48=CVSSv3!$F$13,CVSSv3!$F$39,""))))&amp;"/"&amp;CVSSv3!$B$14&amp;":"&amp;IF(G49=CVSSv3!$C$14,CVSSv3!$C$40,IF(G49=CVSSv3!$D$14,CVSSv3!$D$40,IF(G49=CVSSv3!$E$14,CVSSv3!$E$40,"")))&amp;")"</f>
        <v>(AV:/AC:H/PR:N/UI:N/S:C/C:H/I:H/A:H/E:H/RL:/RC:)</v>
      </c>
      <c r="G50" s="84"/>
      <c r="H50" s="86"/>
      <c r="I50" s="87"/>
      <c r="J50" s="87"/>
      <c r="K50" s="83"/>
      <c r="L50" s="83"/>
      <c r="M50" s="83"/>
    </row>
    <row r="51" spans="1:13" ht="15.75" customHeight="1" x14ac:dyDescent="0.25">
      <c r="A51" s="85">
        <v>5</v>
      </c>
      <c r="B51" s="83" t="s">
        <v>28</v>
      </c>
      <c r="C51" s="83" t="s">
        <v>14</v>
      </c>
      <c r="D51" s="83" t="s">
        <v>14</v>
      </c>
      <c r="E51" s="83" t="s">
        <v>14</v>
      </c>
      <c r="F51" s="5" t="str">
        <f>CVSSv3!$A$4</f>
        <v>Attack Vector</v>
      </c>
      <c r="G51" s="6" t="s">
        <v>15</v>
      </c>
      <c r="H51" s="86" t="e">
        <f>ROUNDUP((IF((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lt;=0,0,(IF(G55=CVSSv3!$C$8,ROUNDUP((MIN((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ROUNDUP((MIN(1.08*((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IF(G59=CVSSv3!$C$12,CVSSv3!$C$25,(IF(G59=CVSSv3!$D$12,CVSSv3!$D$25,(IF(G59=CVSSv3!$E$12,CVSSv3!$E$25,(IF(G59=CVSSv3!$F$12,CVSSv3!$F$25,""))))))))*(IF(G60=CVSSv3!$C$13,CVSSv3!$C$26,(IF(G60=CVSSv3!$D$13,CVSSv3!$D$26,(IF(G60=CVSSv3!$E$13,CVSSv3!$E$26,(IF(G60=CVSSv3!$F$13,CVSSv3!$F$26,""))))))))*(IF(G61=CVSSv3!$C$14,CVSSv3!$C$27,(IF(G61=CVSSv3!$D$14,CVSSv3!$D$27,(IF(G61=CVSSv3!$E$14,CVSSv3!$E$27,""))))))),1)</f>
        <v>#VALUE!</v>
      </c>
      <c r="I51" s="87">
        <v>0</v>
      </c>
      <c r="J51" s="87">
        <v>0</v>
      </c>
      <c r="K51" s="83" t="s">
        <v>14</v>
      </c>
      <c r="L51" s="83" t="s">
        <v>14</v>
      </c>
      <c r="M51" s="83" t="s">
        <v>16</v>
      </c>
    </row>
    <row r="52" spans="1:13" ht="15.75" x14ac:dyDescent="0.2">
      <c r="A52" s="85"/>
      <c r="B52" s="83"/>
      <c r="C52" s="83"/>
      <c r="D52" s="83"/>
      <c r="E52" s="83"/>
      <c r="F52" s="7" t="str">
        <f>CVSSv3!$A$5</f>
        <v>Attack Complexity</v>
      </c>
      <c r="G52" s="8" t="s">
        <v>20</v>
      </c>
      <c r="H52" s="86"/>
      <c r="I52" s="87"/>
      <c r="J52" s="87"/>
      <c r="K52" s="83"/>
      <c r="L52" s="83"/>
      <c r="M52" s="83"/>
    </row>
    <row r="53" spans="1:13" ht="15.75" x14ac:dyDescent="0.2">
      <c r="A53" s="85"/>
      <c r="B53" s="83"/>
      <c r="C53" s="83"/>
      <c r="D53" s="83"/>
      <c r="E53" s="83"/>
      <c r="F53" s="7" t="str">
        <f>CVSSv3!$A$6</f>
        <v>Privilege Required</v>
      </c>
      <c r="G53" s="8" t="s">
        <v>18</v>
      </c>
      <c r="H53" s="86"/>
      <c r="I53" s="87"/>
      <c r="J53" s="87"/>
      <c r="K53" s="83"/>
      <c r="L53" s="83"/>
      <c r="M53" s="83"/>
    </row>
    <row r="54" spans="1:13" ht="15.75" x14ac:dyDescent="0.2">
      <c r="A54" s="85"/>
      <c r="B54" s="83"/>
      <c r="C54" s="83"/>
      <c r="D54" s="83"/>
      <c r="E54" s="83"/>
      <c r="F54" s="7" t="str">
        <f>CVSSv3!$A$7</f>
        <v>User Interaction</v>
      </c>
      <c r="G54" s="8" t="s">
        <v>18</v>
      </c>
      <c r="H54" s="86"/>
      <c r="I54" s="87"/>
      <c r="J54" s="87"/>
      <c r="K54" s="83"/>
      <c r="L54" s="83"/>
      <c r="M54" s="83"/>
    </row>
    <row r="55" spans="1:13" ht="15.75" x14ac:dyDescent="0.2">
      <c r="A55" s="85"/>
      <c r="B55" s="83"/>
      <c r="C55" s="83"/>
      <c r="D55" s="83"/>
      <c r="E55" s="83"/>
      <c r="F55" s="7" t="str">
        <f>CVSSv3!$A$8</f>
        <v>Scope</v>
      </c>
      <c r="G55" s="8" t="s">
        <v>24</v>
      </c>
      <c r="H55" s="86"/>
      <c r="I55" s="87"/>
      <c r="J55" s="87"/>
      <c r="K55" s="83"/>
      <c r="L55" s="83"/>
      <c r="M55" s="83"/>
    </row>
    <row r="56" spans="1:13" ht="15.75" x14ac:dyDescent="0.2">
      <c r="A56" s="85"/>
      <c r="B56" s="83"/>
      <c r="C56" s="83"/>
      <c r="D56" s="83"/>
      <c r="E56" s="83"/>
      <c r="F56" s="7" t="str">
        <f>CVSSv3!$A$9</f>
        <v>Confidentiality Impact</v>
      </c>
      <c r="G56" s="8" t="s">
        <v>20</v>
      </c>
      <c r="H56" s="86"/>
      <c r="I56" s="87"/>
      <c r="J56" s="87"/>
      <c r="K56" s="83"/>
      <c r="L56" s="83"/>
      <c r="M56" s="83"/>
    </row>
    <row r="57" spans="1:13" ht="15.75" x14ac:dyDescent="0.2">
      <c r="A57" s="85"/>
      <c r="B57" s="83"/>
      <c r="C57" s="83"/>
      <c r="D57" s="83"/>
      <c r="E57" s="83"/>
      <c r="F57" s="7" t="str">
        <f>CVSSv3!$A$10</f>
        <v>Integrity Impact</v>
      </c>
      <c r="G57" s="8" t="s">
        <v>20</v>
      </c>
      <c r="H57" s="86"/>
      <c r="I57" s="87"/>
      <c r="J57" s="87"/>
      <c r="K57" s="83"/>
      <c r="L57" s="83"/>
      <c r="M57" s="83"/>
    </row>
    <row r="58" spans="1:13" ht="15.75" x14ac:dyDescent="0.2">
      <c r="A58" s="85"/>
      <c r="B58" s="83"/>
      <c r="C58" s="83"/>
      <c r="D58" s="83"/>
      <c r="E58" s="83"/>
      <c r="F58" s="7" t="str">
        <f>CVSSv3!$A$11</f>
        <v>Availability Impact</v>
      </c>
      <c r="G58" s="8" t="s">
        <v>20</v>
      </c>
      <c r="H58" s="86"/>
      <c r="I58" s="87"/>
      <c r="J58" s="87"/>
      <c r="K58" s="83"/>
      <c r="L58" s="83"/>
      <c r="M58" s="83"/>
    </row>
    <row r="59" spans="1:13" ht="15.75" x14ac:dyDescent="0.2">
      <c r="A59" s="85"/>
      <c r="B59" s="83"/>
      <c r="C59" s="83"/>
      <c r="D59" s="83"/>
      <c r="E59" s="83"/>
      <c r="F59" s="7" t="str">
        <f>CVSSv3!$A$12</f>
        <v>Exploit Code Maturity</v>
      </c>
      <c r="G59" s="8" t="s">
        <v>20</v>
      </c>
      <c r="H59" s="86"/>
      <c r="I59" s="87"/>
      <c r="J59" s="87"/>
      <c r="K59" s="83"/>
      <c r="L59" s="83"/>
      <c r="M59" s="83"/>
    </row>
    <row r="60" spans="1:13" ht="15.75" x14ac:dyDescent="0.2">
      <c r="A60" s="85"/>
      <c r="B60" s="83"/>
      <c r="C60" s="83"/>
      <c r="D60" s="83"/>
      <c r="E60" s="83"/>
      <c r="F60" s="7" t="str">
        <f>CVSSv3!$A$13</f>
        <v>Remediation Level</v>
      </c>
      <c r="G60" s="8" t="s">
        <v>21</v>
      </c>
      <c r="H60" s="86"/>
      <c r="I60" s="87"/>
      <c r="J60" s="87"/>
      <c r="K60" s="83"/>
      <c r="L60" s="83"/>
      <c r="M60" s="83"/>
    </row>
    <row r="61" spans="1:13" ht="15.75" x14ac:dyDescent="0.2">
      <c r="A61" s="85"/>
      <c r="B61" s="83"/>
      <c r="C61" s="83"/>
      <c r="D61" s="83"/>
      <c r="E61" s="83"/>
      <c r="F61" s="7" t="str">
        <f>CVSSv3!$A$14</f>
        <v>Report Confidence</v>
      </c>
      <c r="G61" s="8" t="s">
        <v>25</v>
      </c>
      <c r="H61" s="86"/>
      <c r="I61" s="87"/>
      <c r="J61" s="87"/>
      <c r="K61" s="83"/>
      <c r="L61" s="83"/>
      <c r="M61" s="83"/>
    </row>
    <row r="62" spans="1:13" ht="15.75" x14ac:dyDescent="0.2">
      <c r="A62" s="85"/>
      <c r="B62" s="83"/>
      <c r="C62" s="83"/>
      <c r="D62" s="83"/>
      <c r="E62" s="83"/>
      <c r="F62" s="84" t="str">
        <f>"("&amp;CVSSv3!$B$4&amp;":"&amp;IF(G51=CVSSv3!$C$4,CVSSv3!$C$30,IF(G51=CVSSv3!$D$4,CVSSv3!$D$30,IF(G51=CVSSv3!$E$4,CVSSv3!$E$30,IF(G51=CVSSv3!$F$4,CVSSv3!$F$30,""))))&amp;"/"&amp;CVSSv3!$B$5&amp;":"&amp;IF(G52=CVSSv3!$C$5,CVSSv3!$C$31,IF(G52=CVSSv3!$D$5,CVSSv3!$D$31,""))&amp;"/"&amp;CVSSv3!$B$6&amp;":"&amp;IF(G53=CVSSv3!$C$6,CVSSv3!$C$32,IF(G53=CVSSv3!$D$6,CVSSv3!$D$32,IF(G53=CVSSv3!$E$6,CVSSv3!$E$32,"")))&amp;"/"&amp;CVSSv3!$B$7&amp;":"&amp;IF(G54=CVSSv3!$C$7,CVSSv3!$C$33,IF(G54=CVSSv3!$D$7,CVSSv3!$D$33,""))&amp;"/"&amp;CVSSv3!$B$8&amp;":"&amp;IF(G55=CVSSv3!$C$8,CVSSv3!$C$34,IF(G55=CVSSv3!$D$8,CVSSv3!$D$34,""))&amp;"/"&amp;CVSSv3!$B$9&amp;":"&amp;IF(G56=CVSSv3!$C$9,CVSSv3!$C$35,IF(G56=CVSSv3!$D$9,CVSSv3!$D$35,IF(G56=CVSSv3!$E$9,CVSSv3!$E$35,"")))&amp;"/"&amp;CVSSv3!$B$10&amp;":"&amp;IF(G57=CVSSv3!$C$10,CVSSv3!$C$36,IF(G57=CVSSv3!$D$10,CVSSv3!$D$36,IF(G57=CVSSv3!$E$10,CVSSv3!$E$36,"")))&amp;"/"&amp;CVSSv3!$B$11&amp;":"&amp;IF(G58=CVSSv3!$C$11,CVSSv3!$C$37,IF(G58=CVSSv3!$D$11,CVSSv3!$D$37,IF(G58=CVSSv3!$E$11,CVSSv3!$E$37,"")))&amp;"/"&amp;CVSSv3!$B$12&amp;":"&amp;IF(G59=CVSSv3!$C$12,CVSSv3!$C$38,IF(G59=CVSSv3!$D$12,CVSSv3!$D$38,IF(G59=CVSSv3!$E$12,CVSSv3!$E$38,IF(G59=CVSSv3!$F$12,CVSSv3!$F$38,""))))&amp;"/"&amp;CVSSv3!$B$13&amp;":"&amp;IF(G60=CVSSv3!$C$13,CVSSv3!$C$39,IF(G60=CVSSv3!$D$13,CVSSv3!$D$39,IF(G60=CVSSv3!$E$13,CVSSv3!$E$39,IF(G60=CVSSv3!$F$13,CVSSv3!$F$39,""))))&amp;"/"&amp;CVSSv3!$B$14&amp;":"&amp;IF(G61=CVSSv3!$C$14,CVSSv3!$C$40,IF(G61=CVSSv3!$D$14,CVSSv3!$D$40,IF(G61=CVSSv3!$E$14,CVSSv3!$E$40,"")))&amp;")"</f>
        <v>(AV:/AC:H/PR:N/UI:N/S:C/C:H/I:H/A:H/E:H/RL:/RC:)</v>
      </c>
      <c r="G62" s="84"/>
      <c r="H62" s="86"/>
      <c r="I62" s="87"/>
      <c r="J62" s="87"/>
      <c r="K62" s="83"/>
      <c r="L62" s="83"/>
      <c r="M62" s="83"/>
    </row>
    <row r="63" spans="1:13" ht="15.75" customHeight="1" x14ac:dyDescent="0.25">
      <c r="A63" s="85">
        <v>6</v>
      </c>
      <c r="B63" s="83" t="s">
        <v>29</v>
      </c>
      <c r="C63" s="83" t="s">
        <v>14</v>
      </c>
      <c r="D63" s="83" t="s">
        <v>14</v>
      </c>
      <c r="E63" s="83" t="s">
        <v>14</v>
      </c>
      <c r="F63" s="5" t="str">
        <f>CVSSv3!$A$4</f>
        <v>Attack Vector</v>
      </c>
      <c r="G63" s="6" t="s">
        <v>15</v>
      </c>
      <c r="H63" s="86" t="e">
        <f>ROUNDUP((IF((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lt;=0,0,(IF(G67=CVSSv3!$C$8,ROUNDUP((MIN((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ROUNDUP((MIN(1.08*((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IF(G71=CVSSv3!$C$12,CVSSv3!$C$25,(IF(G71=CVSSv3!$D$12,CVSSv3!$D$25,(IF(G71=CVSSv3!$E$12,CVSSv3!$E$25,(IF(G71=CVSSv3!$F$12,CVSSv3!$F$25,""))))))))*(IF(G72=CVSSv3!$C$13,CVSSv3!$C$26,(IF(G72=CVSSv3!$D$13,CVSSv3!$D$26,(IF(G72=CVSSv3!$E$13,CVSSv3!$E$26,(IF(G72=CVSSv3!$F$13,CVSSv3!$F$26,""))))))))*(IF(G73=CVSSv3!$C$14,CVSSv3!$C$27,(IF(G73=CVSSv3!$D$14,CVSSv3!$D$27,(IF(G73=CVSSv3!$E$14,CVSSv3!$E$27,""))))))),1)</f>
        <v>#VALUE!</v>
      </c>
      <c r="I63" s="87">
        <v>0</v>
      </c>
      <c r="J63" s="87">
        <v>0</v>
      </c>
      <c r="K63" s="83" t="s">
        <v>14</v>
      </c>
      <c r="L63" s="83" t="s">
        <v>14</v>
      </c>
      <c r="M63" s="83" t="s">
        <v>16</v>
      </c>
    </row>
    <row r="64" spans="1:13" ht="15.75" x14ac:dyDescent="0.2">
      <c r="A64" s="85"/>
      <c r="B64" s="83"/>
      <c r="C64" s="83"/>
      <c r="D64" s="83"/>
      <c r="E64" s="83"/>
      <c r="F64" s="7" t="str">
        <f>CVSSv3!$A$5</f>
        <v>Attack Complexity</v>
      </c>
      <c r="G64" s="8" t="s">
        <v>20</v>
      </c>
      <c r="H64" s="86"/>
      <c r="I64" s="87"/>
      <c r="J64" s="87"/>
      <c r="K64" s="83"/>
      <c r="L64" s="83"/>
      <c r="M64" s="83"/>
    </row>
    <row r="65" spans="1:13" ht="15.75" x14ac:dyDescent="0.2">
      <c r="A65" s="85"/>
      <c r="B65" s="83"/>
      <c r="C65" s="83"/>
      <c r="D65" s="83"/>
      <c r="E65" s="83"/>
      <c r="F65" s="7" t="str">
        <f>CVSSv3!$A$6</f>
        <v>Privilege Required</v>
      </c>
      <c r="G65" s="8" t="s">
        <v>18</v>
      </c>
      <c r="H65" s="86"/>
      <c r="I65" s="87"/>
      <c r="J65" s="87"/>
      <c r="K65" s="83"/>
      <c r="L65" s="83"/>
      <c r="M65" s="83"/>
    </row>
    <row r="66" spans="1:13" ht="15.75" x14ac:dyDescent="0.2">
      <c r="A66" s="85"/>
      <c r="B66" s="83"/>
      <c r="C66" s="83"/>
      <c r="D66" s="83"/>
      <c r="E66" s="83"/>
      <c r="F66" s="7" t="str">
        <f>CVSSv3!$A$7</f>
        <v>User Interaction</v>
      </c>
      <c r="G66" s="8" t="s">
        <v>18</v>
      </c>
      <c r="H66" s="86"/>
      <c r="I66" s="87"/>
      <c r="J66" s="87"/>
      <c r="K66" s="83"/>
      <c r="L66" s="83"/>
      <c r="M66" s="83"/>
    </row>
    <row r="67" spans="1:13" ht="15.75" x14ac:dyDescent="0.2">
      <c r="A67" s="85"/>
      <c r="B67" s="83"/>
      <c r="C67" s="83"/>
      <c r="D67" s="83"/>
      <c r="E67" s="83"/>
      <c r="F67" s="7" t="str">
        <f>CVSSv3!$A$8</f>
        <v>Scope</v>
      </c>
      <c r="G67" s="8" t="s">
        <v>24</v>
      </c>
      <c r="H67" s="86"/>
      <c r="I67" s="87"/>
      <c r="J67" s="87"/>
      <c r="K67" s="83"/>
      <c r="L67" s="83"/>
      <c r="M67" s="83"/>
    </row>
    <row r="68" spans="1:13" ht="15.75" x14ac:dyDescent="0.2">
      <c r="A68" s="85"/>
      <c r="B68" s="83"/>
      <c r="C68" s="83"/>
      <c r="D68" s="83"/>
      <c r="E68" s="83"/>
      <c r="F68" s="7" t="str">
        <f>CVSSv3!$A$9</f>
        <v>Confidentiality Impact</v>
      </c>
      <c r="G68" s="8" t="s">
        <v>20</v>
      </c>
      <c r="H68" s="86"/>
      <c r="I68" s="87"/>
      <c r="J68" s="87"/>
      <c r="K68" s="83"/>
      <c r="L68" s="83"/>
      <c r="M68" s="83"/>
    </row>
    <row r="69" spans="1:13" ht="15.75" x14ac:dyDescent="0.2">
      <c r="A69" s="85"/>
      <c r="B69" s="83"/>
      <c r="C69" s="83"/>
      <c r="D69" s="83"/>
      <c r="E69" s="83"/>
      <c r="F69" s="7" t="str">
        <f>CVSSv3!$A$10</f>
        <v>Integrity Impact</v>
      </c>
      <c r="G69" s="8" t="s">
        <v>20</v>
      </c>
      <c r="H69" s="86"/>
      <c r="I69" s="87"/>
      <c r="J69" s="87"/>
      <c r="K69" s="83"/>
      <c r="L69" s="83"/>
      <c r="M69" s="83"/>
    </row>
    <row r="70" spans="1:13" ht="15.75" x14ac:dyDescent="0.2">
      <c r="A70" s="85"/>
      <c r="B70" s="83"/>
      <c r="C70" s="83"/>
      <c r="D70" s="83"/>
      <c r="E70" s="83"/>
      <c r="F70" s="7" t="str">
        <f>CVSSv3!$A$11</f>
        <v>Availability Impact</v>
      </c>
      <c r="G70" s="8" t="s">
        <v>20</v>
      </c>
      <c r="H70" s="86"/>
      <c r="I70" s="87"/>
      <c r="J70" s="87"/>
      <c r="K70" s="83"/>
      <c r="L70" s="83"/>
      <c r="M70" s="83"/>
    </row>
    <row r="71" spans="1:13" ht="15.75" x14ac:dyDescent="0.2">
      <c r="A71" s="85"/>
      <c r="B71" s="83"/>
      <c r="C71" s="83"/>
      <c r="D71" s="83"/>
      <c r="E71" s="83"/>
      <c r="F71" s="7" t="str">
        <f>CVSSv3!$A$12</f>
        <v>Exploit Code Maturity</v>
      </c>
      <c r="G71" s="8" t="s">
        <v>20</v>
      </c>
      <c r="H71" s="86"/>
      <c r="I71" s="87"/>
      <c r="J71" s="87"/>
      <c r="K71" s="83"/>
      <c r="L71" s="83"/>
      <c r="M71" s="83"/>
    </row>
    <row r="72" spans="1:13" ht="15.75" x14ac:dyDescent="0.2">
      <c r="A72" s="85"/>
      <c r="B72" s="83"/>
      <c r="C72" s="83"/>
      <c r="D72" s="83"/>
      <c r="E72" s="83"/>
      <c r="F72" s="7" t="str">
        <f>CVSSv3!$A$13</f>
        <v>Remediation Level</v>
      </c>
      <c r="G72" s="8" t="s">
        <v>21</v>
      </c>
      <c r="H72" s="86"/>
      <c r="I72" s="87"/>
      <c r="J72" s="87"/>
      <c r="K72" s="83"/>
      <c r="L72" s="83"/>
      <c r="M72" s="83"/>
    </row>
    <row r="73" spans="1:13" ht="15.75" x14ac:dyDescent="0.2">
      <c r="A73" s="85"/>
      <c r="B73" s="83"/>
      <c r="C73" s="83"/>
      <c r="D73" s="83"/>
      <c r="E73" s="83"/>
      <c r="F73" s="7" t="str">
        <f>CVSSv3!$A$14</f>
        <v>Report Confidence</v>
      </c>
      <c r="G73" s="8" t="s">
        <v>25</v>
      </c>
      <c r="H73" s="86"/>
      <c r="I73" s="87"/>
      <c r="J73" s="87"/>
      <c r="K73" s="83"/>
      <c r="L73" s="83"/>
      <c r="M73" s="83"/>
    </row>
    <row r="74" spans="1:13" ht="15.75" x14ac:dyDescent="0.2">
      <c r="A74" s="85"/>
      <c r="B74" s="83"/>
      <c r="C74" s="83"/>
      <c r="D74" s="83"/>
      <c r="E74" s="83"/>
      <c r="F74" s="84" t="str">
        <f>"("&amp;CVSSv3!$B$4&amp;":"&amp;IF(G63=CVSSv3!$C$4,CVSSv3!$C$30,IF(G63=CVSSv3!$D$4,CVSSv3!$D$30,IF(G63=CVSSv3!$E$4,CVSSv3!$E$30,IF(G63=CVSSv3!$F$4,CVSSv3!$F$30,""))))&amp;"/"&amp;CVSSv3!$B$5&amp;":"&amp;IF(G64=CVSSv3!$C$5,CVSSv3!$C$31,IF(G64=CVSSv3!$D$5,CVSSv3!$D$31,""))&amp;"/"&amp;CVSSv3!$B$6&amp;":"&amp;IF(G65=CVSSv3!$C$6,CVSSv3!$C$32,IF(G65=CVSSv3!$D$6,CVSSv3!$D$32,IF(G65=CVSSv3!$E$6,CVSSv3!$E$32,"")))&amp;"/"&amp;CVSSv3!$B$7&amp;":"&amp;IF(G66=CVSSv3!$C$7,CVSSv3!$C$33,IF(G66=CVSSv3!$D$7,CVSSv3!$D$33,""))&amp;"/"&amp;CVSSv3!$B$8&amp;":"&amp;IF(G67=CVSSv3!$C$8,CVSSv3!$C$34,IF(G67=CVSSv3!$D$8,CVSSv3!$D$34,""))&amp;"/"&amp;CVSSv3!$B$9&amp;":"&amp;IF(G68=CVSSv3!$C$9,CVSSv3!$C$35,IF(G68=CVSSv3!$D$9,CVSSv3!$D$35,IF(G68=CVSSv3!$E$9,CVSSv3!$E$35,"")))&amp;"/"&amp;CVSSv3!$B$10&amp;":"&amp;IF(G69=CVSSv3!$C$10,CVSSv3!$C$36,IF(G69=CVSSv3!$D$10,CVSSv3!$D$36,IF(G69=CVSSv3!$E$10,CVSSv3!$E$36,"")))&amp;"/"&amp;CVSSv3!$B$11&amp;":"&amp;IF(G70=CVSSv3!$C$11,CVSSv3!$C$37,IF(G70=CVSSv3!$D$11,CVSSv3!$D$37,IF(G70=CVSSv3!$E$11,CVSSv3!$E$37,"")))&amp;"/"&amp;CVSSv3!$B$12&amp;":"&amp;IF(G71=CVSSv3!$C$12,CVSSv3!$C$38,IF(G71=CVSSv3!$D$12,CVSSv3!$D$38,IF(G71=CVSSv3!$E$12,CVSSv3!$E$38,IF(G71=CVSSv3!$F$12,CVSSv3!$F$38,""))))&amp;"/"&amp;CVSSv3!$B$13&amp;":"&amp;IF(G72=CVSSv3!$C$13,CVSSv3!$C$39,IF(G72=CVSSv3!$D$13,CVSSv3!$D$39,IF(G72=CVSSv3!$E$13,CVSSv3!$E$39,IF(G72=CVSSv3!$F$13,CVSSv3!$F$39,""))))&amp;"/"&amp;CVSSv3!$B$14&amp;":"&amp;IF(G73=CVSSv3!$C$14,CVSSv3!$C$40,IF(G73=CVSSv3!$D$14,CVSSv3!$D$40,IF(G73=CVSSv3!$E$14,CVSSv3!$E$40,"")))&amp;")"</f>
        <v>(AV:/AC:H/PR:N/UI:N/S:C/C:H/I:H/A:H/E:H/RL:/RC:)</v>
      </c>
      <c r="G74" s="84"/>
      <c r="H74" s="86"/>
      <c r="I74" s="87"/>
      <c r="J74" s="87"/>
      <c r="K74" s="83"/>
      <c r="L74" s="83"/>
      <c r="M74" s="83"/>
    </row>
    <row r="75" spans="1:13" ht="15.75" customHeight="1" x14ac:dyDescent="0.25">
      <c r="A75" s="85">
        <v>7</v>
      </c>
      <c r="B75" s="83" t="s">
        <v>30</v>
      </c>
      <c r="C75" s="83" t="s">
        <v>14</v>
      </c>
      <c r="D75" s="83" t="s">
        <v>14</v>
      </c>
      <c r="E75" s="83" t="s">
        <v>14</v>
      </c>
      <c r="F75" s="5" t="str">
        <f>CVSSv3!$A$4</f>
        <v>Attack Vector</v>
      </c>
      <c r="G75" s="6" t="s">
        <v>15</v>
      </c>
      <c r="H75" s="86" t="e">
        <f>ROUNDUP((IF((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lt;=0,0,(IF(G79=CVSSv3!$C$8,ROUNDUP((MIN((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ROUNDUP((MIN(1.08*((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IF(G83=CVSSv3!$C$12,CVSSv3!$C$25,(IF(G83=CVSSv3!$D$12,CVSSv3!$D$25,(IF(G83=CVSSv3!$E$12,CVSSv3!$E$25,(IF(G83=CVSSv3!$F$12,CVSSv3!$F$25,""))))))))*(IF(G84=CVSSv3!$C$13,CVSSv3!$C$26,(IF(G84=CVSSv3!$D$13,CVSSv3!$D$26,(IF(G84=CVSSv3!$E$13,CVSSv3!$E$26,(IF(G84=CVSSv3!$F$13,CVSSv3!$F$26,""))))))))*(IF(G85=CVSSv3!$C$14,CVSSv3!$C$27,(IF(G85=CVSSv3!$D$14,CVSSv3!$D$27,(IF(G85=CVSSv3!$E$14,CVSSv3!$E$27,""))))))),1)</f>
        <v>#VALUE!</v>
      </c>
      <c r="I75" s="87">
        <v>0</v>
      </c>
      <c r="J75" s="87">
        <v>0</v>
      </c>
      <c r="K75" s="83" t="s">
        <v>14</v>
      </c>
      <c r="L75" s="83" t="s">
        <v>14</v>
      </c>
      <c r="M75" s="83" t="s">
        <v>16</v>
      </c>
    </row>
    <row r="76" spans="1:13" ht="15.75" x14ac:dyDescent="0.2">
      <c r="A76" s="85"/>
      <c r="B76" s="83"/>
      <c r="C76" s="83"/>
      <c r="D76" s="83"/>
      <c r="E76" s="83"/>
      <c r="F76" s="7" t="str">
        <f>CVSSv3!$A$5</f>
        <v>Attack Complexity</v>
      </c>
      <c r="G76" s="8" t="s">
        <v>20</v>
      </c>
      <c r="H76" s="86"/>
      <c r="I76" s="87"/>
      <c r="J76" s="87"/>
      <c r="K76" s="83"/>
      <c r="L76" s="83"/>
      <c r="M76" s="83"/>
    </row>
    <row r="77" spans="1:13" ht="15.75" x14ac:dyDescent="0.2">
      <c r="A77" s="85"/>
      <c r="B77" s="83"/>
      <c r="C77" s="83"/>
      <c r="D77" s="83"/>
      <c r="E77" s="83"/>
      <c r="F77" s="7" t="str">
        <f>CVSSv3!$A$6</f>
        <v>Privilege Required</v>
      </c>
      <c r="G77" s="8" t="s">
        <v>18</v>
      </c>
      <c r="H77" s="86"/>
      <c r="I77" s="87"/>
      <c r="J77" s="87"/>
      <c r="K77" s="83"/>
      <c r="L77" s="83"/>
      <c r="M77" s="83"/>
    </row>
    <row r="78" spans="1:13" ht="15.75" x14ac:dyDescent="0.2">
      <c r="A78" s="85"/>
      <c r="B78" s="83"/>
      <c r="C78" s="83"/>
      <c r="D78" s="83"/>
      <c r="E78" s="83"/>
      <c r="F78" s="7" t="str">
        <f>CVSSv3!$A$7</f>
        <v>User Interaction</v>
      </c>
      <c r="G78" s="8" t="s">
        <v>18</v>
      </c>
      <c r="H78" s="86"/>
      <c r="I78" s="87"/>
      <c r="J78" s="87"/>
      <c r="K78" s="83"/>
      <c r="L78" s="83"/>
      <c r="M78" s="83"/>
    </row>
    <row r="79" spans="1:13" ht="15.75" x14ac:dyDescent="0.2">
      <c r="A79" s="85"/>
      <c r="B79" s="83"/>
      <c r="C79" s="83"/>
      <c r="D79" s="83"/>
      <c r="E79" s="83"/>
      <c r="F79" s="7" t="str">
        <f>CVSSv3!$A$8</f>
        <v>Scope</v>
      </c>
      <c r="G79" s="8" t="s">
        <v>24</v>
      </c>
      <c r="H79" s="86"/>
      <c r="I79" s="87"/>
      <c r="J79" s="87"/>
      <c r="K79" s="83"/>
      <c r="L79" s="83"/>
      <c r="M79" s="83"/>
    </row>
    <row r="80" spans="1:13" ht="15.75" x14ac:dyDescent="0.2">
      <c r="A80" s="85"/>
      <c r="B80" s="83"/>
      <c r="C80" s="83"/>
      <c r="D80" s="83"/>
      <c r="E80" s="83"/>
      <c r="F80" s="7" t="str">
        <f>CVSSv3!$A$9</f>
        <v>Confidentiality Impact</v>
      </c>
      <c r="G80" s="8" t="s">
        <v>20</v>
      </c>
      <c r="H80" s="86"/>
      <c r="I80" s="87"/>
      <c r="J80" s="87"/>
      <c r="K80" s="83"/>
      <c r="L80" s="83"/>
      <c r="M80" s="83"/>
    </row>
    <row r="81" spans="1:13" ht="15.75" x14ac:dyDescent="0.2">
      <c r="A81" s="85"/>
      <c r="B81" s="83"/>
      <c r="C81" s="83"/>
      <c r="D81" s="83"/>
      <c r="E81" s="83"/>
      <c r="F81" s="7" t="str">
        <f>CVSSv3!$A$10</f>
        <v>Integrity Impact</v>
      </c>
      <c r="G81" s="8" t="s">
        <v>20</v>
      </c>
      <c r="H81" s="86"/>
      <c r="I81" s="87"/>
      <c r="J81" s="87"/>
      <c r="K81" s="83"/>
      <c r="L81" s="83"/>
      <c r="M81" s="83"/>
    </row>
    <row r="82" spans="1:13" ht="15.75" x14ac:dyDescent="0.2">
      <c r="A82" s="85"/>
      <c r="B82" s="83"/>
      <c r="C82" s="83"/>
      <c r="D82" s="83"/>
      <c r="E82" s="83"/>
      <c r="F82" s="7" t="str">
        <f>CVSSv3!$A$11</f>
        <v>Availability Impact</v>
      </c>
      <c r="G82" s="8" t="s">
        <v>20</v>
      </c>
      <c r="H82" s="86"/>
      <c r="I82" s="87"/>
      <c r="J82" s="87"/>
      <c r="K82" s="83"/>
      <c r="L82" s="83"/>
      <c r="M82" s="83"/>
    </row>
    <row r="83" spans="1:13" ht="15.75" x14ac:dyDescent="0.2">
      <c r="A83" s="85"/>
      <c r="B83" s="83"/>
      <c r="C83" s="83"/>
      <c r="D83" s="83"/>
      <c r="E83" s="83"/>
      <c r="F83" s="7" t="str">
        <f>CVSSv3!$A$12</f>
        <v>Exploit Code Maturity</v>
      </c>
      <c r="G83" s="8" t="s">
        <v>20</v>
      </c>
      <c r="H83" s="86"/>
      <c r="I83" s="87"/>
      <c r="J83" s="87"/>
      <c r="K83" s="83"/>
      <c r="L83" s="83"/>
      <c r="M83" s="83"/>
    </row>
    <row r="84" spans="1:13" ht="15.75" x14ac:dyDescent="0.2">
      <c r="A84" s="85"/>
      <c r="B84" s="83"/>
      <c r="C84" s="83"/>
      <c r="D84" s="83"/>
      <c r="E84" s="83"/>
      <c r="F84" s="7" t="str">
        <f>CVSSv3!$A$13</f>
        <v>Remediation Level</v>
      </c>
      <c r="G84" s="8" t="s">
        <v>21</v>
      </c>
      <c r="H84" s="86"/>
      <c r="I84" s="87"/>
      <c r="J84" s="87"/>
      <c r="K84" s="83"/>
      <c r="L84" s="83"/>
      <c r="M84" s="83"/>
    </row>
    <row r="85" spans="1:13" ht="15.75" x14ac:dyDescent="0.2">
      <c r="A85" s="85"/>
      <c r="B85" s="83"/>
      <c r="C85" s="83"/>
      <c r="D85" s="83"/>
      <c r="E85" s="83"/>
      <c r="F85" s="7" t="str">
        <f>CVSSv3!$A$14</f>
        <v>Report Confidence</v>
      </c>
      <c r="G85" s="8" t="s">
        <v>25</v>
      </c>
      <c r="H85" s="86"/>
      <c r="I85" s="87"/>
      <c r="J85" s="87"/>
      <c r="K85" s="83"/>
      <c r="L85" s="83"/>
      <c r="M85" s="83"/>
    </row>
    <row r="86" spans="1:13" ht="15.75" x14ac:dyDescent="0.2">
      <c r="A86" s="85"/>
      <c r="B86" s="83"/>
      <c r="C86" s="83"/>
      <c r="D86" s="83"/>
      <c r="E86" s="83"/>
      <c r="F86" s="84" t="str">
        <f>"("&amp;CVSSv3!$B$4&amp;":"&amp;IF(G75=CVSSv3!$C$4,CVSSv3!$C$30,IF(G75=CVSSv3!$D$4,CVSSv3!$D$30,IF(G75=CVSSv3!$E$4,CVSSv3!$E$30,IF(G75=CVSSv3!$F$4,CVSSv3!$F$30,""))))&amp;"/"&amp;CVSSv3!$B$5&amp;":"&amp;IF(G76=CVSSv3!$C$5,CVSSv3!$C$31,IF(G76=CVSSv3!$D$5,CVSSv3!$D$31,""))&amp;"/"&amp;CVSSv3!$B$6&amp;":"&amp;IF(G77=CVSSv3!$C$6,CVSSv3!$C$32,IF(G77=CVSSv3!$D$6,CVSSv3!$D$32,IF(G77=CVSSv3!$E$6,CVSSv3!$E$32,"")))&amp;"/"&amp;CVSSv3!$B$7&amp;":"&amp;IF(G78=CVSSv3!$C$7,CVSSv3!$C$33,IF(G78=CVSSv3!$D$7,CVSSv3!$D$33,""))&amp;"/"&amp;CVSSv3!$B$8&amp;":"&amp;IF(G79=CVSSv3!$C$8,CVSSv3!$C$34,IF(G79=CVSSv3!$D$8,CVSSv3!$D$34,""))&amp;"/"&amp;CVSSv3!$B$9&amp;":"&amp;IF(G80=CVSSv3!$C$9,CVSSv3!$C$35,IF(G80=CVSSv3!$D$9,CVSSv3!$D$35,IF(G80=CVSSv3!$E$9,CVSSv3!$E$35,"")))&amp;"/"&amp;CVSSv3!$B$10&amp;":"&amp;IF(G81=CVSSv3!$C$10,CVSSv3!$C$36,IF(G81=CVSSv3!$D$10,CVSSv3!$D$36,IF(G81=CVSSv3!$E$10,CVSSv3!$E$36,"")))&amp;"/"&amp;CVSSv3!$B$11&amp;":"&amp;IF(G82=CVSSv3!$C$11,CVSSv3!$C$37,IF(G82=CVSSv3!$D$11,CVSSv3!$D$37,IF(G82=CVSSv3!$E$11,CVSSv3!$E$37,"")))&amp;"/"&amp;CVSSv3!$B$12&amp;":"&amp;IF(G83=CVSSv3!$C$12,CVSSv3!$C$38,IF(G83=CVSSv3!$D$12,CVSSv3!$D$38,IF(G83=CVSSv3!$E$12,CVSSv3!$E$38,IF(G83=CVSSv3!$F$12,CVSSv3!$F$38,""))))&amp;"/"&amp;CVSSv3!$B$13&amp;":"&amp;IF(G84=CVSSv3!$C$13,CVSSv3!$C$39,IF(G84=CVSSv3!$D$13,CVSSv3!$D$39,IF(G84=CVSSv3!$E$13,CVSSv3!$E$39,IF(G84=CVSSv3!$F$13,CVSSv3!$F$39,""))))&amp;"/"&amp;CVSSv3!$B$14&amp;":"&amp;IF(G85=CVSSv3!$C$14,CVSSv3!$C$40,IF(G85=CVSSv3!$D$14,CVSSv3!$D$40,IF(G85=CVSSv3!$E$14,CVSSv3!$E$40,"")))&amp;")"</f>
        <v>(AV:/AC:H/PR:N/UI:N/S:C/C:H/I:H/A:H/E:H/RL:/RC:)</v>
      </c>
      <c r="G86" s="84"/>
      <c r="H86" s="86"/>
      <c r="I86" s="87"/>
      <c r="J86" s="87"/>
      <c r="K86" s="83"/>
      <c r="L86" s="83"/>
      <c r="M86" s="83"/>
    </row>
    <row r="87" spans="1:13" ht="15.75" customHeight="1" x14ac:dyDescent="0.25">
      <c r="A87" s="85">
        <v>8</v>
      </c>
      <c r="B87" s="83" t="s">
        <v>31</v>
      </c>
      <c r="C87" s="83" t="s">
        <v>14</v>
      </c>
      <c r="D87" s="83" t="s">
        <v>14</v>
      </c>
      <c r="E87" s="83" t="s">
        <v>14</v>
      </c>
      <c r="F87" s="5" t="str">
        <f>CVSSv3!$A$4</f>
        <v>Attack Vector</v>
      </c>
      <c r="G87" s="6" t="s">
        <v>15</v>
      </c>
      <c r="H87" s="86" t="e">
        <f>ROUNDUP((IF((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lt;=0,0,(IF(G91=CVSSv3!$C$8,ROUNDUP((MIN((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ROUNDUP((MIN(1.08*((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IF(G95=CVSSv3!$C$12,CVSSv3!$C$25,(IF(G95=CVSSv3!$D$12,CVSSv3!$D$25,(IF(G95=CVSSv3!$E$12,CVSSv3!$E$25,(IF(G95=CVSSv3!$F$12,CVSSv3!$F$25,""))))))))*(IF(G96=CVSSv3!$C$13,CVSSv3!$C$26,(IF(G96=CVSSv3!$D$13,CVSSv3!$D$26,(IF(G96=CVSSv3!$E$13,CVSSv3!$E$26,(IF(G96=CVSSv3!$F$13,CVSSv3!$F$26,""))))))))*(IF(G97=CVSSv3!$C$14,CVSSv3!$C$27,(IF(G97=CVSSv3!$D$14,CVSSv3!$D$27,(IF(G97=CVSSv3!$E$14,CVSSv3!$E$27,""))))))),1)</f>
        <v>#VALUE!</v>
      </c>
      <c r="I87" s="87">
        <v>0</v>
      </c>
      <c r="J87" s="87">
        <v>0</v>
      </c>
      <c r="K87" s="83" t="s">
        <v>14</v>
      </c>
      <c r="L87" s="83" t="s">
        <v>14</v>
      </c>
      <c r="M87" s="83" t="s">
        <v>16</v>
      </c>
    </row>
    <row r="88" spans="1:13" ht="15.75" x14ac:dyDescent="0.2">
      <c r="A88" s="85"/>
      <c r="B88" s="83"/>
      <c r="C88" s="83"/>
      <c r="D88" s="83"/>
      <c r="E88" s="83"/>
      <c r="F88" s="7" t="str">
        <f>CVSSv3!$A$5</f>
        <v>Attack Complexity</v>
      </c>
      <c r="G88" s="8" t="s">
        <v>32</v>
      </c>
      <c r="H88" s="86"/>
      <c r="I88" s="87"/>
      <c r="J88" s="87"/>
      <c r="K88" s="83"/>
      <c r="L88" s="83"/>
      <c r="M88" s="83"/>
    </row>
    <row r="89" spans="1:13" ht="15.75" x14ac:dyDescent="0.2">
      <c r="A89" s="85"/>
      <c r="B89" s="83"/>
      <c r="C89" s="83"/>
      <c r="D89" s="83"/>
      <c r="E89" s="83"/>
      <c r="F89" s="7" t="str">
        <f>CVSSv3!$A$6</f>
        <v>Privilege Required</v>
      </c>
      <c r="G89" s="8" t="s">
        <v>33</v>
      </c>
      <c r="H89" s="86"/>
      <c r="I89" s="87"/>
      <c r="J89" s="87"/>
      <c r="K89" s="83"/>
      <c r="L89" s="83"/>
      <c r="M89" s="83"/>
    </row>
    <row r="90" spans="1:13" ht="15.75" x14ac:dyDescent="0.2">
      <c r="A90" s="85"/>
      <c r="B90" s="83"/>
      <c r="C90" s="83"/>
      <c r="D90" s="83"/>
      <c r="E90" s="83"/>
      <c r="F90" s="7" t="str">
        <f>CVSSv3!$A$7</f>
        <v>User Interaction</v>
      </c>
      <c r="G90" s="8" t="s">
        <v>34</v>
      </c>
      <c r="H90" s="86"/>
      <c r="I90" s="87"/>
      <c r="J90" s="87"/>
      <c r="K90" s="83"/>
      <c r="L90" s="83"/>
      <c r="M90" s="83"/>
    </row>
    <row r="91" spans="1:13" ht="15.75" x14ac:dyDescent="0.2">
      <c r="A91" s="85"/>
      <c r="B91" s="83"/>
      <c r="C91" s="83"/>
      <c r="D91" s="83"/>
      <c r="E91" s="83"/>
      <c r="F91" s="7" t="str">
        <f>CVSSv3!$A$8</f>
        <v>Scope</v>
      </c>
      <c r="G91" s="8" t="s">
        <v>35</v>
      </c>
      <c r="H91" s="86"/>
      <c r="I91" s="87"/>
      <c r="J91" s="87"/>
      <c r="K91" s="83"/>
      <c r="L91" s="83"/>
      <c r="M91" s="83"/>
    </row>
    <row r="92" spans="1:13" ht="15.75" x14ac:dyDescent="0.2">
      <c r="A92" s="85"/>
      <c r="B92" s="83"/>
      <c r="C92" s="83"/>
      <c r="D92" s="83"/>
      <c r="E92" s="83"/>
      <c r="F92" s="7" t="str">
        <f>CVSSv3!$A$9</f>
        <v>Confidentiality Impact</v>
      </c>
      <c r="G92" s="8" t="s">
        <v>36</v>
      </c>
      <c r="H92" s="86"/>
      <c r="I92" s="87"/>
      <c r="J92" s="87"/>
      <c r="K92" s="83"/>
      <c r="L92" s="83"/>
      <c r="M92" s="83"/>
    </row>
    <row r="93" spans="1:13" ht="15.75" x14ac:dyDescent="0.2">
      <c r="A93" s="85"/>
      <c r="B93" s="83"/>
      <c r="C93" s="83"/>
      <c r="D93" s="83"/>
      <c r="E93" s="83"/>
      <c r="F93" s="7" t="str">
        <f>CVSSv3!$A$10</f>
        <v>Integrity Impact</v>
      </c>
      <c r="G93" s="8" t="s">
        <v>36</v>
      </c>
      <c r="H93" s="86"/>
      <c r="I93" s="87"/>
      <c r="J93" s="87"/>
      <c r="K93" s="83"/>
      <c r="L93" s="83"/>
      <c r="M93" s="83"/>
    </row>
    <row r="94" spans="1:13" ht="15.75" x14ac:dyDescent="0.2">
      <c r="A94" s="85"/>
      <c r="B94" s="83"/>
      <c r="C94" s="83"/>
      <c r="D94" s="83"/>
      <c r="E94" s="83"/>
      <c r="F94" s="7" t="str">
        <f>CVSSv3!$A$11</f>
        <v>Availability Impact</v>
      </c>
      <c r="G94" s="8" t="s">
        <v>36</v>
      </c>
      <c r="H94" s="86"/>
      <c r="I94" s="87"/>
      <c r="J94" s="87"/>
      <c r="K94" s="83"/>
      <c r="L94" s="83"/>
      <c r="M94" s="83"/>
    </row>
    <row r="95" spans="1:13" ht="15.75" x14ac:dyDescent="0.2">
      <c r="A95" s="85"/>
      <c r="B95" s="83"/>
      <c r="C95" s="83"/>
      <c r="D95" s="83"/>
      <c r="E95" s="83"/>
      <c r="F95" s="7" t="str">
        <f>CVSSv3!$A$12</f>
        <v>Exploit Code Maturity</v>
      </c>
      <c r="G95" s="8" t="s">
        <v>32</v>
      </c>
      <c r="H95" s="86"/>
      <c r="I95" s="87"/>
      <c r="J95" s="87"/>
      <c r="K95" s="83"/>
      <c r="L95" s="83"/>
      <c r="M95" s="83"/>
    </row>
    <row r="96" spans="1:13" ht="15.75" x14ac:dyDescent="0.2">
      <c r="A96" s="85"/>
      <c r="B96" s="83"/>
      <c r="C96" s="83"/>
      <c r="D96" s="83"/>
      <c r="E96" s="83"/>
      <c r="F96" s="7" t="str">
        <f>CVSSv3!$A$13</f>
        <v>Remediation Level</v>
      </c>
      <c r="G96" s="8" t="s">
        <v>37</v>
      </c>
      <c r="H96" s="86"/>
      <c r="I96" s="87"/>
      <c r="J96" s="87"/>
      <c r="K96" s="83"/>
      <c r="L96" s="83"/>
      <c r="M96" s="83"/>
    </row>
    <row r="97" spans="1:13" ht="15.75" x14ac:dyDescent="0.2">
      <c r="A97" s="85"/>
      <c r="B97" s="83"/>
      <c r="C97" s="83"/>
      <c r="D97" s="83"/>
      <c r="E97" s="83"/>
      <c r="F97" s="7" t="str">
        <f>CVSSv3!$A$14</f>
        <v>Report Confidence</v>
      </c>
      <c r="G97" s="8" t="s">
        <v>38</v>
      </c>
      <c r="H97" s="86"/>
      <c r="I97" s="87"/>
      <c r="J97" s="87"/>
      <c r="K97" s="83"/>
      <c r="L97" s="83"/>
      <c r="M97" s="83"/>
    </row>
    <row r="98" spans="1:13" ht="15.75" x14ac:dyDescent="0.2">
      <c r="A98" s="85"/>
      <c r="B98" s="83"/>
      <c r="C98" s="83"/>
      <c r="D98" s="83"/>
      <c r="E98" s="83"/>
      <c r="F98" s="84" t="str">
        <f>"("&amp;CVSSv3!$B$4&amp;":"&amp;IF(G87=CVSSv3!$C$4,CVSSv3!$C$30,IF(G87=CVSSv3!$D$4,CVSSv3!$D$30,IF(G87=CVSSv3!$E$4,CVSSv3!$E$30,IF(G87=CVSSv3!$F$4,CVSSv3!$F$30,""))))&amp;"/"&amp;CVSSv3!$B$5&amp;":"&amp;IF(G88=CVSSv3!$C$5,CVSSv3!$C$31,IF(G88=CVSSv3!$D$5,CVSSv3!$D$31,""))&amp;"/"&amp;CVSSv3!$B$6&amp;":"&amp;IF(G89=CVSSv3!$C$6,CVSSv3!$C$32,IF(G89=CVSSv3!$D$6,CVSSv3!$D$32,IF(G89=CVSSv3!$E$6,CVSSv3!$E$32,"")))&amp;"/"&amp;CVSSv3!$B$7&amp;":"&amp;IF(G90=CVSSv3!$C$7,CVSSv3!$C$33,IF(G90=CVSSv3!$D$7,CVSSv3!$D$33,""))&amp;"/"&amp;CVSSv3!$B$8&amp;":"&amp;IF(G91=CVSSv3!$C$8,CVSSv3!$C$34,IF(G91=CVSSv3!$D$8,CVSSv3!$D$34,""))&amp;"/"&amp;CVSSv3!$B$9&amp;":"&amp;IF(G92=CVSSv3!$C$9,CVSSv3!$C$35,IF(G92=CVSSv3!$D$9,CVSSv3!$D$35,IF(G92=CVSSv3!$E$9,CVSSv3!$E$35,"")))&amp;"/"&amp;CVSSv3!$B$10&amp;":"&amp;IF(G93=CVSSv3!$C$10,CVSSv3!$C$36,IF(G93=CVSSv3!$D$10,CVSSv3!$D$36,IF(G93=CVSSv3!$E$10,CVSSv3!$E$36,"")))&amp;"/"&amp;CVSSv3!$B$11&amp;":"&amp;IF(G94=CVSSv3!$C$11,CVSSv3!$C$37,IF(G94=CVSSv3!$D$11,CVSSv3!$D$37,IF(G94=CVSSv3!$E$11,CVSSv3!$E$37,"")))&amp;"/"&amp;CVSSv3!$B$12&amp;":"&amp;IF(G95=CVSSv3!$C$12,CVSSv3!$C$38,IF(G95=CVSSv3!$D$12,CVSSv3!$D$38,IF(G95=CVSSv3!$E$12,CVSSv3!$E$38,IF(G95=CVSSv3!$F$12,CVSSv3!$F$38,""))))&amp;"/"&amp;CVSSv3!$B$13&amp;":"&amp;IF(G96=CVSSv3!$C$13,CVSSv3!$C$39,IF(G96=CVSSv3!$D$13,CVSSv3!$D$39,IF(G96=CVSSv3!$E$13,CVSSv3!$E$39,IF(G96=CVSSv3!$F$13,CVSSv3!$F$39,""))))&amp;"/"&amp;CVSSv3!$B$14&amp;":"&amp;IF(G97=CVSSv3!$C$14,CVSSv3!$C$40,IF(G97=CVSSv3!$D$14,CVSSv3!$D$40,IF(G97=CVSSv3!$E$14,CVSSv3!$E$40,"")))&amp;")"</f>
        <v>(AV:/AC:/PR:/UI:/S:/C:/I:/A:/E:/RL:/RC:)</v>
      </c>
      <c r="G98" s="84"/>
      <c r="H98" s="86"/>
      <c r="I98" s="87"/>
      <c r="J98" s="87"/>
      <c r="K98" s="83"/>
      <c r="L98" s="83"/>
      <c r="M98" s="83"/>
    </row>
    <row r="99" spans="1:13" ht="15.75" customHeight="1" x14ac:dyDescent="0.25">
      <c r="A99" s="85">
        <v>9</v>
      </c>
      <c r="B99" s="83" t="s">
        <v>39</v>
      </c>
      <c r="C99" s="83" t="s">
        <v>14</v>
      </c>
      <c r="D99" s="83" t="s">
        <v>14</v>
      </c>
      <c r="E99" s="83" t="s">
        <v>14</v>
      </c>
      <c r="F99" s="5" t="str">
        <f>CVSSv3!$A$4</f>
        <v>Attack Vector</v>
      </c>
      <c r="G99" s="6" t="s">
        <v>15</v>
      </c>
      <c r="H99" s="86" t="e">
        <f>ROUNDUP((IF((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lt;=0,0,(IF(G103=CVSSv3!$C$8,ROUNDUP((MIN((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ROUNDUP((MIN(1.08*((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IF(G107=CVSSv3!$C$12,CVSSv3!$C$25,(IF(G107=CVSSv3!$D$12,CVSSv3!$D$25,(IF(G107=CVSSv3!$E$12,CVSSv3!$E$25,(IF(G107=CVSSv3!$F$12,CVSSv3!$F$25,""))))))))*(IF(G108=CVSSv3!$C$13,CVSSv3!$C$26,(IF(G108=CVSSv3!$D$13,CVSSv3!$D$26,(IF(G108=CVSSv3!$E$13,CVSSv3!$E$26,(IF(G108=CVSSv3!$F$13,CVSSv3!$F$26,""))))))))*(IF(G109=CVSSv3!$C$14,CVSSv3!$C$27,(IF(G109=CVSSv3!$D$14,CVSSv3!$D$27,(IF(G109=CVSSv3!$E$14,CVSSv3!$E$27,""))))))),1)</f>
        <v>#VALUE!</v>
      </c>
      <c r="I99" s="87">
        <v>0</v>
      </c>
      <c r="J99" s="87">
        <v>0</v>
      </c>
      <c r="K99" s="83" t="s">
        <v>14</v>
      </c>
      <c r="L99" s="83" t="s">
        <v>14</v>
      </c>
      <c r="M99" s="83" t="s">
        <v>16</v>
      </c>
    </row>
    <row r="100" spans="1:13" ht="15.75" x14ac:dyDescent="0.2">
      <c r="A100" s="85"/>
      <c r="B100" s="83"/>
      <c r="C100" s="83"/>
      <c r="D100" s="83"/>
      <c r="E100" s="83"/>
      <c r="F100" s="7" t="str">
        <f>CVSSv3!$A$5</f>
        <v>Attack Complexity</v>
      </c>
      <c r="G100" s="8" t="s">
        <v>32</v>
      </c>
      <c r="H100" s="86"/>
      <c r="I100" s="87"/>
      <c r="J100" s="87"/>
      <c r="K100" s="83"/>
      <c r="L100" s="83"/>
      <c r="M100" s="83"/>
    </row>
    <row r="101" spans="1:13" ht="15.75" x14ac:dyDescent="0.2">
      <c r="A101" s="85"/>
      <c r="B101" s="83"/>
      <c r="C101" s="83"/>
      <c r="D101" s="83"/>
      <c r="E101" s="83"/>
      <c r="F101" s="7" t="str">
        <f>CVSSv3!$A$6</f>
        <v>Privilege Required</v>
      </c>
      <c r="G101" s="8" t="s">
        <v>33</v>
      </c>
      <c r="H101" s="86"/>
      <c r="I101" s="87"/>
      <c r="J101" s="87"/>
      <c r="K101" s="83"/>
      <c r="L101" s="83"/>
      <c r="M101" s="83"/>
    </row>
    <row r="102" spans="1:13" ht="15.75" x14ac:dyDescent="0.2">
      <c r="A102" s="85"/>
      <c r="B102" s="83"/>
      <c r="C102" s="83"/>
      <c r="D102" s="83"/>
      <c r="E102" s="83"/>
      <c r="F102" s="7" t="str">
        <f>CVSSv3!$A$7</f>
        <v>User Interaction</v>
      </c>
      <c r="G102" s="8" t="s">
        <v>34</v>
      </c>
      <c r="H102" s="86"/>
      <c r="I102" s="87"/>
      <c r="J102" s="87"/>
      <c r="K102" s="83"/>
      <c r="L102" s="83"/>
      <c r="M102" s="83"/>
    </row>
    <row r="103" spans="1:13" ht="15.75" x14ac:dyDescent="0.2">
      <c r="A103" s="85"/>
      <c r="B103" s="83"/>
      <c r="C103" s="83"/>
      <c r="D103" s="83"/>
      <c r="E103" s="83"/>
      <c r="F103" s="7" t="str">
        <f>CVSSv3!$A$8</f>
        <v>Scope</v>
      </c>
      <c r="G103" s="8" t="s">
        <v>35</v>
      </c>
      <c r="H103" s="86"/>
      <c r="I103" s="87"/>
      <c r="J103" s="87"/>
      <c r="K103" s="83"/>
      <c r="L103" s="83"/>
      <c r="M103" s="83"/>
    </row>
    <row r="104" spans="1:13" ht="15.75" x14ac:dyDescent="0.2">
      <c r="A104" s="85"/>
      <c r="B104" s="83"/>
      <c r="C104" s="83"/>
      <c r="D104" s="83"/>
      <c r="E104" s="83"/>
      <c r="F104" s="7" t="str">
        <f>CVSSv3!$A$9</f>
        <v>Confidentiality Impact</v>
      </c>
      <c r="G104" s="8" t="s">
        <v>36</v>
      </c>
      <c r="H104" s="86"/>
      <c r="I104" s="87"/>
      <c r="J104" s="87"/>
      <c r="K104" s="83"/>
      <c r="L104" s="83"/>
      <c r="M104" s="83"/>
    </row>
    <row r="105" spans="1:13" ht="15.75" x14ac:dyDescent="0.2">
      <c r="A105" s="85"/>
      <c r="B105" s="83"/>
      <c r="C105" s="83"/>
      <c r="D105" s="83"/>
      <c r="E105" s="83"/>
      <c r="F105" s="7" t="str">
        <f>CVSSv3!$A$10</f>
        <v>Integrity Impact</v>
      </c>
      <c r="G105" s="8" t="s">
        <v>36</v>
      </c>
      <c r="H105" s="86"/>
      <c r="I105" s="87"/>
      <c r="J105" s="87"/>
      <c r="K105" s="83"/>
      <c r="L105" s="83"/>
      <c r="M105" s="83"/>
    </row>
    <row r="106" spans="1:13" ht="15.75" x14ac:dyDescent="0.2">
      <c r="A106" s="85"/>
      <c r="B106" s="83"/>
      <c r="C106" s="83"/>
      <c r="D106" s="83"/>
      <c r="E106" s="83"/>
      <c r="F106" s="7" t="str">
        <f>CVSSv3!$A$11</f>
        <v>Availability Impact</v>
      </c>
      <c r="G106" s="8" t="s">
        <v>36</v>
      </c>
      <c r="H106" s="86"/>
      <c r="I106" s="87"/>
      <c r="J106" s="87"/>
      <c r="K106" s="83"/>
      <c r="L106" s="83"/>
      <c r="M106" s="83"/>
    </row>
    <row r="107" spans="1:13" ht="15.75" x14ac:dyDescent="0.2">
      <c r="A107" s="85"/>
      <c r="B107" s="83"/>
      <c r="C107" s="83"/>
      <c r="D107" s="83"/>
      <c r="E107" s="83"/>
      <c r="F107" s="7" t="str">
        <f>CVSSv3!$A$12</f>
        <v>Exploit Code Maturity</v>
      </c>
      <c r="G107" s="8" t="s">
        <v>32</v>
      </c>
      <c r="H107" s="86"/>
      <c r="I107" s="87"/>
      <c r="J107" s="87"/>
      <c r="K107" s="83"/>
      <c r="L107" s="83"/>
      <c r="M107" s="83"/>
    </row>
    <row r="108" spans="1:13" ht="15.75" x14ac:dyDescent="0.2">
      <c r="A108" s="85"/>
      <c r="B108" s="83"/>
      <c r="C108" s="83"/>
      <c r="D108" s="83"/>
      <c r="E108" s="83"/>
      <c r="F108" s="7" t="str">
        <f>CVSSv3!$A$13</f>
        <v>Remediation Level</v>
      </c>
      <c r="G108" s="8" t="s">
        <v>37</v>
      </c>
      <c r="H108" s="86"/>
      <c r="I108" s="87"/>
      <c r="J108" s="87"/>
      <c r="K108" s="83"/>
      <c r="L108" s="83"/>
      <c r="M108" s="83"/>
    </row>
    <row r="109" spans="1:13" ht="15.75" x14ac:dyDescent="0.2">
      <c r="A109" s="85"/>
      <c r="B109" s="83"/>
      <c r="C109" s="83"/>
      <c r="D109" s="83"/>
      <c r="E109" s="83"/>
      <c r="F109" s="7" t="str">
        <f>CVSSv3!$A$14</f>
        <v>Report Confidence</v>
      </c>
      <c r="G109" s="8" t="s">
        <v>38</v>
      </c>
      <c r="H109" s="86"/>
      <c r="I109" s="87"/>
      <c r="J109" s="87"/>
      <c r="K109" s="83"/>
      <c r="L109" s="83"/>
      <c r="M109" s="83"/>
    </row>
    <row r="110" spans="1:13" ht="15.75" x14ac:dyDescent="0.2">
      <c r="A110" s="85"/>
      <c r="B110" s="83"/>
      <c r="C110" s="83"/>
      <c r="D110" s="83"/>
      <c r="E110" s="83"/>
      <c r="F110" s="84" t="str">
        <f>"("&amp;CVSSv3!$B$4&amp;":"&amp;IF(G99=CVSSv3!$C$4,CVSSv3!$C$30,IF(G99=CVSSv3!$D$4,CVSSv3!$D$30,IF(G99=CVSSv3!$E$4,CVSSv3!$E$30,IF(G99=CVSSv3!$F$4,CVSSv3!$F$30,""))))&amp;"/"&amp;CVSSv3!$B$5&amp;":"&amp;IF(G100=CVSSv3!$C$5,CVSSv3!$C$31,IF(G100=CVSSv3!$D$5,CVSSv3!$D$31,""))&amp;"/"&amp;CVSSv3!$B$6&amp;":"&amp;IF(G101=CVSSv3!$C$6,CVSSv3!$C$32,IF(G101=CVSSv3!$D$6,CVSSv3!$D$32,IF(G101=CVSSv3!$E$6,CVSSv3!$E$32,"")))&amp;"/"&amp;CVSSv3!$B$7&amp;":"&amp;IF(G102=CVSSv3!$C$7,CVSSv3!$C$33,IF(G102=CVSSv3!$D$7,CVSSv3!$D$33,""))&amp;"/"&amp;CVSSv3!$B$8&amp;":"&amp;IF(G103=CVSSv3!$C$8,CVSSv3!$C$34,IF(G103=CVSSv3!$D$8,CVSSv3!$D$34,""))&amp;"/"&amp;CVSSv3!$B$9&amp;":"&amp;IF(G104=CVSSv3!$C$9,CVSSv3!$C$35,IF(G104=CVSSv3!$D$9,CVSSv3!$D$35,IF(G104=CVSSv3!$E$9,CVSSv3!$E$35,"")))&amp;"/"&amp;CVSSv3!$B$10&amp;":"&amp;IF(G105=CVSSv3!$C$10,CVSSv3!$C$36,IF(G105=CVSSv3!$D$10,CVSSv3!$D$36,IF(G105=CVSSv3!$E$10,CVSSv3!$E$36,"")))&amp;"/"&amp;CVSSv3!$B$11&amp;":"&amp;IF(G106=CVSSv3!$C$11,CVSSv3!$C$37,IF(G106=CVSSv3!$D$11,CVSSv3!$D$37,IF(G106=CVSSv3!$E$11,CVSSv3!$E$37,"")))&amp;"/"&amp;CVSSv3!$B$12&amp;":"&amp;IF(G107=CVSSv3!$C$12,CVSSv3!$C$38,IF(G107=CVSSv3!$D$12,CVSSv3!$D$38,IF(G107=CVSSv3!$E$12,CVSSv3!$E$38,IF(G107=CVSSv3!$F$12,CVSSv3!$F$38,""))))&amp;"/"&amp;CVSSv3!$B$13&amp;":"&amp;IF(G108=CVSSv3!$C$13,CVSSv3!$C$39,IF(G108=CVSSv3!$D$13,CVSSv3!$D$39,IF(G108=CVSSv3!$E$13,CVSSv3!$E$39,IF(G108=CVSSv3!$F$13,CVSSv3!$F$39,""))))&amp;"/"&amp;CVSSv3!$B$14&amp;":"&amp;IF(G109=CVSSv3!$C$14,CVSSv3!$C$40,IF(G109=CVSSv3!$D$14,CVSSv3!$D$40,IF(G109=CVSSv3!$E$14,CVSSv3!$E$40,"")))&amp;")"</f>
        <v>(AV:/AC:/PR:/UI:/S:/C:/I:/A:/E:/RL:/RC:)</v>
      </c>
      <c r="G110" s="84"/>
      <c r="H110" s="86"/>
      <c r="I110" s="87"/>
      <c r="J110" s="87"/>
      <c r="K110" s="83"/>
      <c r="L110" s="83"/>
      <c r="M110" s="83"/>
    </row>
    <row r="111" spans="1:13" ht="15.75" customHeight="1" x14ac:dyDescent="0.25">
      <c r="A111" s="85">
        <v>10</v>
      </c>
      <c r="B111" s="83" t="s">
        <v>40</v>
      </c>
      <c r="C111" s="83" t="s">
        <v>14</v>
      </c>
      <c r="D111" s="83" t="s">
        <v>14</v>
      </c>
      <c r="E111" s="83" t="s">
        <v>14</v>
      </c>
      <c r="F111" s="5" t="str">
        <f>CVSSv3!$A$4</f>
        <v>Attack Vector</v>
      </c>
      <c r="G111" s="6" t="s">
        <v>15</v>
      </c>
      <c r="H111" s="86" t="e">
        <f>ROUNDUP((IF((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lt;=0,0,(IF(G115=CVSSv3!$C$8,ROUNDUP((MIN((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ROUNDUP((MIN(1.08*((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IF(G119=CVSSv3!$C$12,CVSSv3!$C$25,(IF(G119=CVSSv3!$D$12,CVSSv3!$D$25,(IF(G119=CVSSv3!$E$12,CVSSv3!$E$25,(IF(G119=CVSSv3!$F$12,CVSSv3!$F$25,""))))))))*(IF(G120=CVSSv3!$C$13,CVSSv3!$C$26,(IF(G120=CVSSv3!$D$13,CVSSv3!$D$26,(IF(G120=CVSSv3!$E$13,CVSSv3!$E$26,(IF(G120=CVSSv3!$F$13,CVSSv3!$F$26,""))))))))*(IF(G121=CVSSv3!$C$14,CVSSv3!$C$27,(IF(G121=CVSSv3!$D$14,CVSSv3!$D$27,(IF(G121=CVSSv3!$E$14,CVSSv3!$E$27,""))))))),1)</f>
        <v>#VALUE!</v>
      </c>
      <c r="I111" s="87">
        <v>0</v>
      </c>
      <c r="J111" s="87">
        <v>0</v>
      </c>
      <c r="K111" s="83" t="s">
        <v>14</v>
      </c>
      <c r="L111" s="83" t="s">
        <v>14</v>
      </c>
      <c r="M111" s="83" t="s">
        <v>16</v>
      </c>
    </row>
    <row r="112" spans="1:13" ht="15.75" x14ac:dyDescent="0.2">
      <c r="A112" s="85"/>
      <c r="B112" s="83"/>
      <c r="C112" s="83"/>
      <c r="D112" s="83"/>
      <c r="E112" s="83"/>
      <c r="F112" s="7" t="str">
        <f>CVSSv3!$A$5</f>
        <v>Attack Complexity</v>
      </c>
      <c r="G112" s="8" t="s">
        <v>32</v>
      </c>
      <c r="H112" s="86"/>
      <c r="I112" s="87"/>
      <c r="J112" s="87"/>
      <c r="K112" s="83"/>
      <c r="L112" s="83"/>
      <c r="M112" s="83"/>
    </row>
    <row r="113" spans="1:13" ht="15.75" x14ac:dyDescent="0.2">
      <c r="A113" s="85"/>
      <c r="B113" s="83"/>
      <c r="C113" s="83"/>
      <c r="D113" s="83"/>
      <c r="E113" s="83"/>
      <c r="F113" s="7" t="str">
        <f>CVSSv3!$A$6</f>
        <v>Privilege Required</v>
      </c>
      <c r="G113" s="8" t="s">
        <v>33</v>
      </c>
      <c r="H113" s="86"/>
      <c r="I113" s="87"/>
      <c r="J113" s="87"/>
      <c r="K113" s="83"/>
      <c r="L113" s="83"/>
      <c r="M113" s="83"/>
    </row>
    <row r="114" spans="1:13" ht="15.75" x14ac:dyDescent="0.2">
      <c r="A114" s="85"/>
      <c r="B114" s="83"/>
      <c r="C114" s="83"/>
      <c r="D114" s="83"/>
      <c r="E114" s="83"/>
      <c r="F114" s="7" t="str">
        <f>CVSSv3!$A$7</f>
        <v>User Interaction</v>
      </c>
      <c r="G114" s="8" t="s">
        <v>34</v>
      </c>
      <c r="H114" s="86"/>
      <c r="I114" s="87"/>
      <c r="J114" s="87"/>
      <c r="K114" s="83"/>
      <c r="L114" s="83"/>
      <c r="M114" s="83"/>
    </row>
    <row r="115" spans="1:13" ht="15.75" x14ac:dyDescent="0.2">
      <c r="A115" s="85"/>
      <c r="B115" s="83"/>
      <c r="C115" s="83"/>
      <c r="D115" s="83"/>
      <c r="E115" s="83"/>
      <c r="F115" s="7" t="str">
        <f>CVSSv3!$A$8</f>
        <v>Scope</v>
      </c>
      <c r="G115" s="8" t="s">
        <v>35</v>
      </c>
      <c r="H115" s="86"/>
      <c r="I115" s="87"/>
      <c r="J115" s="87"/>
      <c r="K115" s="83"/>
      <c r="L115" s="83"/>
      <c r="M115" s="83"/>
    </row>
    <row r="116" spans="1:13" ht="15.75" x14ac:dyDescent="0.2">
      <c r="A116" s="85"/>
      <c r="B116" s="83"/>
      <c r="C116" s="83"/>
      <c r="D116" s="83"/>
      <c r="E116" s="83"/>
      <c r="F116" s="7" t="str">
        <f>CVSSv3!$A$9</f>
        <v>Confidentiality Impact</v>
      </c>
      <c r="G116" s="8" t="s">
        <v>36</v>
      </c>
      <c r="H116" s="86"/>
      <c r="I116" s="87"/>
      <c r="J116" s="87"/>
      <c r="K116" s="83"/>
      <c r="L116" s="83"/>
      <c r="M116" s="83"/>
    </row>
    <row r="117" spans="1:13" ht="15.75" x14ac:dyDescent="0.2">
      <c r="A117" s="85"/>
      <c r="B117" s="83"/>
      <c r="C117" s="83"/>
      <c r="D117" s="83"/>
      <c r="E117" s="83"/>
      <c r="F117" s="7" t="str">
        <f>CVSSv3!$A$10</f>
        <v>Integrity Impact</v>
      </c>
      <c r="G117" s="8" t="s">
        <v>36</v>
      </c>
      <c r="H117" s="86"/>
      <c r="I117" s="87"/>
      <c r="J117" s="87"/>
      <c r="K117" s="83"/>
      <c r="L117" s="83"/>
      <c r="M117" s="83"/>
    </row>
    <row r="118" spans="1:13" ht="15.75" x14ac:dyDescent="0.2">
      <c r="A118" s="85"/>
      <c r="B118" s="83"/>
      <c r="C118" s="83"/>
      <c r="D118" s="83"/>
      <c r="E118" s="83"/>
      <c r="F118" s="7" t="str">
        <f>CVSSv3!$A$11</f>
        <v>Availability Impact</v>
      </c>
      <c r="G118" s="8" t="s">
        <v>36</v>
      </c>
      <c r="H118" s="86"/>
      <c r="I118" s="87"/>
      <c r="J118" s="87"/>
      <c r="K118" s="83"/>
      <c r="L118" s="83"/>
      <c r="M118" s="83"/>
    </row>
    <row r="119" spans="1:13" ht="15.75" x14ac:dyDescent="0.2">
      <c r="A119" s="85"/>
      <c r="B119" s="83"/>
      <c r="C119" s="83"/>
      <c r="D119" s="83"/>
      <c r="E119" s="83"/>
      <c r="F119" s="7" t="str">
        <f>CVSSv3!$A$12</f>
        <v>Exploit Code Maturity</v>
      </c>
      <c r="G119" s="8" t="s">
        <v>32</v>
      </c>
      <c r="H119" s="86"/>
      <c r="I119" s="87"/>
      <c r="J119" s="87"/>
      <c r="K119" s="83"/>
      <c r="L119" s="83"/>
      <c r="M119" s="83"/>
    </row>
    <row r="120" spans="1:13" ht="15.75" x14ac:dyDescent="0.2">
      <c r="A120" s="85"/>
      <c r="B120" s="83"/>
      <c r="C120" s="83"/>
      <c r="D120" s="83"/>
      <c r="E120" s="83"/>
      <c r="F120" s="7" t="str">
        <f>CVSSv3!$A$13</f>
        <v>Remediation Level</v>
      </c>
      <c r="G120" s="8" t="s">
        <v>37</v>
      </c>
      <c r="H120" s="86"/>
      <c r="I120" s="87"/>
      <c r="J120" s="87"/>
      <c r="K120" s="83"/>
      <c r="L120" s="83"/>
      <c r="M120" s="83"/>
    </row>
    <row r="121" spans="1:13" ht="15.75" x14ac:dyDescent="0.2">
      <c r="A121" s="85"/>
      <c r="B121" s="83"/>
      <c r="C121" s="83"/>
      <c r="D121" s="83"/>
      <c r="E121" s="83"/>
      <c r="F121" s="7" t="str">
        <f>CVSSv3!$A$14</f>
        <v>Report Confidence</v>
      </c>
      <c r="G121" s="8" t="s">
        <v>38</v>
      </c>
      <c r="H121" s="86"/>
      <c r="I121" s="87"/>
      <c r="J121" s="87"/>
      <c r="K121" s="83"/>
      <c r="L121" s="83"/>
      <c r="M121" s="83"/>
    </row>
    <row r="122" spans="1:13" ht="15.75" x14ac:dyDescent="0.2">
      <c r="A122" s="85"/>
      <c r="B122" s="83"/>
      <c r="C122" s="83"/>
      <c r="D122" s="83"/>
      <c r="E122" s="83"/>
      <c r="F122" s="84" t="str">
        <f>"("&amp;CVSSv3!$B$4&amp;":"&amp;IF(G111=CVSSv3!$C$4,CVSSv3!$C$30,IF(G111=CVSSv3!$D$4,CVSSv3!$D$30,IF(G111=CVSSv3!$E$4,CVSSv3!$E$30,IF(G111=CVSSv3!$F$4,CVSSv3!$F$30,""))))&amp;"/"&amp;CVSSv3!$B$5&amp;":"&amp;IF(G112=CVSSv3!$C$5,CVSSv3!$C$31,IF(G112=CVSSv3!$D$5,CVSSv3!$D$31,""))&amp;"/"&amp;CVSSv3!$B$6&amp;":"&amp;IF(G113=CVSSv3!$C$6,CVSSv3!$C$32,IF(G113=CVSSv3!$D$6,CVSSv3!$D$32,IF(G113=CVSSv3!$E$6,CVSSv3!$E$32,"")))&amp;"/"&amp;CVSSv3!$B$7&amp;":"&amp;IF(G114=CVSSv3!$C$7,CVSSv3!$C$33,IF(G114=CVSSv3!$D$7,CVSSv3!$D$33,""))&amp;"/"&amp;CVSSv3!$B$8&amp;":"&amp;IF(G115=CVSSv3!$C$8,CVSSv3!$C$34,IF(G115=CVSSv3!$D$8,CVSSv3!$D$34,""))&amp;"/"&amp;CVSSv3!$B$9&amp;":"&amp;IF(G116=CVSSv3!$C$9,CVSSv3!$C$35,IF(G116=CVSSv3!$D$9,CVSSv3!$D$35,IF(G116=CVSSv3!$E$9,CVSSv3!$E$35,"")))&amp;"/"&amp;CVSSv3!$B$10&amp;":"&amp;IF(G117=CVSSv3!$C$10,CVSSv3!$C$36,IF(G117=CVSSv3!$D$10,CVSSv3!$D$36,IF(G117=CVSSv3!$E$10,CVSSv3!$E$36,"")))&amp;"/"&amp;CVSSv3!$B$11&amp;":"&amp;IF(G118=CVSSv3!$C$11,CVSSv3!$C$37,IF(G118=CVSSv3!$D$11,CVSSv3!$D$37,IF(G118=CVSSv3!$E$11,CVSSv3!$E$37,"")))&amp;"/"&amp;CVSSv3!$B$12&amp;":"&amp;IF(G119=CVSSv3!$C$12,CVSSv3!$C$38,IF(G119=CVSSv3!$D$12,CVSSv3!$D$38,IF(G119=CVSSv3!$E$12,CVSSv3!$E$38,IF(G119=CVSSv3!$F$12,CVSSv3!$F$38,""))))&amp;"/"&amp;CVSSv3!$B$13&amp;":"&amp;IF(G120=CVSSv3!$C$13,CVSSv3!$C$39,IF(G120=CVSSv3!$D$13,CVSSv3!$D$39,IF(G120=CVSSv3!$E$13,CVSSv3!$E$39,IF(G120=CVSSv3!$F$13,CVSSv3!$F$39,""))))&amp;"/"&amp;CVSSv3!$B$14&amp;":"&amp;IF(G121=CVSSv3!$C$14,CVSSv3!$C$40,IF(G121=CVSSv3!$D$14,CVSSv3!$D$40,IF(G121=CVSSv3!$E$14,CVSSv3!$E$40,"")))&amp;")"</f>
        <v>(AV:/AC:/PR:/UI:/S:/C:/I:/A:/E:/RL:/RC:)</v>
      </c>
      <c r="G122" s="84"/>
      <c r="H122" s="86"/>
      <c r="I122" s="87"/>
      <c r="J122" s="87"/>
      <c r="K122" s="83"/>
      <c r="L122" s="83"/>
      <c r="M122" s="83"/>
    </row>
    <row r="123" spans="1:13" ht="15.75" customHeight="1" x14ac:dyDescent="0.25">
      <c r="A123" s="85">
        <v>11</v>
      </c>
      <c r="B123" s="83" t="s">
        <v>41</v>
      </c>
      <c r="C123" s="83" t="s">
        <v>14</v>
      </c>
      <c r="D123" s="83" t="s">
        <v>14</v>
      </c>
      <c r="E123" s="83" t="s">
        <v>14</v>
      </c>
      <c r="F123" s="5" t="str">
        <f>CVSSv3!$A$4</f>
        <v>Attack Vector</v>
      </c>
      <c r="G123" s="6" t="s">
        <v>15</v>
      </c>
      <c r="H123" s="86" t="e">
        <f>ROUNDUP((IF((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lt;=0,0,(IF(G127=CVSSv3!$C$8,ROUNDUP((MIN((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ROUNDUP((MIN(1.08*((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IF(G131=CVSSv3!$C$12,CVSSv3!$C$25,(IF(G131=CVSSv3!$D$12,CVSSv3!$D$25,(IF(G131=CVSSv3!$E$12,CVSSv3!$E$25,(IF(G131=CVSSv3!$F$12,CVSSv3!$F$25,""))))))))*(IF(G132=CVSSv3!$C$13,CVSSv3!$C$26,(IF(G132=CVSSv3!$D$13,CVSSv3!$D$26,(IF(G132=CVSSv3!$E$13,CVSSv3!$E$26,(IF(G132=CVSSv3!$F$13,CVSSv3!$F$26,""))))))))*(IF(G133=CVSSv3!$C$14,CVSSv3!$C$27,(IF(G133=CVSSv3!$D$14,CVSSv3!$D$27,(IF(G133=CVSSv3!$E$14,CVSSv3!$E$27,""))))))),1)</f>
        <v>#VALUE!</v>
      </c>
      <c r="I123" s="87">
        <v>0</v>
      </c>
      <c r="J123" s="87">
        <v>0</v>
      </c>
      <c r="K123" s="83" t="s">
        <v>14</v>
      </c>
      <c r="L123" s="83" t="s">
        <v>14</v>
      </c>
      <c r="M123" s="83" t="s">
        <v>16</v>
      </c>
    </row>
    <row r="124" spans="1:13" ht="15.75" x14ac:dyDescent="0.2">
      <c r="A124" s="85"/>
      <c r="B124" s="83"/>
      <c r="C124" s="83"/>
      <c r="D124" s="83"/>
      <c r="E124" s="83"/>
      <c r="F124" s="7" t="str">
        <f>CVSSv3!$A$5</f>
        <v>Attack Complexity</v>
      </c>
      <c r="G124" s="8" t="s">
        <v>32</v>
      </c>
      <c r="H124" s="86"/>
      <c r="I124" s="87"/>
      <c r="J124" s="87"/>
      <c r="K124" s="83"/>
      <c r="L124" s="83"/>
      <c r="M124" s="83"/>
    </row>
    <row r="125" spans="1:13" ht="15.75" x14ac:dyDescent="0.2">
      <c r="A125" s="85"/>
      <c r="B125" s="83"/>
      <c r="C125" s="83"/>
      <c r="D125" s="83"/>
      <c r="E125" s="83"/>
      <c r="F125" s="7" t="str">
        <f>CVSSv3!$A$6</f>
        <v>Privilege Required</v>
      </c>
      <c r="G125" s="8" t="s">
        <v>33</v>
      </c>
      <c r="H125" s="86"/>
      <c r="I125" s="87"/>
      <c r="J125" s="87"/>
      <c r="K125" s="83"/>
      <c r="L125" s="83"/>
      <c r="M125" s="83"/>
    </row>
    <row r="126" spans="1:13" ht="15.75" x14ac:dyDescent="0.2">
      <c r="A126" s="85"/>
      <c r="B126" s="83"/>
      <c r="C126" s="83"/>
      <c r="D126" s="83"/>
      <c r="E126" s="83"/>
      <c r="F126" s="7" t="str">
        <f>CVSSv3!$A$7</f>
        <v>User Interaction</v>
      </c>
      <c r="G126" s="8" t="s">
        <v>34</v>
      </c>
      <c r="H126" s="86"/>
      <c r="I126" s="87"/>
      <c r="J126" s="87"/>
      <c r="K126" s="83"/>
      <c r="L126" s="83"/>
      <c r="M126" s="83"/>
    </row>
    <row r="127" spans="1:13" ht="15.75" x14ac:dyDescent="0.2">
      <c r="A127" s="85"/>
      <c r="B127" s="83"/>
      <c r="C127" s="83"/>
      <c r="D127" s="83"/>
      <c r="E127" s="83"/>
      <c r="F127" s="7" t="str">
        <f>CVSSv3!$A$8</f>
        <v>Scope</v>
      </c>
      <c r="G127" s="8" t="s">
        <v>35</v>
      </c>
      <c r="H127" s="86"/>
      <c r="I127" s="87"/>
      <c r="J127" s="87"/>
      <c r="K127" s="83"/>
      <c r="L127" s="83"/>
      <c r="M127" s="83"/>
    </row>
    <row r="128" spans="1:13" ht="15.75" x14ac:dyDescent="0.2">
      <c r="A128" s="85"/>
      <c r="B128" s="83"/>
      <c r="C128" s="83"/>
      <c r="D128" s="83"/>
      <c r="E128" s="83"/>
      <c r="F128" s="7" t="str">
        <f>CVSSv3!$A$9</f>
        <v>Confidentiality Impact</v>
      </c>
      <c r="G128" s="8" t="s">
        <v>36</v>
      </c>
      <c r="H128" s="86"/>
      <c r="I128" s="87"/>
      <c r="J128" s="87"/>
      <c r="K128" s="83"/>
      <c r="L128" s="83"/>
      <c r="M128" s="83"/>
    </row>
    <row r="129" spans="1:13" ht="15.75" x14ac:dyDescent="0.2">
      <c r="A129" s="85"/>
      <c r="B129" s="83"/>
      <c r="C129" s="83"/>
      <c r="D129" s="83"/>
      <c r="E129" s="83"/>
      <c r="F129" s="7" t="str">
        <f>CVSSv3!$A$10</f>
        <v>Integrity Impact</v>
      </c>
      <c r="G129" s="8" t="s">
        <v>36</v>
      </c>
      <c r="H129" s="86"/>
      <c r="I129" s="87"/>
      <c r="J129" s="87"/>
      <c r="K129" s="83"/>
      <c r="L129" s="83"/>
      <c r="M129" s="83"/>
    </row>
    <row r="130" spans="1:13" ht="15.75" x14ac:dyDescent="0.2">
      <c r="A130" s="85"/>
      <c r="B130" s="83"/>
      <c r="C130" s="83"/>
      <c r="D130" s="83"/>
      <c r="E130" s="83"/>
      <c r="F130" s="7" t="str">
        <f>CVSSv3!$A$11</f>
        <v>Availability Impact</v>
      </c>
      <c r="G130" s="8" t="s">
        <v>36</v>
      </c>
      <c r="H130" s="86"/>
      <c r="I130" s="87"/>
      <c r="J130" s="87"/>
      <c r="K130" s="83"/>
      <c r="L130" s="83"/>
      <c r="M130" s="83"/>
    </row>
    <row r="131" spans="1:13" ht="15.75" x14ac:dyDescent="0.2">
      <c r="A131" s="85"/>
      <c r="B131" s="83"/>
      <c r="C131" s="83"/>
      <c r="D131" s="83"/>
      <c r="E131" s="83"/>
      <c r="F131" s="7" t="str">
        <f>CVSSv3!$A$12</f>
        <v>Exploit Code Maturity</v>
      </c>
      <c r="G131" s="8" t="s">
        <v>32</v>
      </c>
      <c r="H131" s="86"/>
      <c r="I131" s="87"/>
      <c r="J131" s="87"/>
      <c r="K131" s="83"/>
      <c r="L131" s="83"/>
      <c r="M131" s="83"/>
    </row>
    <row r="132" spans="1:13" ht="15.75" x14ac:dyDescent="0.2">
      <c r="A132" s="85"/>
      <c r="B132" s="83"/>
      <c r="C132" s="83"/>
      <c r="D132" s="83"/>
      <c r="E132" s="83"/>
      <c r="F132" s="7" t="str">
        <f>CVSSv3!$A$13</f>
        <v>Remediation Level</v>
      </c>
      <c r="G132" s="8" t="s">
        <v>37</v>
      </c>
      <c r="H132" s="86"/>
      <c r="I132" s="87"/>
      <c r="J132" s="87"/>
      <c r="K132" s="83"/>
      <c r="L132" s="83"/>
      <c r="M132" s="83"/>
    </row>
    <row r="133" spans="1:13" ht="15.75" x14ac:dyDescent="0.2">
      <c r="A133" s="85"/>
      <c r="B133" s="83"/>
      <c r="C133" s="83"/>
      <c r="D133" s="83"/>
      <c r="E133" s="83"/>
      <c r="F133" s="7" t="str">
        <f>CVSSv3!$A$14</f>
        <v>Report Confidence</v>
      </c>
      <c r="G133" s="8" t="s">
        <v>38</v>
      </c>
      <c r="H133" s="86"/>
      <c r="I133" s="87"/>
      <c r="J133" s="87"/>
      <c r="K133" s="83"/>
      <c r="L133" s="83"/>
      <c r="M133" s="83"/>
    </row>
    <row r="134" spans="1:13" ht="15.75" x14ac:dyDescent="0.2">
      <c r="A134" s="85"/>
      <c r="B134" s="83"/>
      <c r="C134" s="83"/>
      <c r="D134" s="83"/>
      <c r="E134" s="83"/>
      <c r="F134" s="84" t="str">
        <f>"("&amp;CVSSv3!$B$4&amp;":"&amp;IF(G123=CVSSv3!$C$4,CVSSv3!$C$30,IF(G123=CVSSv3!$D$4,CVSSv3!$D$30,IF(G123=CVSSv3!$E$4,CVSSv3!$E$30,IF(G123=CVSSv3!$F$4,CVSSv3!$F$30,""))))&amp;"/"&amp;CVSSv3!$B$5&amp;":"&amp;IF(G124=CVSSv3!$C$5,CVSSv3!$C$31,IF(G124=CVSSv3!$D$5,CVSSv3!$D$31,""))&amp;"/"&amp;CVSSv3!$B$6&amp;":"&amp;IF(G125=CVSSv3!$C$6,CVSSv3!$C$32,IF(G125=CVSSv3!$D$6,CVSSv3!$D$32,IF(G125=CVSSv3!$E$6,CVSSv3!$E$32,"")))&amp;"/"&amp;CVSSv3!$B$7&amp;":"&amp;IF(G126=CVSSv3!$C$7,CVSSv3!$C$33,IF(G126=CVSSv3!$D$7,CVSSv3!$D$33,""))&amp;"/"&amp;CVSSv3!$B$8&amp;":"&amp;IF(G127=CVSSv3!$C$8,CVSSv3!$C$34,IF(G127=CVSSv3!$D$8,CVSSv3!$D$34,""))&amp;"/"&amp;CVSSv3!$B$9&amp;":"&amp;IF(G128=CVSSv3!$C$9,CVSSv3!$C$35,IF(G128=CVSSv3!$D$9,CVSSv3!$D$35,IF(G128=CVSSv3!$E$9,CVSSv3!$E$35,"")))&amp;"/"&amp;CVSSv3!$B$10&amp;":"&amp;IF(G129=CVSSv3!$C$10,CVSSv3!$C$36,IF(G129=CVSSv3!$D$10,CVSSv3!$D$36,IF(G129=CVSSv3!$E$10,CVSSv3!$E$36,"")))&amp;"/"&amp;CVSSv3!$B$11&amp;":"&amp;IF(G130=CVSSv3!$C$11,CVSSv3!$C$37,IF(G130=CVSSv3!$D$11,CVSSv3!$D$37,IF(G130=CVSSv3!$E$11,CVSSv3!$E$37,"")))&amp;"/"&amp;CVSSv3!$B$12&amp;":"&amp;IF(G131=CVSSv3!$C$12,CVSSv3!$C$38,IF(G131=CVSSv3!$D$12,CVSSv3!$D$38,IF(G131=CVSSv3!$E$12,CVSSv3!$E$38,IF(G131=CVSSv3!$F$12,CVSSv3!$F$38,""))))&amp;"/"&amp;CVSSv3!$B$13&amp;":"&amp;IF(G132=CVSSv3!$C$13,CVSSv3!$C$39,IF(G132=CVSSv3!$D$13,CVSSv3!$D$39,IF(G132=CVSSv3!$E$13,CVSSv3!$E$39,IF(G132=CVSSv3!$F$13,CVSSv3!$F$39,""))))&amp;"/"&amp;CVSSv3!$B$14&amp;":"&amp;IF(G133=CVSSv3!$C$14,CVSSv3!$C$40,IF(G133=CVSSv3!$D$14,CVSSv3!$D$40,IF(G133=CVSSv3!$E$14,CVSSv3!$E$40,"")))&amp;")"</f>
        <v>(AV:/AC:/PR:/UI:/S:/C:/I:/A:/E:/RL:/RC:)</v>
      </c>
      <c r="G134" s="84"/>
      <c r="H134" s="86"/>
      <c r="I134" s="87"/>
      <c r="J134" s="87"/>
      <c r="K134" s="83"/>
      <c r="L134" s="83"/>
      <c r="M134" s="83"/>
    </row>
    <row r="135" spans="1:13" ht="15.75" customHeight="1" x14ac:dyDescent="0.25">
      <c r="A135" s="85">
        <v>12</v>
      </c>
      <c r="B135" s="83" t="s">
        <v>42</v>
      </c>
      <c r="C135" s="83" t="s">
        <v>14</v>
      </c>
      <c r="D135" s="83" t="s">
        <v>14</v>
      </c>
      <c r="E135" s="83" t="s">
        <v>14</v>
      </c>
      <c r="F135" s="5" t="str">
        <f>CVSSv3!$A$4</f>
        <v>Attack Vector</v>
      </c>
      <c r="G135" s="6" t="s">
        <v>15</v>
      </c>
      <c r="H135" s="86" t="e">
        <f>ROUNDUP((IF((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lt;=0,0,(IF(G139=CVSSv3!$C$8,ROUNDUP((MIN((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ROUNDUP((MIN(1.08*((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IF(G143=CVSSv3!$C$12,CVSSv3!$C$25,(IF(G143=CVSSv3!$D$12,CVSSv3!$D$25,(IF(G143=CVSSv3!$E$12,CVSSv3!$E$25,(IF(G143=CVSSv3!$F$12,CVSSv3!$F$25,""))))))))*(IF(G144=CVSSv3!$C$13,CVSSv3!$C$26,(IF(G144=CVSSv3!$D$13,CVSSv3!$D$26,(IF(G144=CVSSv3!$E$13,CVSSv3!$E$26,(IF(G144=CVSSv3!$F$13,CVSSv3!$F$26,""))))))))*(IF(G145=CVSSv3!$C$14,CVSSv3!$C$27,(IF(G145=CVSSv3!$D$14,CVSSv3!$D$27,(IF(G145=CVSSv3!$E$14,CVSSv3!$E$27,""))))))),1)</f>
        <v>#VALUE!</v>
      </c>
      <c r="I135" s="87">
        <v>0</v>
      </c>
      <c r="J135" s="87">
        <v>0</v>
      </c>
      <c r="K135" s="83" t="s">
        <v>14</v>
      </c>
      <c r="L135" s="83" t="s">
        <v>14</v>
      </c>
      <c r="M135" s="83" t="s">
        <v>16</v>
      </c>
    </row>
    <row r="136" spans="1:13" ht="15.75" x14ac:dyDescent="0.2">
      <c r="A136" s="85"/>
      <c r="B136" s="83"/>
      <c r="C136" s="83"/>
      <c r="D136" s="83"/>
      <c r="E136" s="83"/>
      <c r="F136" s="7" t="str">
        <f>CVSSv3!$A$5</f>
        <v>Attack Complexity</v>
      </c>
      <c r="G136" s="8" t="s">
        <v>32</v>
      </c>
      <c r="H136" s="86"/>
      <c r="I136" s="87"/>
      <c r="J136" s="87"/>
      <c r="K136" s="83"/>
      <c r="L136" s="83"/>
      <c r="M136" s="83"/>
    </row>
    <row r="137" spans="1:13" ht="15.75" x14ac:dyDescent="0.2">
      <c r="A137" s="85"/>
      <c r="B137" s="83"/>
      <c r="C137" s="83"/>
      <c r="D137" s="83"/>
      <c r="E137" s="83"/>
      <c r="F137" s="7" t="str">
        <f>CVSSv3!$A$6</f>
        <v>Privilege Required</v>
      </c>
      <c r="G137" s="8" t="s">
        <v>33</v>
      </c>
      <c r="H137" s="86"/>
      <c r="I137" s="87"/>
      <c r="J137" s="87"/>
      <c r="K137" s="83"/>
      <c r="L137" s="83"/>
      <c r="M137" s="83"/>
    </row>
    <row r="138" spans="1:13" ht="15.75" x14ac:dyDescent="0.2">
      <c r="A138" s="85"/>
      <c r="B138" s="83"/>
      <c r="C138" s="83"/>
      <c r="D138" s="83"/>
      <c r="E138" s="83"/>
      <c r="F138" s="7" t="str">
        <f>CVSSv3!$A$7</f>
        <v>User Interaction</v>
      </c>
      <c r="G138" s="8" t="s">
        <v>34</v>
      </c>
      <c r="H138" s="86"/>
      <c r="I138" s="87"/>
      <c r="J138" s="87"/>
      <c r="K138" s="83"/>
      <c r="L138" s="83"/>
      <c r="M138" s="83"/>
    </row>
    <row r="139" spans="1:13" ht="15.75" x14ac:dyDescent="0.2">
      <c r="A139" s="85"/>
      <c r="B139" s="83"/>
      <c r="C139" s="83"/>
      <c r="D139" s="83"/>
      <c r="E139" s="83"/>
      <c r="F139" s="7" t="str">
        <f>CVSSv3!$A$8</f>
        <v>Scope</v>
      </c>
      <c r="G139" s="8" t="s">
        <v>35</v>
      </c>
      <c r="H139" s="86"/>
      <c r="I139" s="87"/>
      <c r="J139" s="87"/>
      <c r="K139" s="83"/>
      <c r="L139" s="83"/>
      <c r="M139" s="83"/>
    </row>
    <row r="140" spans="1:13" ht="15.75" x14ac:dyDescent="0.2">
      <c r="A140" s="85"/>
      <c r="B140" s="83"/>
      <c r="C140" s="83"/>
      <c r="D140" s="83"/>
      <c r="E140" s="83"/>
      <c r="F140" s="7" t="str">
        <f>CVSSv3!$A$9</f>
        <v>Confidentiality Impact</v>
      </c>
      <c r="G140" s="8" t="s">
        <v>36</v>
      </c>
      <c r="H140" s="86"/>
      <c r="I140" s="87"/>
      <c r="J140" s="87"/>
      <c r="K140" s="83"/>
      <c r="L140" s="83"/>
      <c r="M140" s="83"/>
    </row>
    <row r="141" spans="1:13" ht="15.75" x14ac:dyDescent="0.2">
      <c r="A141" s="85"/>
      <c r="B141" s="83"/>
      <c r="C141" s="83"/>
      <c r="D141" s="83"/>
      <c r="E141" s="83"/>
      <c r="F141" s="7" t="str">
        <f>CVSSv3!$A$10</f>
        <v>Integrity Impact</v>
      </c>
      <c r="G141" s="8" t="s">
        <v>36</v>
      </c>
      <c r="H141" s="86"/>
      <c r="I141" s="87"/>
      <c r="J141" s="87"/>
      <c r="K141" s="83"/>
      <c r="L141" s="83"/>
      <c r="M141" s="83"/>
    </row>
    <row r="142" spans="1:13" ht="15.75" x14ac:dyDescent="0.2">
      <c r="A142" s="85"/>
      <c r="B142" s="83"/>
      <c r="C142" s="83"/>
      <c r="D142" s="83"/>
      <c r="E142" s="83"/>
      <c r="F142" s="7" t="str">
        <f>CVSSv3!$A$11</f>
        <v>Availability Impact</v>
      </c>
      <c r="G142" s="8" t="s">
        <v>36</v>
      </c>
      <c r="H142" s="86"/>
      <c r="I142" s="87"/>
      <c r="J142" s="87"/>
      <c r="K142" s="83"/>
      <c r="L142" s="83"/>
      <c r="M142" s="83"/>
    </row>
    <row r="143" spans="1:13" ht="15.75" x14ac:dyDescent="0.2">
      <c r="A143" s="85"/>
      <c r="B143" s="83"/>
      <c r="C143" s="83"/>
      <c r="D143" s="83"/>
      <c r="E143" s="83"/>
      <c r="F143" s="7" t="str">
        <f>CVSSv3!$A$12</f>
        <v>Exploit Code Maturity</v>
      </c>
      <c r="G143" s="8" t="s">
        <v>32</v>
      </c>
      <c r="H143" s="86"/>
      <c r="I143" s="87"/>
      <c r="J143" s="87"/>
      <c r="K143" s="83"/>
      <c r="L143" s="83"/>
      <c r="M143" s="83"/>
    </row>
    <row r="144" spans="1:13" ht="15.75" x14ac:dyDescent="0.2">
      <c r="A144" s="85"/>
      <c r="B144" s="83"/>
      <c r="C144" s="83"/>
      <c r="D144" s="83"/>
      <c r="E144" s="83"/>
      <c r="F144" s="7" t="str">
        <f>CVSSv3!$A$13</f>
        <v>Remediation Level</v>
      </c>
      <c r="G144" s="8" t="s">
        <v>37</v>
      </c>
      <c r="H144" s="86"/>
      <c r="I144" s="87"/>
      <c r="J144" s="87"/>
      <c r="K144" s="83"/>
      <c r="L144" s="83"/>
      <c r="M144" s="83"/>
    </row>
    <row r="145" spans="1:13" ht="15.75" x14ac:dyDescent="0.2">
      <c r="A145" s="85"/>
      <c r="B145" s="83"/>
      <c r="C145" s="83"/>
      <c r="D145" s="83"/>
      <c r="E145" s="83"/>
      <c r="F145" s="7" t="str">
        <f>CVSSv3!$A$14</f>
        <v>Report Confidence</v>
      </c>
      <c r="G145" s="8" t="s">
        <v>38</v>
      </c>
      <c r="H145" s="86"/>
      <c r="I145" s="87"/>
      <c r="J145" s="87"/>
      <c r="K145" s="83"/>
      <c r="L145" s="83"/>
      <c r="M145" s="83"/>
    </row>
    <row r="146" spans="1:13" ht="15.75" x14ac:dyDescent="0.2">
      <c r="A146" s="85"/>
      <c r="B146" s="83"/>
      <c r="C146" s="83"/>
      <c r="D146" s="83"/>
      <c r="E146" s="83"/>
      <c r="F146" s="84" t="str">
        <f>"("&amp;CVSSv3!$B$4&amp;":"&amp;IF(G135=CVSSv3!$C$4,CVSSv3!$C$30,IF(G135=CVSSv3!$D$4,CVSSv3!$D$30,IF(G135=CVSSv3!$E$4,CVSSv3!$E$30,IF(G135=CVSSv3!$F$4,CVSSv3!$F$30,""))))&amp;"/"&amp;CVSSv3!$B$5&amp;":"&amp;IF(G136=CVSSv3!$C$5,CVSSv3!$C$31,IF(G136=CVSSv3!$D$5,CVSSv3!$D$31,""))&amp;"/"&amp;CVSSv3!$B$6&amp;":"&amp;IF(G137=CVSSv3!$C$6,CVSSv3!$C$32,IF(G137=CVSSv3!$D$6,CVSSv3!$D$32,IF(G137=CVSSv3!$E$6,CVSSv3!$E$32,"")))&amp;"/"&amp;CVSSv3!$B$7&amp;":"&amp;IF(G138=CVSSv3!$C$7,CVSSv3!$C$33,IF(G138=CVSSv3!$D$7,CVSSv3!$D$33,""))&amp;"/"&amp;CVSSv3!$B$8&amp;":"&amp;IF(G139=CVSSv3!$C$8,CVSSv3!$C$34,IF(G139=CVSSv3!$D$8,CVSSv3!$D$34,""))&amp;"/"&amp;CVSSv3!$B$9&amp;":"&amp;IF(G140=CVSSv3!$C$9,CVSSv3!$C$35,IF(G140=CVSSv3!$D$9,CVSSv3!$D$35,IF(G140=CVSSv3!$E$9,CVSSv3!$E$35,"")))&amp;"/"&amp;CVSSv3!$B$10&amp;":"&amp;IF(G141=CVSSv3!$C$10,CVSSv3!$C$36,IF(G141=CVSSv3!$D$10,CVSSv3!$D$36,IF(G141=CVSSv3!$E$10,CVSSv3!$E$36,"")))&amp;"/"&amp;CVSSv3!$B$11&amp;":"&amp;IF(G142=CVSSv3!$C$11,CVSSv3!$C$37,IF(G142=CVSSv3!$D$11,CVSSv3!$D$37,IF(G142=CVSSv3!$E$11,CVSSv3!$E$37,"")))&amp;"/"&amp;CVSSv3!$B$12&amp;":"&amp;IF(G143=CVSSv3!$C$12,CVSSv3!$C$38,IF(G143=CVSSv3!$D$12,CVSSv3!$D$38,IF(G143=CVSSv3!$E$12,CVSSv3!$E$38,IF(G143=CVSSv3!$F$12,CVSSv3!$F$38,""))))&amp;"/"&amp;CVSSv3!$B$13&amp;":"&amp;IF(G144=CVSSv3!$C$13,CVSSv3!$C$39,IF(G144=CVSSv3!$D$13,CVSSv3!$D$39,IF(G144=CVSSv3!$E$13,CVSSv3!$E$39,IF(G144=CVSSv3!$F$13,CVSSv3!$F$39,""))))&amp;"/"&amp;CVSSv3!$B$14&amp;":"&amp;IF(G145=CVSSv3!$C$14,CVSSv3!$C$40,IF(G145=CVSSv3!$D$14,CVSSv3!$D$40,IF(G145=CVSSv3!$E$14,CVSSv3!$E$40,"")))&amp;")"</f>
        <v>(AV:/AC:/PR:/UI:/S:/C:/I:/A:/E:/RL:/RC:)</v>
      </c>
      <c r="G146" s="84"/>
      <c r="H146" s="86"/>
      <c r="I146" s="87"/>
      <c r="J146" s="87"/>
      <c r="K146" s="83"/>
      <c r="L146" s="83"/>
      <c r="M146" s="83"/>
    </row>
    <row r="147" spans="1:13" ht="15.75" customHeight="1" x14ac:dyDescent="0.25">
      <c r="A147" s="85">
        <v>13</v>
      </c>
      <c r="B147" s="83" t="s">
        <v>43</v>
      </c>
      <c r="C147" s="83" t="s">
        <v>14</v>
      </c>
      <c r="D147" s="83" t="s">
        <v>14</v>
      </c>
      <c r="E147" s="83" t="s">
        <v>14</v>
      </c>
      <c r="F147" s="5" t="str">
        <f>CVSSv3!$A$4</f>
        <v>Attack Vector</v>
      </c>
      <c r="G147" s="6" t="s">
        <v>15</v>
      </c>
      <c r="H147" s="86" t="e">
        <f>ROUNDUP((IF((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lt;=0,0,(IF(G151=CVSSv3!$C$8,ROUNDUP((MIN((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ROUNDUP((MIN(1.08*((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IF(G155=CVSSv3!$C$12,CVSSv3!$C$25,(IF(G155=CVSSv3!$D$12,CVSSv3!$D$25,(IF(G155=CVSSv3!$E$12,CVSSv3!$E$25,(IF(G155=CVSSv3!$F$12,CVSSv3!$F$25,""))))))))*(IF(G156=CVSSv3!$C$13,CVSSv3!$C$26,(IF(G156=CVSSv3!$D$13,CVSSv3!$D$26,(IF(G156=CVSSv3!$E$13,CVSSv3!$E$26,(IF(G156=CVSSv3!$F$13,CVSSv3!$F$26,""))))))))*(IF(G157=CVSSv3!$C$14,CVSSv3!$C$27,(IF(G157=CVSSv3!$D$14,CVSSv3!$D$27,(IF(G157=CVSSv3!$E$14,CVSSv3!$E$27,""))))))),1)</f>
        <v>#VALUE!</v>
      </c>
      <c r="I147" s="87">
        <v>0</v>
      </c>
      <c r="J147" s="87">
        <v>0</v>
      </c>
      <c r="K147" s="83" t="s">
        <v>14</v>
      </c>
      <c r="L147" s="83" t="s">
        <v>14</v>
      </c>
      <c r="M147" s="83" t="s">
        <v>16</v>
      </c>
    </row>
    <row r="148" spans="1:13" ht="15.75" x14ac:dyDescent="0.2">
      <c r="A148" s="85"/>
      <c r="B148" s="83"/>
      <c r="C148" s="83"/>
      <c r="D148" s="83"/>
      <c r="E148" s="83"/>
      <c r="F148" s="7" t="str">
        <f>CVSSv3!$A$5</f>
        <v>Attack Complexity</v>
      </c>
      <c r="G148" s="8" t="s">
        <v>32</v>
      </c>
      <c r="H148" s="86"/>
      <c r="I148" s="87"/>
      <c r="J148" s="87"/>
      <c r="K148" s="83"/>
      <c r="L148" s="83"/>
      <c r="M148" s="83"/>
    </row>
    <row r="149" spans="1:13" ht="15.75" x14ac:dyDescent="0.2">
      <c r="A149" s="85"/>
      <c r="B149" s="83"/>
      <c r="C149" s="83"/>
      <c r="D149" s="83"/>
      <c r="E149" s="83"/>
      <c r="F149" s="7" t="str">
        <f>CVSSv3!$A$6</f>
        <v>Privilege Required</v>
      </c>
      <c r="G149" s="8" t="s">
        <v>33</v>
      </c>
      <c r="H149" s="86"/>
      <c r="I149" s="87"/>
      <c r="J149" s="87"/>
      <c r="K149" s="83"/>
      <c r="L149" s="83"/>
      <c r="M149" s="83"/>
    </row>
    <row r="150" spans="1:13" ht="15.75" x14ac:dyDescent="0.2">
      <c r="A150" s="85"/>
      <c r="B150" s="83"/>
      <c r="C150" s="83"/>
      <c r="D150" s="83"/>
      <c r="E150" s="83"/>
      <c r="F150" s="7" t="str">
        <f>CVSSv3!$A$7</f>
        <v>User Interaction</v>
      </c>
      <c r="G150" s="8" t="s">
        <v>34</v>
      </c>
      <c r="H150" s="86"/>
      <c r="I150" s="87"/>
      <c r="J150" s="87"/>
      <c r="K150" s="83"/>
      <c r="L150" s="83"/>
      <c r="M150" s="83"/>
    </row>
    <row r="151" spans="1:13" ht="15.75" x14ac:dyDescent="0.2">
      <c r="A151" s="85"/>
      <c r="B151" s="83"/>
      <c r="C151" s="83"/>
      <c r="D151" s="83"/>
      <c r="E151" s="83"/>
      <c r="F151" s="7" t="str">
        <f>CVSSv3!$A$8</f>
        <v>Scope</v>
      </c>
      <c r="G151" s="8" t="s">
        <v>35</v>
      </c>
      <c r="H151" s="86"/>
      <c r="I151" s="87"/>
      <c r="J151" s="87"/>
      <c r="K151" s="83"/>
      <c r="L151" s="83"/>
      <c r="M151" s="83"/>
    </row>
    <row r="152" spans="1:13" ht="15.75" x14ac:dyDescent="0.2">
      <c r="A152" s="85"/>
      <c r="B152" s="83"/>
      <c r="C152" s="83"/>
      <c r="D152" s="83"/>
      <c r="E152" s="83"/>
      <c r="F152" s="7" t="str">
        <f>CVSSv3!$A$9</f>
        <v>Confidentiality Impact</v>
      </c>
      <c r="G152" s="8" t="s">
        <v>36</v>
      </c>
      <c r="H152" s="86"/>
      <c r="I152" s="87"/>
      <c r="J152" s="87"/>
      <c r="K152" s="83"/>
      <c r="L152" s="83"/>
      <c r="M152" s="83"/>
    </row>
    <row r="153" spans="1:13" ht="15.75" x14ac:dyDescent="0.2">
      <c r="A153" s="85"/>
      <c r="B153" s="83"/>
      <c r="C153" s="83"/>
      <c r="D153" s="83"/>
      <c r="E153" s="83"/>
      <c r="F153" s="7" t="str">
        <f>CVSSv3!$A$10</f>
        <v>Integrity Impact</v>
      </c>
      <c r="G153" s="8" t="s">
        <v>36</v>
      </c>
      <c r="H153" s="86"/>
      <c r="I153" s="87"/>
      <c r="J153" s="87"/>
      <c r="K153" s="83"/>
      <c r="L153" s="83"/>
      <c r="M153" s="83"/>
    </row>
    <row r="154" spans="1:13" ht="15.75" x14ac:dyDescent="0.2">
      <c r="A154" s="85"/>
      <c r="B154" s="83"/>
      <c r="C154" s="83"/>
      <c r="D154" s="83"/>
      <c r="E154" s="83"/>
      <c r="F154" s="7" t="str">
        <f>CVSSv3!$A$11</f>
        <v>Availability Impact</v>
      </c>
      <c r="G154" s="8" t="s">
        <v>36</v>
      </c>
      <c r="H154" s="86"/>
      <c r="I154" s="87"/>
      <c r="J154" s="87"/>
      <c r="K154" s="83"/>
      <c r="L154" s="83"/>
      <c r="M154" s="83"/>
    </row>
    <row r="155" spans="1:13" ht="15.75" x14ac:dyDescent="0.2">
      <c r="A155" s="85"/>
      <c r="B155" s="83"/>
      <c r="C155" s="83"/>
      <c r="D155" s="83"/>
      <c r="E155" s="83"/>
      <c r="F155" s="7" t="str">
        <f>CVSSv3!$A$12</f>
        <v>Exploit Code Maturity</v>
      </c>
      <c r="G155" s="8" t="s">
        <v>32</v>
      </c>
      <c r="H155" s="86"/>
      <c r="I155" s="87"/>
      <c r="J155" s="87"/>
      <c r="K155" s="83"/>
      <c r="L155" s="83"/>
      <c r="M155" s="83"/>
    </row>
    <row r="156" spans="1:13" ht="15.75" x14ac:dyDescent="0.2">
      <c r="A156" s="85"/>
      <c r="B156" s="83"/>
      <c r="C156" s="83"/>
      <c r="D156" s="83"/>
      <c r="E156" s="83"/>
      <c r="F156" s="7" t="str">
        <f>CVSSv3!$A$13</f>
        <v>Remediation Level</v>
      </c>
      <c r="G156" s="8" t="s">
        <v>37</v>
      </c>
      <c r="H156" s="86"/>
      <c r="I156" s="87"/>
      <c r="J156" s="87"/>
      <c r="K156" s="83"/>
      <c r="L156" s="83"/>
      <c r="M156" s="83"/>
    </row>
    <row r="157" spans="1:13" ht="15.75" x14ac:dyDescent="0.2">
      <c r="A157" s="85"/>
      <c r="B157" s="83"/>
      <c r="C157" s="83"/>
      <c r="D157" s="83"/>
      <c r="E157" s="83"/>
      <c r="F157" s="7" t="str">
        <f>CVSSv3!$A$14</f>
        <v>Report Confidence</v>
      </c>
      <c r="G157" s="8" t="s">
        <v>38</v>
      </c>
      <c r="H157" s="86"/>
      <c r="I157" s="87"/>
      <c r="J157" s="87"/>
      <c r="K157" s="83"/>
      <c r="L157" s="83"/>
      <c r="M157" s="83"/>
    </row>
    <row r="158" spans="1:13" ht="15.75" x14ac:dyDescent="0.2">
      <c r="A158" s="85"/>
      <c r="B158" s="83"/>
      <c r="C158" s="83"/>
      <c r="D158" s="83"/>
      <c r="E158" s="83"/>
      <c r="F158" s="84" t="str">
        <f>"("&amp;CVSSv3!$B$4&amp;":"&amp;IF(G147=CVSSv3!$C$4,CVSSv3!$C$30,IF(G147=CVSSv3!$D$4,CVSSv3!$D$30,IF(G147=CVSSv3!$E$4,CVSSv3!$E$30,IF(G147=CVSSv3!$F$4,CVSSv3!$F$30,""))))&amp;"/"&amp;CVSSv3!$B$5&amp;":"&amp;IF(G148=CVSSv3!$C$5,CVSSv3!$C$31,IF(G148=CVSSv3!$D$5,CVSSv3!$D$31,""))&amp;"/"&amp;CVSSv3!$B$6&amp;":"&amp;IF(G149=CVSSv3!$C$6,CVSSv3!$C$32,IF(G149=CVSSv3!$D$6,CVSSv3!$D$32,IF(G149=CVSSv3!$E$6,CVSSv3!$E$32,"")))&amp;"/"&amp;CVSSv3!$B$7&amp;":"&amp;IF(G150=CVSSv3!$C$7,CVSSv3!$C$33,IF(G150=CVSSv3!$D$7,CVSSv3!$D$33,""))&amp;"/"&amp;CVSSv3!$B$8&amp;":"&amp;IF(G151=CVSSv3!$C$8,CVSSv3!$C$34,IF(G151=CVSSv3!$D$8,CVSSv3!$D$34,""))&amp;"/"&amp;CVSSv3!$B$9&amp;":"&amp;IF(G152=CVSSv3!$C$9,CVSSv3!$C$35,IF(G152=CVSSv3!$D$9,CVSSv3!$D$35,IF(G152=CVSSv3!$E$9,CVSSv3!$E$35,"")))&amp;"/"&amp;CVSSv3!$B$10&amp;":"&amp;IF(G153=CVSSv3!$C$10,CVSSv3!$C$36,IF(G153=CVSSv3!$D$10,CVSSv3!$D$36,IF(G153=CVSSv3!$E$10,CVSSv3!$E$36,"")))&amp;"/"&amp;CVSSv3!$B$11&amp;":"&amp;IF(G154=CVSSv3!$C$11,CVSSv3!$C$37,IF(G154=CVSSv3!$D$11,CVSSv3!$D$37,IF(G154=CVSSv3!$E$11,CVSSv3!$E$37,"")))&amp;"/"&amp;CVSSv3!$B$12&amp;":"&amp;IF(G155=CVSSv3!$C$12,CVSSv3!$C$38,IF(G155=CVSSv3!$D$12,CVSSv3!$D$38,IF(G155=CVSSv3!$E$12,CVSSv3!$E$38,IF(G155=CVSSv3!$F$12,CVSSv3!$F$38,""))))&amp;"/"&amp;CVSSv3!$B$13&amp;":"&amp;IF(G156=CVSSv3!$C$13,CVSSv3!$C$39,IF(G156=CVSSv3!$D$13,CVSSv3!$D$39,IF(G156=CVSSv3!$E$13,CVSSv3!$E$39,IF(G156=CVSSv3!$F$13,CVSSv3!$F$39,""))))&amp;"/"&amp;CVSSv3!$B$14&amp;":"&amp;IF(G157=CVSSv3!$C$14,CVSSv3!$C$40,IF(G157=CVSSv3!$D$14,CVSSv3!$D$40,IF(G157=CVSSv3!$E$14,CVSSv3!$E$40,"")))&amp;")"</f>
        <v>(AV:/AC:/PR:/UI:/S:/C:/I:/A:/E:/RL:/RC:)</v>
      </c>
      <c r="G158" s="84"/>
      <c r="H158" s="86"/>
      <c r="I158" s="87"/>
      <c r="J158" s="87"/>
      <c r="K158" s="83"/>
      <c r="L158" s="83"/>
      <c r="M158" s="83"/>
    </row>
    <row r="159" spans="1:13" ht="15.75" customHeight="1" x14ac:dyDescent="0.25">
      <c r="A159" s="85">
        <v>14</v>
      </c>
      <c r="B159" s="83" t="s">
        <v>44</v>
      </c>
      <c r="C159" s="83" t="s">
        <v>14</v>
      </c>
      <c r="D159" s="83" t="s">
        <v>14</v>
      </c>
      <c r="E159" s="83" t="s">
        <v>14</v>
      </c>
      <c r="F159" s="5" t="str">
        <f>CVSSv3!$A$4</f>
        <v>Attack Vector</v>
      </c>
      <c r="G159" s="6" t="s">
        <v>15</v>
      </c>
      <c r="H159" s="86" t="e">
        <f>ROUNDUP((IF((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lt;=0,0,(IF(G163=CVSSv3!$C$8,ROUNDUP((MIN((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ROUNDUP((MIN(1.08*((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IF(G167=CVSSv3!$C$12,CVSSv3!$C$25,(IF(G167=CVSSv3!$D$12,CVSSv3!$D$25,(IF(G167=CVSSv3!$E$12,CVSSv3!$E$25,(IF(G167=CVSSv3!$F$12,CVSSv3!$F$25,""))))))))*(IF(G168=CVSSv3!$C$13,CVSSv3!$C$26,(IF(G168=CVSSv3!$D$13,CVSSv3!$D$26,(IF(G168=CVSSv3!$E$13,CVSSv3!$E$26,(IF(G168=CVSSv3!$F$13,CVSSv3!$F$26,""))))))))*(IF(G169=CVSSv3!$C$14,CVSSv3!$C$27,(IF(G169=CVSSv3!$D$14,CVSSv3!$D$27,(IF(G169=CVSSv3!$E$14,CVSSv3!$E$27,""))))))),1)</f>
        <v>#VALUE!</v>
      </c>
      <c r="I159" s="87">
        <v>0</v>
      </c>
      <c r="J159" s="87">
        <v>0</v>
      </c>
      <c r="K159" s="83" t="s">
        <v>14</v>
      </c>
      <c r="L159" s="83" t="s">
        <v>14</v>
      </c>
      <c r="M159" s="83" t="s">
        <v>16</v>
      </c>
    </row>
    <row r="160" spans="1:13" ht="15.75" x14ac:dyDescent="0.2">
      <c r="A160" s="85"/>
      <c r="B160" s="83"/>
      <c r="C160" s="83"/>
      <c r="D160" s="83"/>
      <c r="E160" s="83"/>
      <c r="F160" s="7" t="str">
        <f>CVSSv3!$A$5</f>
        <v>Attack Complexity</v>
      </c>
      <c r="G160" s="8" t="s">
        <v>32</v>
      </c>
      <c r="H160" s="86"/>
      <c r="I160" s="87"/>
      <c r="J160" s="87"/>
      <c r="K160" s="83"/>
      <c r="L160" s="83"/>
      <c r="M160" s="83"/>
    </row>
    <row r="161" spans="1:13" ht="15.75" x14ac:dyDescent="0.2">
      <c r="A161" s="85"/>
      <c r="B161" s="83"/>
      <c r="C161" s="83"/>
      <c r="D161" s="83"/>
      <c r="E161" s="83"/>
      <c r="F161" s="7" t="str">
        <f>CVSSv3!$A$6</f>
        <v>Privilege Required</v>
      </c>
      <c r="G161" s="8" t="s">
        <v>33</v>
      </c>
      <c r="H161" s="86"/>
      <c r="I161" s="87"/>
      <c r="J161" s="87"/>
      <c r="K161" s="83"/>
      <c r="L161" s="83"/>
      <c r="M161" s="83"/>
    </row>
    <row r="162" spans="1:13" ht="15.75" x14ac:dyDescent="0.2">
      <c r="A162" s="85"/>
      <c r="B162" s="83"/>
      <c r="C162" s="83"/>
      <c r="D162" s="83"/>
      <c r="E162" s="83"/>
      <c r="F162" s="7" t="str">
        <f>CVSSv3!$A$7</f>
        <v>User Interaction</v>
      </c>
      <c r="G162" s="8" t="s">
        <v>34</v>
      </c>
      <c r="H162" s="86"/>
      <c r="I162" s="87"/>
      <c r="J162" s="87"/>
      <c r="K162" s="83"/>
      <c r="L162" s="83"/>
      <c r="M162" s="83"/>
    </row>
    <row r="163" spans="1:13" ht="15.75" x14ac:dyDescent="0.2">
      <c r="A163" s="85"/>
      <c r="B163" s="83"/>
      <c r="C163" s="83"/>
      <c r="D163" s="83"/>
      <c r="E163" s="83"/>
      <c r="F163" s="7" t="str">
        <f>CVSSv3!$A$8</f>
        <v>Scope</v>
      </c>
      <c r="G163" s="8" t="s">
        <v>35</v>
      </c>
      <c r="H163" s="86"/>
      <c r="I163" s="87"/>
      <c r="J163" s="87"/>
      <c r="K163" s="83"/>
      <c r="L163" s="83"/>
      <c r="M163" s="83"/>
    </row>
    <row r="164" spans="1:13" ht="15.75" x14ac:dyDescent="0.2">
      <c r="A164" s="85"/>
      <c r="B164" s="83"/>
      <c r="C164" s="83"/>
      <c r="D164" s="83"/>
      <c r="E164" s="83"/>
      <c r="F164" s="7" t="str">
        <f>CVSSv3!$A$9</f>
        <v>Confidentiality Impact</v>
      </c>
      <c r="G164" s="8" t="s">
        <v>36</v>
      </c>
      <c r="H164" s="86"/>
      <c r="I164" s="87"/>
      <c r="J164" s="87"/>
      <c r="K164" s="83"/>
      <c r="L164" s="83"/>
      <c r="M164" s="83"/>
    </row>
    <row r="165" spans="1:13" ht="15.75" x14ac:dyDescent="0.2">
      <c r="A165" s="85"/>
      <c r="B165" s="83"/>
      <c r="C165" s="83"/>
      <c r="D165" s="83"/>
      <c r="E165" s="83"/>
      <c r="F165" s="7" t="str">
        <f>CVSSv3!$A$10</f>
        <v>Integrity Impact</v>
      </c>
      <c r="G165" s="8" t="s">
        <v>36</v>
      </c>
      <c r="H165" s="86"/>
      <c r="I165" s="87"/>
      <c r="J165" s="87"/>
      <c r="K165" s="83"/>
      <c r="L165" s="83"/>
      <c r="M165" s="83"/>
    </row>
    <row r="166" spans="1:13" ht="15.75" x14ac:dyDescent="0.2">
      <c r="A166" s="85"/>
      <c r="B166" s="83"/>
      <c r="C166" s="83"/>
      <c r="D166" s="83"/>
      <c r="E166" s="83"/>
      <c r="F166" s="7" t="str">
        <f>CVSSv3!$A$11</f>
        <v>Availability Impact</v>
      </c>
      <c r="G166" s="8" t="s">
        <v>36</v>
      </c>
      <c r="H166" s="86"/>
      <c r="I166" s="87"/>
      <c r="J166" s="87"/>
      <c r="K166" s="83"/>
      <c r="L166" s="83"/>
      <c r="M166" s="83"/>
    </row>
    <row r="167" spans="1:13" ht="15.75" x14ac:dyDescent="0.2">
      <c r="A167" s="85"/>
      <c r="B167" s="83"/>
      <c r="C167" s="83"/>
      <c r="D167" s="83"/>
      <c r="E167" s="83"/>
      <c r="F167" s="7" t="str">
        <f>CVSSv3!$A$12</f>
        <v>Exploit Code Maturity</v>
      </c>
      <c r="G167" s="8" t="s">
        <v>32</v>
      </c>
      <c r="H167" s="86"/>
      <c r="I167" s="87"/>
      <c r="J167" s="87"/>
      <c r="K167" s="83"/>
      <c r="L167" s="83"/>
      <c r="M167" s="83"/>
    </row>
    <row r="168" spans="1:13" ht="15.75" x14ac:dyDescent="0.2">
      <c r="A168" s="85"/>
      <c r="B168" s="83"/>
      <c r="C168" s="83"/>
      <c r="D168" s="83"/>
      <c r="E168" s="83"/>
      <c r="F168" s="7" t="str">
        <f>CVSSv3!$A$13</f>
        <v>Remediation Level</v>
      </c>
      <c r="G168" s="8" t="s">
        <v>37</v>
      </c>
      <c r="H168" s="86"/>
      <c r="I168" s="87"/>
      <c r="J168" s="87"/>
      <c r="K168" s="83"/>
      <c r="L168" s="83"/>
      <c r="M168" s="83"/>
    </row>
    <row r="169" spans="1:13" ht="15.75" x14ac:dyDescent="0.2">
      <c r="A169" s="85"/>
      <c r="B169" s="83"/>
      <c r="C169" s="83"/>
      <c r="D169" s="83"/>
      <c r="E169" s="83"/>
      <c r="F169" s="7" t="str">
        <f>CVSSv3!$A$14</f>
        <v>Report Confidence</v>
      </c>
      <c r="G169" s="8" t="s">
        <v>38</v>
      </c>
      <c r="H169" s="86"/>
      <c r="I169" s="87"/>
      <c r="J169" s="87"/>
      <c r="K169" s="83"/>
      <c r="L169" s="83"/>
      <c r="M169" s="83"/>
    </row>
    <row r="170" spans="1:13" ht="15.75" x14ac:dyDescent="0.2">
      <c r="A170" s="85"/>
      <c r="B170" s="83"/>
      <c r="C170" s="83"/>
      <c r="D170" s="83"/>
      <c r="E170" s="83"/>
      <c r="F170" s="84" t="str">
        <f>"("&amp;CVSSv3!$B$4&amp;":"&amp;IF(G159=CVSSv3!$C$4,CVSSv3!$C$30,IF(G159=CVSSv3!$D$4,CVSSv3!$D$30,IF(G159=CVSSv3!$E$4,CVSSv3!$E$30,IF(G159=CVSSv3!$F$4,CVSSv3!$F$30,""))))&amp;"/"&amp;CVSSv3!$B$5&amp;":"&amp;IF(G160=CVSSv3!$C$5,CVSSv3!$C$31,IF(G160=CVSSv3!$D$5,CVSSv3!$D$31,""))&amp;"/"&amp;CVSSv3!$B$6&amp;":"&amp;IF(G161=CVSSv3!$C$6,CVSSv3!$C$32,IF(G161=CVSSv3!$D$6,CVSSv3!$D$32,IF(G161=CVSSv3!$E$6,CVSSv3!$E$32,"")))&amp;"/"&amp;CVSSv3!$B$7&amp;":"&amp;IF(G162=CVSSv3!$C$7,CVSSv3!$C$33,IF(G162=CVSSv3!$D$7,CVSSv3!$D$33,""))&amp;"/"&amp;CVSSv3!$B$8&amp;":"&amp;IF(G163=CVSSv3!$C$8,CVSSv3!$C$34,IF(G163=CVSSv3!$D$8,CVSSv3!$D$34,""))&amp;"/"&amp;CVSSv3!$B$9&amp;":"&amp;IF(G164=CVSSv3!$C$9,CVSSv3!$C$35,IF(G164=CVSSv3!$D$9,CVSSv3!$D$35,IF(G164=CVSSv3!$E$9,CVSSv3!$E$35,"")))&amp;"/"&amp;CVSSv3!$B$10&amp;":"&amp;IF(G165=CVSSv3!$C$10,CVSSv3!$C$36,IF(G165=CVSSv3!$D$10,CVSSv3!$D$36,IF(G165=CVSSv3!$E$10,CVSSv3!$E$36,"")))&amp;"/"&amp;CVSSv3!$B$11&amp;":"&amp;IF(G166=CVSSv3!$C$11,CVSSv3!$C$37,IF(G166=CVSSv3!$D$11,CVSSv3!$D$37,IF(G166=CVSSv3!$E$11,CVSSv3!$E$37,"")))&amp;"/"&amp;CVSSv3!$B$12&amp;":"&amp;IF(G167=CVSSv3!$C$12,CVSSv3!$C$38,IF(G167=CVSSv3!$D$12,CVSSv3!$D$38,IF(G167=CVSSv3!$E$12,CVSSv3!$E$38,IF(G167=CVSSv3!$F$12,CVSSv3!$F$38,""))))&amp;"/"&amp;CVSSv3!$B$13&amp;":"&amp;IF(G168=CVSSv3!$C$13,CVSSv3!$C$39,IF(G168=CVSSv3!$D$13,CVSSv3!$D$39,IF(G168=CVSSv3!$E$13,CVSSv3!$E$39,IF(G168=CVSSv3!$F$13,CVSSv3!$F$39,""))))&amp;"/"&amp;CVSSv3!$B$14&amp;":"&amp;IF(G169=CVSSv3!$C$14,CVSSv3!$C$40,IF(G169=CVSSv3!$D$14,CVSSv3!$D$40,IF(G169=CVSSv3!$E$14,CVSSv3!$E$40,"")))&amp;")"</f>
        <v>(AV:/AC:/PR:/UI:/S:/C:/I:/A:/E:/RL:/RC:)</v>
      </c>
      <c r="G170" s="84"/>
      <c r="H170" s="86"/>
      <c r="I170" s="87"/>
      <c r="J170" s="87"/>
      <c r="K170" s="83"/>
      <c r="L170" s="83"/>
      <c r="M170" s="83"/>
    </row>
    <row r="171" spans="1:13" ht="15.75" customHeight="1" x14ac:dyDescent="0.25">
      <c r="A171" s="85">
        <v>15</v>
      </c>
      <c r="B171" s="83" t="s">
        <v>45</v>
      </c>
      <c r="C171" s="83" t="s">
        <v>14</v>
      </c>
      <c r="D171" s="83" t="s">
        <v>14</v>
      </c>
      <c r="E171" s="83" t="s">
        <v>14</v>
      </c>
      <c r="F171" s="5" t="str">
        <f>CVSSv3!$A$4</f>
        <v>Attack Vector</v>
      </c>
      <c r="G171" s="6" t="s">
        <v>15</v>
      </c>
      <c r="H171" s="86" t="e">
        <f>ROUNDUP((IF((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lt;=0,0,(IF(G175=CVSSv3!$C$8,ROUNDUP((MIN((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ROUNDUP((MIN(1.08*((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IF(G179=CVSSv3!$C$12,CVSSv3!$C$25,(IF(G179=CVSSv3!$D$12,CVSSv3!$D$25,(IF(G179=CVSSv3!$E$12,CVSSv3!$E$25,(IF(G179=CVSSv3!$F$12,CVSSv3!$F$25,""))))))))*(IF(G180=CVSSv3!$C$13,CVSSv3!$C$26,(IF(G180=CVSSv3!$D$13,CVSSv3!$D$26,(IF(G180=CVSSv3!$E$13,CVSSv3!$E$26,(IF(G180=CVSSv3!$F$13,CVSSv3!$F$26,""))))))))*(IF(G181=CVSSv3!$C$14,CVSSv3!$C$27,(IF(G181=CVSSv3!$D$14,CVSSv3!$D$27,(IF(G181=CVSSv3!$E$14,CVSSv3!$E$27,""))))))),1)</f>
        <v>#VALUE!</v>
      </c>
      <c r="I171" s="87">
        <v>0</v>
      </c>
      <c r="J171" s="87">
        <v>0</v>
      </c>
      <c r="K171" s="83" t="s">
        <v>14</v>
      </c>
      <c r="L171" s="83" t="s">
        <v>14</v>
      </c>
      <c r="M171" s="83" t="s">
        <v>16</v>
      </c>
    </row>
    <row r="172" spans="1:13" ht="15.75" x14ac:dyDescent="0.2">
      <c r="A172" s="85"/>
      <c r="B172" s="83"/>
      <c r="C172" s="83"/>
      <c r="D172" s="83"/>
      <c r="E172" s="83"/>
      <c r="F172" s="7" t="str">
        <f>CVSSv3!$A$5</f>
        <v>Attack Complexity</v>
      </c>
      <c r="G172" s="8" t="s">
        <v>32</v>
      </c>
      <c r="H172" s="86"/>
      <c r="I172" s="87"/>
      <c r="J172" s="87"/>
      <c r="K172" s="83"/>
      <c r="L172" s="83"/>
      <c r="M172" s="83"/>
    </row>
    <row r="173" spans="1:13" ht="15.75" x14ac:dyDescent="0.2">
      <c r="A173" s="85"/>
      <c r="B173" s="83"/>
      <c r="C173" s="83"/>
      <c r="D173" s="83"/>
      <c r="E173" s="83"/>
      <c r="F173" s="7" t="str">
        <f>CVSSv3!$A$6</f>
        <v>Privilege Required</v>
      </c>
      <c r="G173" s="8" t="s">
        <v>33</v>
      </c>
      <c r="H173" s="86"/>
      <c r="I173" s="87"/>
      <c r="J173" s="87"/>
      <c r="K173" s="83"/>
      <c r="L173" s="83"/>
      <c r="M173" s="83"/>
    </row>
    <row r="174" spans="1:13" ht="15.75" x14ac:dyDescent="0.2">
      <c r="A174" s="85"/>
      <c r="B174" s="83"/>
      <c r="C174" s="83"/>
      <c r="D174" s="83"/>
      <c r="E174" s="83"/>
      <c r="F174" s="7" t="str">
        <f>CVSSv3!$A$7</f>
        <v>User Interaction</v>
      </c>
      <c r="G174" s="8" t="s">
        <v>34</v>
      </c>
      <c r="H174" s="86"/>
      <c r="I174" s="87"/>
      <c r="J174" s="87"/>
      <c r="K174" s="83"/>
      <c r="L174" s="83"/>
      <c r="M174" s="83"/>
    </row>
    <row r="175" spans="1:13" ht="15.75" x14ac:dyDescent="0.2">
      <c r="A175" s="85"/>
      <c r="B175" s="83"/>
      <c r="C175" s="83"/>
      <c r="D175" s="83"/>
      <c r="E175" s="83"/>
      <c r="F175" s="7" t="str">
        <f>CVSSv3!$A$8</f>
        <v>Scope</v>
      </c>
      <c r="G175" s="8" t="s">
        <v>35</v>
      </c>
      <c r="H175" s="86"/>
      <c r="I175" s="87"/>
      <c r="J175" s="87"/>
      <c r="K175" s="83"/>
      <c r="L175" s="83"/>
      <c r="M175" s="83"/>
    </row>
    <row r="176" spans="1:13" ht="15.75" x14ac:dyDescent="0.2">
      <c r="A176" s="85"/>
      <c r="B176" s="83"/>
      <c r="C176" s="83"/>
      <c r="D176" s="83"/>
      <c r="E176" s="83"/>
      <c r="F176" s="7" t="str">
        <f>CVSSv3!$A$9</f>
        <v>Confidentiality Impact</v>
      </c>
      <c r="G176" s="8" t="s">
        <v>36</v>
      </c>
      <c r="H176" s="86"/>
      <c r="I176" s="87"/>
      <c r="J176" s="87"/>
      <c r="K176" s="83"/>
      <c r="L176" s="83"/>
      <c r="M176" s="83"/>
    </row>
    <row r="177" spans="1:13" ht="15.75" x14ac:dyDescent="0.2">
      <c r="A177" s="85"/>
      <c r="B177" s="83"/>
      <c r="C177" s="83"/>
      <c r="D177" s="83"/>
      <c r="E177" s="83"/>
      <c r="F177" s="7" t="str">
        <f>CVSSv3!$A$10</f>
        <v>Integrity Impact</v>
      </c>
      <c r="G177" s="8" t="s">
        <v>36</v>
      </c>
      <c r="H177" s="86"/>
      <c r="I177" s="87"/>
      <c r="J177" s="87"/>
      <c r="K177" s="83"/>
      <c r="L177" s="83"/>
      <c r="M177" s="83"/>
    </row>
    <row r="178" spans="1:13" ht="15.75" x14ac:dyDescent="0.2">
      <c r="A178" s="85"/>
      <c r="B178" s="83"/>
      <c r="C178" s="83"/>
      <c r="D178" s="83"/>
      <c r="E178" s="83"/>
      <c r="F178" s="7" t="str">
        <f>CVSSv3!$A$11</f>
        <v>Availability Impact</v>
      </c>
      <c r="G178" s="8" t="s">
        <v>36</v>
      </c>
      <c r="H178" s="86"/>
      <c r="I178" s="87"/>
      <c r="J178" s="87"/>
      <c r="K178" s="83"/>
      <c r="L178" s="83"/>
      <c r="M178" s="83"/>
    </row>
    <row r="179" spans="1:13" ht="15.75" x14ac:dyDescent="0.2">
      <c r="A179" s="85"/>
      <c r="B179" s="83"/>
      <c r="C179" s="83"/>
      <c r="D179" s="83"/>
      <c r="E179" s="83"/>
      <c r="F179" s="7" t="str">
        <f>CVSSv3!$A$12</f>
        <v>Exploit Code Maturity</v>
      </c>
      <c r="G179" s="8" t="s">
        <v>32</v>
      </c>
      <c r="H179" s="86"/>
      <c r="I179" s="87"/>
      <c r="J179" s="87"/>
      <c r="K179" s="83"/>
      <c r="L179" s="83"/>
      <c r="M179" s="83"/>
    </row>
    <row r="180" spans="1:13" ht="15.75" x14ac:dyDescent="0.2">
      <c r="A180" s="85"/>
      <c r="B180" s="83"/>
      <c r="C180" s="83"/>
      <c r="D180" s="83"/>
      <c r="E180" s="83"/>
      <c r="F180" s="7" t="str">
        <f>CVSSv3!$A$13</f>
        <v>Remediation Level</v>
      </c>
      <c r="G180" s="8" t="s">
        <v>37</v>
      </c>
      <c r="H180" s="86"/>
      <c r="I180" s="87"/>
      <c r="J180" s="87"/>
      <c r="K180" s="83"/>
      <c r="L180" s="83"/>
      <c r="M180" s="83"/>
    </row>
    <row r="181" spans="1:13" ht="15.75" x14ac:dyDescent="0.2">
      <c r="A181" s="85"/>
      <c r="B181" s="83"/>
      <c r="C181" s="83"/>
      <c r="D181" s="83"/>
      <c r="E181" s="83"/>
      <c r="F181" s="7" t="str">
        <f>CVSSv3!$A$14</f>
        <v>Report Confidence</v>
      </c>
      <c r="G181" s="8" t="s">
        <v>38</v>
      </c>
      <c r="H181" s="86"/>
      <c r="I181" s="87"/>
      <c r="J181" s="87"/>
      <c r="K181" s="83"/>
      <c r="L181" s="83"/>
      <c r="M181" s="83"/>
    </row>
    <row r="182" spans="1:13" ht="15.75" x14ac:dyDescent="0.2">
      <c r="A182" s="85"/>
      <c r="B182" s="83"/>
      <c r="C182" s="83"/>
      <c r="D182" s="83"/>
      <c r="E182" s="83"/>
      <c r="F182" s="84" t="str">
        <f>"("&amp;CVSSv3!$B$4&amp;":"&amp;IF(G171=CVSSv3!$C$4,CVSSv3!$C$30,IF(G171=CVSSv3!$D$4,CVSSv3!$D$30,IF(G171=CVSSv3!$E$4,CVSSv3!$E$30,IF(G171=CVSSv3!$F$4,CVSSv3!$F$30,""))))&amp;"/"&amp;CVSSv3!$B$5&amp;":"&amp;IF(G172=CVSSv3!$C$5,CVSSv3!$C$31,IF(G172=CVSSv3!$D$5,CVSSv3!$D$31,""))&amp;"/"&amp;CVSSv3!$B$6&amp;":"&amp;IF(G173=CVSSv3!$C$6,CVSSv3!$C$32,IF(G173=CVSSv3!$D$6,CVSSv3!$D$32,IF(G173=CVSSv3!$E$6,CVSSv3!$E$32,"")))&amp;"/"&amp;CVSSv3!$B$7&amp;":"&amp;IF(G174=CVSSv3!$C$7,CVSSv3!$C$33,IF(G174=CVSSv3!$D$7,CVSSv3!$D$33,""))&amp;"/"&amp;CVSSv3!$B$8&amp;":"&amp;IF(G175=CVSSv3!$C$8,CVSSv3!$C$34,IF(G175=CVSSv3!$D$8,CVSSv3!$D$34,""))&amp;"/"&amp;CVSSv3!$B$9&amp;":"&amp;IF(G176=CVSSv3!$C$9,CVSSv3!$C$35,IF(G176=CVSSv3!$D$9,CVSSv3!$D$35,IF(G176=CVSSv3!$E$9,CVSSv3!$E$35,"")))&amp;"/"&amp;CVSSv3!$B$10&amp;":"&amp;IF(G177=CVSSv3!$C$10,CVSSv3!$C$36,IF(G177=CVSSv3!$D$10,CVSSv3!$D$36,IF(G177=CVSSv3!$E$10,CVSSv3!$E$36,"")))&amp;"/"&amp;CVSSv3!$B$11&amp;":"&amp;IF(G178=CVSSv3!$C$11,CVSSv3!$C$37,IF(G178=CVSSv3!$D$11,CVSSv3!$D$37,IF(G178=CVSSv3!$E$11,CVSSv3!$E$37,"")))&amp;"/"&amp;CVSSv3!$B$12&amp;":"&amp;IF(G179=CVSSv3!$C$12,CVSSv3!$C$38,IF(G179=CVSSv3!$D$12,CVSSv3!$D$38,IF(G179=CVSSv3!$E$12,CVSSv3!$E$38,IF(G179=CVSSv3!$F$12,CVSSv3!$F$38,""))))&amp;"/"&amp;CVSSv3!$B$13&amp;":"&amp;IF(G180=CVSSv3!$C$13,CVSSv3!$C$39,IF(G180=CVSSv3!$D$13,CVSSv3!$D$39,IF(G180=CVSSv3!$E$13,CVSSv3!$E$39,IF(G180=CVSSv3!$F$13,CVSSv3!$F$39,""))))&amp;"/"&amp;CVSSv3!$B$14&amp;":"&amp;IF(G181=CVSSv3!$C$14,CVSSv3!$C$40,IF(G181=CVSSv3!$D$14,CVSSv3!$D$40,IF(G181=CVSSv3!$E$14,CVSSv3!$E$40,"")))&amp;")"</f>
        <v>(AV:/AC:/PR:/UI:/S:/C:/I:/A:/E:/RL:/RC:)</v>
      </c>
      <c r="G182" s="84"/>
      <c r="H182" s="86"/>
      <c r="I182" s="87"/>
      <c r="J182" s="87"/>
      <c r="K182" s="83"/>
      <c r="L182" s="83"/>
      <c r="M182" s="83"/>
    </row>
    <row r="183" spans="1:13" ht="15.75" customHeight="1" x14ac:dyDescent="0.25">
      <c r="A183" s="85">
        <v>16</v>
      </c>
      <c r="B183" s="83" t="s">
        <v>46</v>
      </c>
      <c r="C183" s="83" t="s">
        <v>14</v>
      </c>
      <c r="D183" s="83" t="s">
        <v>14</v>
      </c>
      <c r="E183" s="83" t="s">
        <v>14</v>
      </c>
      <c r="F183" s="5" t="str">
        <f>CVSSv3!$A$4</f>
        <v>Attack Vector</v>
      </c>
      <c r="G183" s="6" t="s">
        <v>15</v>
      </c>
      <c r="H183" s="86" t="e">
        <f>ROUNDUP((IF((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lt;=0,0,(IF(G187=CVSSv3!$C$8,ROUNDUP((MIN((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ROUNDUP((MIN(1.08*((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IF(G191=CVSSv3!$C$12,CVSSv3!$C$25,(IF(G191=CVSSv3!$D$12,CVSSv3!$D$25,(IF(G191=CVSSv3!$E$12,CVSSv3!$E$25,(IF(G191=CVSSv3!$F$12,CVSSv3!$F$25,""))))))))*(IF(G192=CVSSv3!$C$13,CVSSv3!$C$26,(IF(G192=CVSSv3!$D$13,CVSSv3!$D$26,(IF(G192=CVSSv3!$E$13,CVSSv3!$E$26,(IF(G192=CVSSv3!$F$13,CVSSv3!$F$26,""))))))))*(IF(G193=CVSSv3!$C$14,CVSSv3!$C$27,(IF(G193=CVSSv3!$D$14,CVSSv3!$D$27,(IF(G193=CVSSv3!$E$14,CVSSv3!$E$27,""))))))),1)</f>
        <v>#VALUE!</v>
      </c>
      <c r="I183" s="87">
        <v>0</v>
      </c>
      <c r="J183" s="87">
        <v>0</v>
      </c>
      <c r="K183" s="83" t="s">
        <v>14</v>
      </c>
      <c r="L183" s="83" t="s">
        <v>14</v>
      </c>
      <c r="M183" s="83" t="s">
        <v>16</v>
      </c>
    </row>
    <row r="184" spans="1:13" ht="15.75" x14ac:dyDescent="0.2">
      <c r="A184" s="85"/>
      <c r="B184" s="83"/>
      <c r="C184" s="83"/>
      <c r="D184" s="83"/>
      <c r="E184" s="83"/>
      <c r="F184" s="7" t="str">
        <f>CVSSv3!$A$5</f>
        <v>Attack Complexity</v>
      </c>
      <c r="G184" s="8" t="s">
        <v>32</v>
      </c>
      <c r="H184" s="86"/>
      <c r="I184" s="87"/>
      <c r="J184" s="87"/>
      <c r="K184" s="83"/>
      <c r="L184" s="83"/>
      <c r="M184" s="83"/>
    </row>
    <row r="185" spans="1:13" ht="15.75" x14ac:dyDescent="0.2">
      <c r="A185" s="85"/>
      <c r="B185" s="83"/>
      <c r="C185" s="83"/>
      <c r="D185" s="83"/>
      <c r="E185" s="83"/>
      <c r="F185" s="7" t="str">
        <f>CVSSv3!$A$6</f>
        <v>Privilege Required</v>
      </c>
      <c r="G185" s="8" t="s">
        <v>33</v>
      </c>
      <c r="H185" s="86"/>
      <c r="I185" s="87"/>
      <c r="J185" s="87"/>
      <c r="K185" s="83"/>
      <c r="L185" s="83"/>
      <c r="M185" s="83"/>
    </row>
    <row r="186" spans="1:13" ht="15.75" x14ac:dyDescent="0.2">
      <c r="A186" s="85"/>
      <c r="B186" s="83"/>
      <c r="C186" s="83"/>
      <c r="D186" s="83"/>
      <c r="E186" s="83"/>
      <c r="F186" s="7" t="str">
        <f>CVSSv3!$A$7</f>
        <v>User Interaction</v>
      </c>
      <c r="G186" s="8" t="s">
        <v>34</v>
      </c>
      <c r="H186" s="86"/>
      <c r="I186" s="87"/>
      <c r="J186" s="87"/>
      <c r="K186" s="83"/>
      <c r="L186" s="83"/>
      <c r="M186" s="83"/>
    </row>
    <row r="187" spans="1:13" ht="15.75" x14ac:dyDescent="0.2">
      <c r="A187" s="85"/>
      <c r="B187" s="83"/>
      <c r="C187" s="83"/>
      <c r="D187" s="83"/>
      <c r="E187" s="83"/>
      <c r="F187" s="7" t="str">
        <f>CVSSv3!$A$8</f>
        <v>Scope</v>
      </c>
      <c r="G187" s="8" t="s">
        <v>35</v>
      </c>
      <c r="H187" s="86"/>
      <c r="I187" s="87"/>
      <c r="J187" s="87"/>
      <c r="K187" s="83"/>
      <c r="L187" s="83"/>
      <c r="M187" s="83"/>
    </row>
    <row r="188" spans="1:13" ht="15.75" x14ac:dyDescent="0.2">
      <c r="A188" s="85"/>
      <c r="B188" s="83"/>
      <c r="C188" s="83"/>
      <c r="D188" s="83"/>
      <c r="E188" s="83"/>
      <c r="F188" s="7" t="str">
        <f>CVSSv3!$A$9</f>
        <v>Confidentiality Impact</v>
      </c>
      <c r="G188" s="8" t="s">
        <v>36</v>
      </c>
      <c r="H188" s="86"/>
      <c r="I188" s="87"/>
      <c r="J188" s="87"/>
      <c r="K188" s="83"/>
      <c r="L188" s="83"/>
      <c r="M188" s="83"/>
    </row>
    <row r="189" spans="1:13" ht="15.75" x14ac:dyDescent="0.2">
      <c r="A189" s="85"/>
      <c r="B189" s="83"/>
      <c r="C189" s="83"/>
      <c r="D189" s="83"/>
      <c r="E189" s="83"/>
      <c r="F189" s="7" t="str">
        <f>CVSSv3!$A$10</f>
        <v>Integrity Impact</v>
      </c>
      <c r="G189" s="8" t="s">
        <v>36</v>
      </c>
      <c r="H189" s="86"/>
      <c r="I189" s="87"/>
      <c r="J189" s="87"/>
      <c r="K189" s="83"/>
      <c r="L189" s="83"/>
      <c r="M189" s="83"/>
    </row>
    <row r="190" spans="1:13" ht="15.75" x14ac:dyDescent="0.2">
      <c r="A190" s="85"/>
      <c r="B190" s="83"/>
      <c r="C190" s="83"/>
      <c r="D190" s="83"/>
      <c r="E190" s="83"/>
      <c r="F190" s="7" t="str">
        <f>CVSSv3!$A$11</f>
        <v>Availability Impact</v>
      </c>
      <c r="G190" s="8" t="s">
        <v>36</v>
      </c>
      <c r="H190" s="86"/>
      <c r="I190" s="87"/>
      <c r="J190" s="87"/>
      <c r="K190" s="83"/>
      <c r="L190" s="83"/>
      <c r="M190" s="83"/>
    </row>
    <row r="191" spans="1:13" ht="15.75" x14ac:dyDescent="0.2">
      <c r="A191" s="85"/>
      <c r="B191" s="83"/>
      <c r="C191" s="83"/>
      <c r="D191" s="83"/>
      <c r="E191" s="83"/>
      <c r="F191" s="7" t="str">
        <f>CVSSv3!$A$12</f>
        <v>Exploit Code Maturity</v>
      </c>
      <c r="G191" s="8" t="s">
        <v>32</v>
      </c>
      <c r="H191" s="86"/>
      <c r="I191" s="87"/>
      <c r="J191" s="87"/>
      <c r="K191" s="83"/>
      <c r="L191" s="83"/>
      <c r="M191" s="83"/>
    </row>
    <row r="192" spans="1:13" ht="15.75" x14ac:dyDescent="0.2">
      <c r="A192" s="85"/>
      <c r="B192" s="83"/>
      <c r="C192" s="83"/>
      <c r="D192" s="83"/>
      <c r="E192" s="83"/>
      <c r="F192" s="7" t="str">
        <f>CVSSv3!$A$13</f>
        <v>Remediation Level</v>
      </c>
      <c r="G192" s="8" t="s">
        <v>37</v>
      </c>
      <c r="H192" s="86"/>
      <c r="I192" s="87"/>
      <c r="J192" s="87"/>
      <c r="K192" s="83"/>
      <c r="L192" s="83"/>
      <c r="M192" s="83"/>
    </row>
    <row r="193" spans="1:13" ht="15.75" x14ac:dyDescent="0.2">
      <c r="A193" s="85"/>
      <c r="B193" s="83"/>
      <c r="C193" s="83"/>
      <c r="D193" s="83"/>
      <c r="E193" s="83"/>
      <c r="F193" s="7" t="str">
        <f>CVSSv3!$A$14</f>
        <v>Report Confidence</v>
      </c>
      <c r="G193" s="8" t="s">
        <v>38</v>
      </c>
      <c r="H193" s="86"/>
      <c r="I193" s="87"/>
      <c r="J193" s="87"/>
      <c r="K193" s="83"/>
      <c r="L193" s="83"/>
      <c r="M193" s="83"/>
    </row>
    <row r="194" spans="1:13" ht="15.75" x14ac:dyDescent="0.2">
      <c r="A194" s="85"/>
      <c r="B194" s="83"/>
      <c r="C194" s="83"/>
      <c r="D194" s="83"/>
      <c r="E194" s="83"/>
      <c r="F194" s="84" t="str">
        <f>"("&amp;CVSSv3!$B$4&amp;":"&amp;IF(G183=CVSSv3!$C$4,CVSSv3!$C$30,IF(G183=CVSSv3!$D$4,CVSSv3!$D$30,IF(G183=CVSSv3!$E$4,CVSSv3!$E$30,IF(G183=CVSSv3!$F$4,CVSSv3!$F$30,""))))&amp;"/"&amp;CVSSv3!$B$5&amp;":"&amp;IF(G184=CVSSv3!$C$5,CVSSv3!$C$31,IF(G184=CVSSv3!$D$5,CVSSv3!$D$31,""))&amp;"/"&amp;CVSSv3!$B$6&amp;":"&amp;IF(G185=CVSSv3!$C$6,CVSSv3!$C$32,IF(G185=CVSSv3!$D$6,CVSSv3!$D$32,IF(G185=CVSSv3!$E$6,CVSSv3!$E$32,"")))&amp;"/"&amp;CVSSv3!$B$7&amp;":"&amp;IF(G186=CVSSv3!$C$7,CVSSv3!$C$33,IF(G186=CVSSv3!$D$7,CVSSv3!$D$33,""))&amp;"/"&amp;CVSSv3!$B$8&amp;":"&amp;IF(G187=CVSSv3!$C$8,CVSSv3!$C$34,IF(G187=CVSSv3!$D$8,CVSSv3!$D$34,""))&amp;"/"&amp;CVSSv3!$B$9&amp;":"&amp;IF(G188=CVSSv3!$C$9,CVSSv3!$C$35,IF(G188=CVSSv3!$D$9,CVSSv3!$D$35,IF(G188=CVSSv3!$E$9,CVSSv3!$E$35,"")))&amp;"/"&amp;CVSSv3!$B$10&amp;":"&amp;IF(G189=CVSSv3!$C$10,CVSSv3!$C$36,IF(G189=CVSSv3!$D$10,CVSSv3!$D$36,IF(G189=CVSSv3!$E$10,CVSSv3!$E$36,"")))&amp;"/"&amp;CVSSv3!$B$11&amp;":"&amp;IF(G190=CVSSv3!$C$11,CVSSv3!$C$37,IF(G190=CVSSv3!$D$11,CVSSv3!$D$37,IF(G190=CVSSv3!$E$11,CVSSv3!$E$37,"")))&amp;"/"&amp;CVSSv3!$B$12&amp;":"&amp;IF(G191=CVSSv3!$C$12,CVSSv3!$C$38,IF(G191=CVSSv3!$D$12,CVSSv3!$D$38,IF(G191=CVSSv3!$E$12,CVSSv3!$E$38,IF(G191=CVSSv3!$F$12,CVSSv3!$F$38,""))))&amp;"/"&amp;CVSSv3!$B$13&amp;":"&amp;IF(G192=CVSSv3!$C$13,CVSSv3!$C$39,IF(G192=CVSSv3!$D$13,CVSSv3!$D$39,IF(G192=CVSSv3!$E$13,CVSSv3!$E$39,IF(G192=CVSSv3!$F$13,CVSSv3!$F$39,""))))&amp;"/"&amp;CVSSv3!$B$14&amp;":"&amp;IF(G193=CVSSv3!$C$14,CVSSv3!$C$40,IF(G193=CVSSv3!$D$14,CVSSv3!$D$40,IF(G193=CVSSv3!$E$14,CVSSv3!$E$40,"")))&amp;")"</f>
        <v>(AV:/AC:/PR:/UI:/S:/C:/I:/A:/E:/RL:/RC:)</v>
      </c>
      <c r="G194" s="84"/>
      <c r="H194" s="86"/>
      <c r="I194" s="87"/>
      <c r="J194" s="87"/>
      <c r="K194" s="83"/>
      <c r="L194" s="83"/>
      <c r="M194" s="83"/>
    </row>
    <row r="195" spans="1:13" ht="15.75" customHeight="1" x14ac:dyDescent="0.25">
      <c r="A195" s="85">
        <v>17</v>
      </c>
      <c r="B195" s="83" t="s">
        <v>47</v>
      </c>
      <c r="C195" s="83" t="s">
        <v>14</v>
      </c>
      <c r="D195" s="83" t="s">
        <v>14</v>
      </c>
      <c r="E195" s="83" t="s">
        <v>14</v>
      </c>
      <c r="F195" s="5" t="str">
        <f>CVSSv3!$A$4</f>
        <v>Attack Vector</v>
      </c>
      <c r="G195" s="6" t="s">
        <v>15</v>
      </c>
      <c r="H195" s="86" t="e">
        <f>ROUNDUP((IF((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lt;=0,0,(IF(G199=CVSSv3!$C$8,ROUNDUP((MIN((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ROUNDUP((MIN(1.08*((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IF(G203=CVSSv3!$C$12,CVSSv3!$C$25,(IF(G203=CVSSv3!$D$12,CVSSv3!$D$25,(IF(G203=CVSSv3!$E$12,CVSSv3!$E$25,(IF(G203=CVSSv3!$F$12,CVSSv3!$F$25,""))))))))*(IF(G204=CVSSv3!$C$13,CVSSv3!$C$26,(IF(G204=CVSSv3!$D$13,CVSSv3!$D$26,(IF(G204=CVSSv3!$E$13,CVSSv3!$E$26,(IF(G204=CVSSv3!$F$13,CVSSv3!$F$26,""))))))))*(IF(G205=CVSSv3!$C$14,CVSSv3!$C$27,(IF(G205=CVSSv3!$D$14,CVSSv3!$D$27,(IF(G205=CVSSv3!$E$14,CVSSv3!$E$27,""))))))),1)</f>
        <v>#VALUE!</v>
      </c>
      <c r="I195" s="87">
        <v>0</v>
      </c>
      <c r="J195" s="87">
        <v>0</v>
      </c>
      <c r="K195" s="83" t="s">
        <v>14</v>
      </c>
      <c r="L195" s="83" t="s">
        <v>14</v>
      </c>
      <c r="M195" s="83" t="s">
        <v>16</v>
      </c>
    </row>
    <row r="196" spans="1:13" ht="15.75" x14ac:dyDescent="0.2">
      <c r="A196" s="85"/>
      <c r="B196" s="83"/>
      <c r="C196" s="83"/>
      <c r="D196" s="83"/>
      <c r="E196" s="83"/>
      <c r="F196" s="7" t="str">
        <f>CVSSv3!$A$5</f>
        <v>Attack Complexity</v>
      </c>
      <c r="G196" s="8" t="s">
        <v>32</v>
      </c>
      <c r="H196" s="86"/>
      <c r="I196" s="87"/>
      <c r="J196" s="87"/>
      <c r="K196" s="83"/>
      <c r="L196" s="83"/>
      <c r="M196" s="83"/>
    </row>
    <row r="197" spans="1:13" ht="15.75" x14ac:dyDescent="0.2">
      <c r="A197" s="85"/>
      <c r="B197" s="83"/>
      <c r="C197" s="83"/>
      <c r="D197" s="83"/>
      <c r="E197" s="83"/>
      <c r="F197" s="7" t="str">
        <f>CVSSv3!$A$6</f>
        <v>Privilege Required</v>
      </c>
      <c r="G197" s="8" t="s">
        <v>33</v>
      </c>
      <c r="H197" s="86"/>
      <c r="I197" s="87"/>
      <c r="J197" s="87"/>
      <c r="K197" s="83"/>
      <c r="L197" s="83"/>
      <c r="M197" s="83"/>
    </row>
    <row r="198" spans="1:13" ht="15.75" x14ac:dyDescent="0.2">
      <c r="A198" s="85"/>
      <c r="B198" s="83"/>
      <c r="C198" s="83"/>
      <c r="D198" s="83"/>
      <c r="E198" s="83"/>
      <c r="F198" s="7" t="str">
        <f>CVSSv3!$A$7</f>
        <v>User Interaction</v>
      </c>
      <c r="G198" s="8" t="s">
        <v>34</v>
      </c>
      <c r="H198" s="86"/>
      <c r="I198" s="87"/>
      <c r="J198" s="87"/>
      <c r="K198" s="83"/>
      <c r="L198" s="83"/>
      <c r="M198" s="83"/>
    </row>
    <row r="199" spans="1:13" ht="15.75" x14ac:dyDescent="0.2">
      <c r="A199" s="85"/>
      <c r="B199" s="83"/>
      <c r="C199" s="83"/>
      <c r="D199" s="83"/>
      <c r="E199" s="83"/>
      <c r="F199" s="7" t="str">
        <f>CVSSv3!$A$8</f>
        <v>Scope</v>
      </c>
      <c r="G199" s="8" t="s">
        <v>35</v>
      </c>
      <c r="H199" s="86"/>
      <c r="I199" s="87"/>
      <c r="J199" s="87"/>
      <c r="K199" s="83"/>
      <c r="L199" s="83"/>
      <c r="M199" s="83"/>
    </row>
    <row r="200" spans="1:13" ht="15.75" x14ac:dyDescent="0.2">
      <c r="A200" s="85"/>
      <c r="B200" s="83"/>
      <c r="C200" s="83"/>
      <c r="D200" s="83"/>
      <c r="E200" s="83"/>
      <c r="F200" s="7" t="str">
        <f>CVSSv3!$A$9</f>
        <v>Confidentiality Impact</v>
      </c>
      <c r="G200" s="8" t="s">
        <v>36</v>
      </c>
      <c r="H200" s="86"/>
      <c r="I200" s="87"/>
      <c r="J200" s="87"/>
      <c r="K200" s="83"/>
      <c r="L200" s="83"/>
      <c r="M200" s="83"/>
    </row>
    <row r="201" spans="1:13" ht="15.75" x14ac:dyDescent="0.2">
      <c r="A201" s="85"/>
      <c r="B201" s="83"/>
      <c r="C201" s="83"/>
      <c r="D201" s="83"/>
      <c r="E201" s="83"/>
      <c r="F201" s="7" t="str">
        <f>CVSSv3!$A$10</f>
        <v>Integrity Impact</v>
      </c>
      <c r="G201" s="8" t="s">
        <v>36</v>
      </c>
      <c r="H201" s="86"/>
      <c r="I201" s="87"/>
      <c r="J201" s="87"/>
      <c r="K201" s="83"/>
      <c r="L201" s="83"/>
      <c r="M201" s="83"/>
    </row>
    <row r="202" spans="1:13" ht="15.75" x14ac:dyDescent="0.2">
      <c r="A202" s="85"/>
      <c r="B202" s="83"/>
      <c r="C202" s="83"/>
      <c r="D202" s="83"/>
      <c r="E202" s="83"/>
      <c r="F202" s="7" t="str">
        <f>CVSSv3!$A$11</f>
        <v>Availability Impact</v>
      </c>
      <c r="G202" s="8" t="s">
        <v>36</v>
      </c>
      <c r="H202" s="86"/>
      <c r="I202" s="87"/>
      <c r="J202" s="87"/>
      <c r="K202" s="83"/>
      <c r="L202" s="83"/>
      <c r="M202" s="83"/>
    </row>
    <row r="203" spans="1:13" ht="15.75" x14ac:dyDescent="0.2">
      <c r="A203" s="85"/>
      <c r="B203" s="83"/>
      <c r="C203" s="83"/>
      <c r="D203" s="83"/>
      <c r="E203" s="83"/>
      <c r="F203" s="7" t="str">
        <f>CVSSv3!$A$12</f>
        <v>Exploit Code Maturity</v>
      </c>
      <c r="G203" s="8" t="s">
        <v>32</v>
      </c>
      <c r="H203" s="86"/>
      <c r="I203" s="87"/>
      <c r="J203" s="87"/>
      <c r="K203" s="83"/>
      <c r="L203" s="83"/>
      <c r="M203" s="83"/>
    </row>
    <row r="204" spans="1:13" ht="15.75" x14ac:dyDescent="0.2">
      <c r="A204" s="85"/>
      <c r="B204" s="83"/>
      <c r="C204" s="83"/>
      <c r="D204" s="83"/>
      <c r="E204" s="83"/>
      <c r="F204" s="7" t="str">
        <f>CVSSv3!$A$13</f>
        <v>Remediation Level</v>
      </c>
      <c r="G204" s="8" t="s">
        <v>37</v>
      </c>
      <c r="H204" s="86"/>
      <c r="I204" s="87"/>
      <c r="J204" s="87"/>
      <c r="K204" s="83"/>
      <c r="L204" s="83"/>
      <c r="M204" s="83"/>
    </row>
    <row r="205" spans="1:13" ht="15.75" x14ac:dyDescent="0.2">
      <c r="A205" s="85"/>
      <c r="B205" s="83"/>
      <c r="C205" s="83"/>
      <c r="D205" s="83"/>
      <c r="E205" s="83"/>
      <c r="F205" s="7" t="str">
        <f>CVSSv3!$A$14</f>
        <v>Report Confidence</v>
      </c>
      <c r="G205" s="8" t="s">
        <v>38</v>
      </c>
      <c r="H205" s="86"/>
      <c r="I205" s="87"/>
      <c r="J205" s="87"/>
      <c r="K205" s="83"/>
      <c r="L205" s="83"/>
      <c r="M205" s="83"/>
    </row>
    <row r="206" spans="1:13" ht="15.75" x14ac:dyDescent="0.2">
      <c r="A206" s="85"/>
      <c r="B206" s="83"/>
      <c r="C206" s="83"/>
      <c r="D206" s="83"/>
      <c r="E206" s="83"/>
      <c r="F206" s="84" t="str">
        <f>"("&amp;CVSSv3!$B$4&amp;":"&amp;IF(G195=CVSSv3!$C$4,CVSSv3!$C$30,IF(G195=CVSSv3!$D$4,CVSSv3!$D$30,IF(G195=CVSSv3!$E$4,CVSSv3!$E$30,IF(G195=CVSSv3!$F$4,CVSSv3!$F$30,""))))&amp;"/"&amp;CVSSv3!$B$5&amp;":"&amp;IF(G196=CVSSv3!$C$5,CVSSv3!$C$31,IF(G196=CVSSv3!$D$5,CVSSv3!$D$31,""))&amp;"/"&amp;CVSSv3!$B$6&amp;":"&amp;IF(G197=CVSSv3!$C$6,CVSSv3!$C$32,IF(G197=CVSSv3!$D$6,CVSSv3!$D$32,IF(G197=CVSSv3!$E$6,CVSSv3!$E$32,"")))&amp;"/"&amp;CVSSv3!$B$7&amp;":"&amp;IF(G198=CVSSv3!$C$7,CVSSv3!$C$33,IF(G198=CVSSv3!$D$7,CVSSv3!$D$33,""))&amp;"/"&amp;CVSSv3!$B$8&amp;":"&amp;IF(G199=CVSSv3!$C$8,CVSSv3!$C$34,IF(G199=CVSSv3!$D$8,CVSSv3!$D$34,""))&amp;"/"&amp;CVSSv3!$B$9&amp;":"&amp;IF(G200=CVSSv3!$C$9,CVSSv3!$C$35,IF(G200=CVSSv3!$D$9,CVSSv3!$D$35,IF(G200=CVSSv3!$E$9,CVSSv3!$E$35,"")))&amp;"/"&amp;CVSSv3!$B$10&amp;":"&amp;IF(G201=CVSSv3!$C$10,CVSSv3!$C$36,IF(G201=CVSSv3!$D$10,CVSSv3!$D$36,IF(G201=CVSSv3!$E$10,CVSSv3!$E$36,"")))&amp;"/"&amp;CVSSv3!$B$11&amp;":"&amp;IF(G202=CVSSv3!$C$11,CVSSv3!$C$37,IF(G202=CVSSv3!$D$11,CVSSv3!$D$37,IF(G202=CVSSv3!$E$11,CVSSv3!$E$37,"")))&amp;"/"&amp;CVSSv3!$B$12&amp;":"&amp;IF(G203=CVSSv3!$C$12,CVSSv3!$C$38,IF(G203=CVSSv3!$D$12,CVSSv3!$D$38,IF(G203=CVSSv3!$E$12,CVSSv3!$E$38,IF(G203=CVSSv3!$F$12,CVSSv3!$F$38,""))))&amp;"/"&amp;CVSSv3!$B$13&amp;":"&amp;IF(G204=CVSSv3!$C$13,CVSSv3!$C$39,IF(G204=CVSSv3!$D$13,CVSSv3!$D$39,IF(G204=CVSSv3!$E$13,CVSSv3!$E$39,IF(G204=CVSSv3!$F$13,CVSSv3!$F$39,""))))&amp;"/"&amp;CVSSv3!$B$14&amp;":"&amp;IF(G205=CVSSv3!$C$14,CVSSv3!$C$40,IF(G205=CVSSv3!$D$14,CVSSv3!$D$40,IF(G205=CVSSv3!$E$14,CVSSv3!$E$40,"")))&amp;")"</f>
        <v>(AV:/AC:/PR:/UI:/S:/C:/I:/A:/E:/RL:/RC:)</v>
      </c>
      <c r="G206" s="84"/>
      <c r="H206" s="86"/>
      <c r="I206" s="87"/>
      <c r="J206" s="87"/>
      <c r="K206" s="83"/>
      <c r="L206" s="83"/>
      <c r="M206" s="83"/>
    </row>
    <row r="207" spans="1:13" ht="15.75" customHeight="1" x14ac:dyDescent="0.25">
      <c r="A207" s="85">
        <v>18</v>
      </c>
      <c r="B207" s="83" t="s">
        <v>48</v>
      </c>
      <c r="C207" s="83" t="s">
        <v>14</v>
      </c>
      <c r="D207" s="83" t="s">
        <v>14</v>
      </c>
      <c r="E207" s="83" t="s">
        <v>14</v>
      </c>
      <c r="F207" s="5" t="str">
        <f>CVSSv3!$A$4</f>
        <v>Attack Vector</v>
      </c>
      <c r="G207" s="6" t="s">
        <v>15</v>
      </c>
      <c r="H207" s="86" t="e">
        <f>ROUNDUP((IF((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lt;=0,0,(IF(G211=CVSSv3!$C$8,ROUNDUP((MIN((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ROUNDUP((MIN(1.08*((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IF(G215=CVSSv3!$C$12,CVSSv3!$C$25,(IF(G215=CVSSv3!$D$12,CVSSv3!$D$25,(IF(G215=CVSSv3!$E$12,CVSSv3!$E$25,(IF(G215=CVSSv3!$F$12,CVSSv3!$F$25,""))))))))*(IF(G216=CVSSv3!$C$13,CVSSv3!$C$26,(IF(G216=CVSSv3!$D$13,CVSSv3!$D$26,(IF(G216=CVSSv3!$E$13,CVSSv3!$E$26,(IF(G216=CVSSv3!$F$13,CVSSv3!$F$26,""))))))))*(IF(G217=CVSSv3!$C$14,CVSSv3!$C$27,(IF(G217=CVSSv3!$D$14,CVSSv3!$D$27,(IF(G217=CVSSv3!$E$14,CVSSv3!$E$27,""))))))),1)</f>
        <v>#VALUE!</v>
      </c>
      <c r="I207" s="87">
        <v>0</v>
      </c>
      <c r="J207" s="87">
        <v>0</v>
      </c>
      <c r="K207" s="83" t="s">
        <v>14</v>
      </c>
      <c r="L207" s="83" t="s">
        <v>14</v>
      </c>
      <c r="M207" s="83" t="s">
        <v>16</v>
      </c>
    </row>
    <row r="208" spans="1:13" ht="15.75" x14ac:dyDescent="0.2">
      <c r="A208" s="85"/>
      <c r="B208" s="83"/>
      <c r="C208" s="83"/>
      <c r="D208" s="83"/>
      <c r="E208" s="83"/>
      <c r="F208" s="7" t="str">
        <f>CVSSv3!$A$5</f>
        <v>Attack Complexity</v>
      </c>
      <c r="G208" s="8" t="s">
        <v>32</v>
      </c>
      <c r="H208" s="86"/>
      <c r="I208" s="87"/>
      <c r="J208" s="87"/>
      <c r="K208" s="83"/>
      <c r="L208" s="83"/>
      <c r="M208" s="83"/>
    </row>
    <row r="209" spans="1:13" ht="15.75" x14ac:dyDescent="0.2">
      <c r="A209" s="85"/>
      <c r="B209" s="83"/>
      <c r="C209" s="83"/>
      <c r="D209" s="83"/>
      <c r="E209" s="83"/>
      <c r="F209" s="7" t="str">
        <f>CVSSv3!$A$6</f>
        <v>Privilege Required</v>
      </c>
      <c r="G209" s="8" t="s">
        <v>33</v>
      </c>
      <c r="H209" s="86"/>
      <c r="I209" s="87"/>
      <c r="J209" s="87"/>
      <c r="K209" s="83"/>
      <c r="L209" s="83"/>
      <c r="M209" s="83"/>
    </row>
    <row r="210" spans="1:13" ht="15.75" x14ac:dyDescent="0.2">
      <c r="A210" s="85"/>
      <c r="B210" s="83"/>
      <c r="C210" s="83"/>
      <c r="D210" s="83"/>
      <c r="E210" s="83"/>
      <c r="F210" s="7" t="str">
        <f>CVSSv3!$A$7</f>
        <v>User Interaction</v>
      </c>
      <c r="G210" s="8" t="s">
        <v>34</v>
      </c>
      <c r="H210" s="86"/>
      <c r="I210" s="87"/>
      <c r="J210" s="87"/>
      <c r="K210" s="83"/>
      <c r="L210" s="83"/>
      <c r="M210" s="83"/>
    </row>
    <row r="211" spans="1:13" ht="15.75" x14ac:dyDescent="0.2">
      <c r="A211" s="85"/>
      <c r="B211" s="83"/>
      <c r="C211" s="83"/>
      <c r="D211" s="83"/>
      <c r="E211" s="83"/>
      <c r="F211" s="7" t="str">
        <f>CVSSv3!$A$8</f>
        <v>Scope</v>
      </c>
      <c r="G211" s="8" t="s">
        <v>35</v>
      </c>
      <c r="H211" s="86"/>
      <c r="I211" s="87"/>
      <c r="J211" s="87"/>
      <c r="K211" s="83"/>
      <c r="L211" s="83"/>
      <c r="M211" s="83"/>
    </row>
    <row r="212" spans="1:13" ht="15.75" x14ac:dyDescent="0.2">
      <c r="A212" s="85"/>
      <c r="B212" s="83"/>
      <c r="C212" s="83"/>
      <c r="D212" s="83"/>
      <c r="E212" s="83"/>
      <c r="F212" s="7" t="str">
        <f>CVSSv3!$A$9</f>
        <v>Confidentiality Impact</v>
      </c>
      <c r="G212" s="8" t="s">
        <v>36</v>
      </c>
      <c r="H212" s="86"/>
      <c r="I212" s="87"/>
      <c r="J212" s="87"/>
      <c r="K212" s="83"/>
      <c r="L212" s="83"/>
      <c r="M212" s="83"/>
    </row>
    <row r="213" spans="1:13" ht="15.75" x14ac:dyDescent="0.2">
      <c r="A213" s="85"/>
      <c r="B213" s="83"/>
      <c r="C213" s="83"/>
      <c r="D213" s="83"/>
      <c r="E213" s="83"/>
      <c r="F213" s="7" t="str">
        <f>CVSSv3!$A$10</f>
        <v>Integrity Impact</v>
      </c>
      <c r="G213" s="8" t="s">
        <v>36</v>
      </c>
      <c r="H213" s="86"/>
      <c r="I213" s="87"/>
      <c r="J213" s="87"/>
      <c r="K213" s="83"/>
      <c r="L213" s="83"/>
      <c r="M213" s="83"/>
    </row>
    <row r="214" spans="1:13" ht="15.75" x14ac:dyDescent="0.2">
      <c r="A214" s="85"/>
      <c r="B214" s="83"/>
      <c r="C214" s="83"/>
      <c r="D214" s="83"/>
      <c r="E214" s="83"/>
      <c r="F214" s="7" t="str">
        <f>CVSSv3!$A$11</f>
        <v>Availability Impact</v>
      </c>
      <c r="G214" s="8" t="s">
        <v>36</v>
      </c>
      <c r="H214" s="86"/>
      <c r="I214" s="87"/>
      <c r="J214" s="87"/>
      <c r="K214" s="83"/>
      <c r="L214" s="83"/>
      <c r="M214" s="83"/>
    </row>
    <row r="215" spans="1:13" ht="15.75" x14ac:dyDescent="0.2">
      <c r="A215" s="85"/>
      <c r="B215" s="83"/>
      <c r="C215" s="83"/>
      <c r="D215" s="83"/>
      <c r="E215" s="83"/>
      <c r="F215" s="7" t="str">
        <f>CVSSv3!$A$12</f>
        <v>Exploit Code Maturity</v>
      </c>
      <c r="G215" s="8" t="s">
        <v>32</v>
      </c>
      <c r="H215" s="86"/>
      <c r="I215" s="87"/>
      <c r="J215" s="87"/>
      <c r="K215" s="83"/>
      <c r="L215" s="83"/>
      <c r="M215" s="83"/>
    </row>
    <row r="216" spans="1:13" ht="15.75" x14ac:dyDescent="0.2">
      <c r="A216" s="85"/>
      <c r="B216" s="83"/>
      <c r="C216" s="83"/>
      <c r="D216" s="83"/>
      <c r="E216" s="83"/>
      <c r="F216" s="7" t="str">
        <f>CVSSv3!$A$13</f>
        <v>Remediation Level</v>
      </c>
      <c r="G216" s="8" t="s">
        <v>37</v>
      </c>
      <c r="H216" s="86"/>
      <c r="I216" s="87"/>
      <c r="J216" s="87"/>
      <c r="K216" s="83"/>
      <c r="L216" s="83"/>
      <c r="M216" s="83"/>
    </row>
    <row r="217" spans="1:13" ht="15.75" x14ac:dyDescent="0.2">
      <c r="A217" s="85"/>
      <c r="B217" s="83"/>
      <c r="C217" s="83"/>
      <c r="D217" s="83"/>
      <c r="E217" s="83"/>
      <c r="F217" s="7" t="str">
        <f>CVSSv3!$A$14</f>
        <v>Report Confidence</v>
      </c>
      <c r="G217" s="8" t="s">
        <v>38</v>
      </c>
      <c r="H217" s="86"/>
      <c r="I217" s="87"/>
      <c r="J217" s="87"/>
      <c r="K217" s="83"/>
      <c r="L217" s="83"/>
      <c r="M217" s="83"/>
    </row>
    <row r="218" spans="1:13" ht="15.75" x14ac:dyDescent="0.2">
      <c r="A218" s="85"/>
      <c r="B218" s="83"/>
      <c r="C218" s="83"/>
      <c r="D218" s="83"/>
      <c r="E218" s="83"/>
      <c r="F218" s="84" t="str">
        <f>"("&amp;CVSSv3!$B$4&amp;":"&amp;IF(G207=CVSSv3!$C$4,CVSSv3!$C$30,IF(G207=CVSSv3!$D$4,CVSSv3!$D$30,IF(G207=CVSSv3!$E$4,CVSSv3!$E$30,IF(G207=CVSSv3!$F$4,CVSSv3!$F$30,""))))&amp;"/"&amp;CVSSv3!$B$5&amp;":"&amp;IF(G208=CVSSv3!$C$5,CVSSv3!$C$31,IF(G208=CVSSv3!$D$5,CVSSv3!$D$31,""))&amp;"/"&amp;CVSSv3!$B$6&amp;":"&amp;IF(G209=CVSSv3!$C$6,CVSSv3!$C$32,IF(G209=CVSSv3!$D$6,CVSSv3!$D$32,IF(G209=CVSSv3!$E$6,CVSSv3!$E$32,"")))&amp;"/"&amp;CVSSv3!$B$7&amp;":"&amp;IF(G210=CVSSv3!$C$7,CVSSv3!$C$33,IF(G210=CVSSv3!$D$7,CVSSv3!$D$33,""))&amp;"/"&amp;CVSSv3!$B$8&amp;":"&amp;IF(G211=CVSSv3!$C$8,CVSSv3!$C$34,IF(G211=CVSSv3!$D$8,CVSSv3!$D$34,""))&amp;"/"&amp;CVSSv3!$B$9&amp;":"&amp;IF(G212=CVSSv3!$C$9,CVSSv3!$C$35,IF(G212=CVSSv3!$D$9,CVSSv3!$D$35,IF(G212=CVSSv3!$E$9,CVSSv3!$E$35,"")))&amp;"/"&amp;CVSSv3!$B$10&amp;":"&amp;IF(G213=CVSSv3!$C$10,CVSSv3!$C$36,IF(G213=CVSSv3!$D$10,CVSSv3!$D$36,IF(G213=CVSSv3!$E$10,CVSSv3!$E$36,"")))&amp;"/"&amp;CVSSv3!$B$11&amp;":"&amp;IF(G214=CVSSv3!$C$11,CVSSv3!$C$37,IF(G214=CVSSv3!$D$11,CVSSv3!$D$37,IF(G214=CVSSv3!$E$11,CVSSv3!$E$37,"")))&amp;"/"&amp;CVSSv3!$B$12&amp;":"&amp;IF(G215=CVSSv3!$C$12,CVSSv3!$C$38,IF(G215=CVSSv3!$D$12,CVSSv3!$D$38,IF(G215=CVSSv3!$E$12,CVSSv3!$E$38,IF(G215=CVSSv3!$F$12,CVSSv3!$F$38,""))))&amp;"/"&amp;CVSSv3!$B$13&amp;":"&amp;IF(G216=CVSSv3!$C$13,CVSSv3!$C$39,IF(G216=CVSSv3!$D$13,CVSSv3!$D$39,IF(G216=CVSSv3!$E$13,CVSSv3!$E$39,IF(G216=CVSSv3!$F$13,CVSSv3!$F$39,""))))&amp;"/"&amp;CVSSv3!$B$14&amp;":"&amp;IF(G217=CVSSv3!$C$14,CVSSv3!$C$40,IF(G217=CVSSv3!$D$14,CVSSv3!$D$40,IF(G217=CVSSv3!$E$14,CVSSv3!$E$40,"")))&amp;")"</f>
        <v>(AV:/AC:/PR:/UI:/S:/C:/I:/A:/E:/RL:/RC:)</v>
      </c>
      <c r="G218" s="84"/>
      <c r="H218" s="86"/>
      <c r="I218" s="87"/>
      <c r="J218" s="87"/>
      <c r="K218" s="83"/>
      <c r="L218" s="83"/>
      <c r="M218" s="83"/>
    </row>
    <row r="219" spans="1:13" ht="15.75" customHeight="1" x14ac:dyDescent="0.25">
      <c r="A219" s="85">
        <v>19</v>
      </c>
      <c r="B219" s="83" t="s">
        <v>49</v>
      </c>
      <c r="C219" s="83" t="s">
        <v>14</v>
      </c>
      <c r="D219" s="83" t="s">
        <v>14</v>
      </c>
      <c r="E219" s="83" t="s">
        <v>14</v>
      </c>
      <c r="F219" s="5" t="str">
        <f>CVSSv3!$A$4</f>
        <v>Attack Vector</v>
      </c>
      <c r="G219" s="6" t="s">
        <v>15</v>
      </c>
      <c r="H219" s="86" t="e">
        <f>ROUNDUP((IF((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lt;=0,0,(IF(G223=CVSSv3!$C$8,ROUNDUP((MIN((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ROUNDUP((MIN(1.08*((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IF(G227=CVSSv3!$C$12,CVSSv3!$C$25,(IF(G227=CVSSv3!$D$12,CVSSv3!$D$25,(IF(G227=CVSSv3!$E$12,CVSSv3!$E$25,(IF(G227=CVSSv3!$F$12,CVSSv3!$F$25,""))))))))*(IF(G228=CVSSv3!$C$13,CVSSv3!$C$26,(IF(G228=CVSSv3!$D$13,CVSSv3!$D$26,(IF(G228=CVSSv3!$E$13,CVSSv3!$E$26,(IF(G228=CVSSv3!$F$13,CVSSv3!$F$26,""))))))))*(IF(G229=CVSSv3!$C$14,CVSSv3!$C$27,(IF(G229=CVSSv3!$D$14,CVSSv3!$D$27,(IF(G229=CVSSv3!$E$14,CVSSv3!$E$27,""))))))),1)</f>
        <v>#VALUE!</v>
      </c>
      <c r="I219" s="87">
        <v>0</v>
      </c>
      <c r="J219" s="87">
        <v>0</v>
      </c>
      <c r="K219" s="83" t="s">
        <v>14</v>
      </c>
      <c r="L219" s="83" t="s">
        <v>14</v>
      </c>
      <c r="M219" s="83" t="s">
        <v>16</v>
      </c>
    </row>
    <row r="220" spans="1:13" ht="15.75" x14ac:dyDescent="0.2">
      <c r="A220" s="85"/>
      <c r="B220" s="83"/>
      <c r="C220" s="83"/>
      <c r="D220" s="83"/>
      <c r="E220" s="83"/>
      <c r="F220" s="7" t="str">
        <f>CVSSv3!$A$5</f>
        <v>Attack Complexity</v>
      </c>
      <c r="G220" s="8" t="s">
        <v>32</v>
      </c>
      <c r="H220" s="86"/>
      <c r="I220" s="87"/>
      <c r="J220" s="87"/>
      <c r="K220" s="83"/>
      <c r="L220" s="83"/>
      <c r="M220" s="83"/>
    </row>
    <row r="221" spans="1:13" ht="15.75" x14ac:dyDescent="0.2">
      <c r="A221" s="85"/>
      <c r="B221" s="83"/>
      <c r="C221" s="83"/>
      <c r="D221" s="83"/>
      <c r="E221" s="83"/>
      <c r="F221" s="7" t="str">
        <f>CVSSv3!$A$6</f>
        <v>Privilege Required</v>
      </c>
      <c r="G221" s="8" t="s">
        <v>33</v>
      </c>
      <c r="H221" s="86"/>
      <c r="I221" s="87"/>
      <c r="J221" s="87"/>
      <c r="K221" s="83"/>
      <c r="L221" s="83"/>
      <c r="M221" s="83"/>
    </row>
    <row r="222" spans="1:13" ht="15.75" x14ac:dyDescent="0.2">
      <c r="A222" s="85"/>
      <c r="B222" s="83"/>
      <c r="C222" s="83"/>
      <c r="D222" s="83"/>
      <c r="E222" s="83"/>
      <c r="F222" s="7" t="str">
        <f>CVSSv3!$A$7</f>
        <v>User Interaction</v>
      </c>
      <c r="G222" s="8" t="s">
        <v>34</v>
      </c>
      <c r="H222" s="86"/>
      <c r="I222" s="87"/>
      <c r="J222" s="87"/>
      <c r="K222" s="83"/>
      <c r="L222" s="83"/>
      <c r="M222" s="83"/>
    </row>
    <row r="223" spans="1:13" ht="15.75" x14ac:dyDescent="0.2">
      <c r="A223" s="85"/>
      <c r="B223" s="83"/>
      <c r="C223" s="83"/>
      <c r="D223" s="83"/>
      <c r="E223" s="83"/>
      <c r="F223" s="7" t="str">
        <f>CVSSv3!$A$8</f>
        <v>Scope</v>
      </c>
      <c r="G223" s="8" t="s">
        <v>35</v>
      </c>
      <c r="H223" s="86"/>
      <c r="I223" s="87"/>
      <c r="J223" s="87"/>
      <c r="K223" s="83"/>
      <c r="L223" s="83"/>
      <c r="M223" s="83"/>
    </row>
    <row r="224" spans="1:13" ht="15.75" x14ac:dyDescent="0.2">
      <c r="A224" s="85"/>
      <c r="B224" s="83"/>
      <c r="C224" s="83"/>
      <c r="D224" s="83"/>
      <c r="E224" s="83"/>
      <c r="F224" s="7" t="str">
        <f>CVSSv3!$A$9</f>
        <v>Confidentiality Impact</v>
      </c>
      <c r="G224" s="8" t="s">
        <v>36</v>
      </c>
      <c r="H224" s="86"/>
      <c r="I224" s="87"/>
      <c r="J224" s="87"/>
      <c r="K224" s="83"/>
      <c r="L224" s="83"/>
      <c r="M224" s="83"/>
    </row>
    <row r="225" spans="1:13" ht="15.75" x14ac:dyDescent="0.2">
      <c r="A225" s="85"/>
      <c r="B225" s="83"/>
      <c r="C225" s="83"/>
      <c r="D225" s="83"/>
      <c r="E225" s="83"/>
      <c r="F225" s="7" t="str">
        <f>CVSSv3!$A$10</f>
        <v>Integrity Impact</v>
      </c>
      <c r="G225" s="8" t="s">
        <v>36</v>
      </c>
      <c r="H225" s="86"/>
      <c r="I225" s="87"/>
      <c r="J225" s="87"/>
      <c r="K225" s="83"/>
      <c r="L225" s="83"/>
      <c r="M225" s="83"/>
    </row>
    <row r="226" spans="1:13" ht="15.75" x14ac:dyDescent="0.2">
      <c r="A226" s="85"/>
      <c r="B226" s="83"/>
      <c r="C226" s="83"/>
      <c r="D226" s="83"/>
      <c r="E226" s="83"/>
      <c r="F226" s="7" t="str">
        <f>CVSSv3!$A$11</f>
        <v>Availability Impact</v>
      </c>
      <c r="G226" s="8" t="s">
        <v>36</v>
      </c>
      <c r="H226" s="86"/>
      <c r="I226" s="87"/>
      <c r="J226" s="87"/>
      <c r="K226" s="83"/>
      <c r="L226" s="83"/>
      <c r="M226" s="83"/>
    </row>
    <row r="227" spans="1:13" ht="15.75" x14ac:dyDescent="0.2">
      <c r="A227" s="85"/>
      <c r="B227" s="83"/>
      <c r="C227" s="83"/>
      <c r="D227" s="83"/>
      <c r="E227" s="83"/>
      <c r="F227" s="7" t="str">
        <f>CVSSv3!$A$12</f>
        <v>Exploit Code Maturity</v>
      </c>
      <c r="G227" s="8" t="s">
        <v>32</v>
      </c>
      <c r="H227" s="86"/>
      <c r="I227" s="87"/>
      <c r="J227" s="87"/>
      <c r="K227" s="83"/>
      <c r="L227" s="83"/>
      <c r="M227" s="83"/>
    </row>
    <row r="228" spans="1:13" ht="15.75" x14ac:dyDescent="0.2">
      <c r="A228" s="85"/>
      <c r="B228" s="83"/>
      <c r="C228" s="83"/>
      <c r="D228" s="83"/>
      <c r="E228" s="83"/>
      <c r="F228" s="7" t="str">
        <f>CVSSv3!$A$13</f>
        <v>Remediation Level</v>
      </c>
      <c r="G228" s="8" t="s">
        <v>37</v>
      </c>
      <c r="H228" s="86"/>
      <c r="I228" s="87"/>
      <c r="J228" s="87"/>
      <c r="K228" s="83"/>
      <c r="L228" s="83"/>
      <c r="M228" s="83"/>
    </row>
    <row r="229" spans="1:13" ht="15.75" x14ac:dyDescent="0.2">
      <c r="A229" s="85"/>
      <c r="B229" s="83"/>
      <c r="C229" s="83"/>
      <c r="D229" s="83"/>
      <c r="E229" s="83"/>
      <c r="F229" s="7" t="str">
        <f>CVSSv3!$A$14</f>
        <v>Report Confidence</v>
      </c>
      <c r="G229" s="8" t="s">
        <v>38</v>
      </c>
      <c r="H229" s="86"/>
      <c r="I229" s="87"/>
      <c r="J229" s="87"/>
      <c r="K229" s="83"/>
      <c r="L229" s="83"/>
      <c r="M229" s="83"/>
    </row>
    <row r="230" spans="1:13" ht="15.75" x14ac:dyDescent="0.2">
      <c r="A230" s="85"/>
      <c r="B230" s="83"/>
      <c r="C230" s="83"/>
      <c r="D230" s="83"/>
      <c r="E230" s="83"/>
      <c r="F230" s="84" t="str">
        <f>"("&amp;CVSSv3!$B$4&amp;":"&amp;IF(G219=CVSSv3!$C$4,CVSSv3!$C$30,IF(G219=CVSSv3!$D$4,CVSSv3!$D$30,IF(G219=CVSSv3!$E$4,CVSSv3!$E$30,IF(G219=CVSSv3!$F$4,CVSSv3!$F$30,""))))&amp;"/"&amp;CVSSv3!$B$5&amp;":"&amp;IF(G220=CVSSv3!$C$5,CVSSv3!$C$31,IF(G220=CVSSv3!$D$5,CVSSv3!$D$31,""))&amp;"/"&amp;CVSSv3!$B$6&amp;":"&amp;IF(G221=CVSSv3!$C$6,CVSSv3!$C$32,IF(G221=CVSSv3!$D$6,CVSSv3!$D$32,IF(G221=CVSSv3!$E$6,CVSSv3!$E$32,"")))&amp;"/"&amp;CVSSv3!$B$7&amp;":"&amp;IF(G222=CVSSv3!$C$7,CVSSv3!$C$33,IF(G222=CVSSv3!$D$7,CVSSv3!$D$33,""))&amp;"/"&amp;CVSSv3!$B$8&amp;":"&amp;IF(G223=CVSSv3!$C$8,CVSSv3!$C$34,IF(G223=CVSSv3!$D$8,CVSSv3!$D$34,""))&amp;"/"&amp;CVSSv3!$B$9&amp;":"&amp;IF(G224=CVSSv3!$C$9,CVSSv3!$C$35,IF(G224=CVSSv3!$D$9,CVSSv3!$D$35,IF(G224=CVSSv3!$E$9,CVSSv3!$E$35,"")))&amp;"/"&amp;CVSSv3!$B$10&amp;":"&amp;IF(G225=CVSSv3!$C$10,CVSSv3!$C$36,IF(G225=CVSSv3!$D$10,CVSSv3!$D$36,IF(G225=CVSSv3!$E$10,CVSSv3!$E$36,"")))&amp;"/"&amp;CVSSv3!$B$11&amp;":"&amp;IF(G226=CVSSv3!$C$11,CVSSv3!$C$37,IF(G226=CVSSv3!$D$11,CVSSv3!$D$37,IF(G226=CVSSv3!$E$11,CVSSv3!$E$37,"")))&amp;"/"&amp;CVSSv3!$B$12&amp;":"&amp;IF(G227=CVSSv3!$C$12,CVSSv3!$C$38,IF(G227=CVSSv3!$D$12,CVSSv3!$D$38,IF(G227=CVSSv3!$E$12,CVSSv3!$E$38,IF(G227=CVSSv3!$F$12,CVSSv3!$F$38,""))))&amp;"/"&amp;CVSSv3!$B$13&amp;":"&amp;IF(G228=CVSSv3!$C$13,CVSSv3!$C$39,IF(G228=CVSSv3!$D$13,CVSSv3!$D$39,IF(G228=CVSSv3!$E$13,CVSSv3!$E$39,IF(G228=CVSSv3!$F$13,CVSSv3!$F$39,""))))&amp;"/"&amp;CVSSv3!$B$14&amp;":"&amp;IF(G229=CVSSv3!$C$14,CVSSv3!$C$40,IF(G229=CVSSv3!$D$14,CVSSv3!$D$40,IF(G229=CVSSv3!$E$14,CVSSv3!$E$40,"")))&amp;")"</f>
        <v>(AV:/AC:/PR:/UI:/S:/C:/I:/A:/E:/RL:/RC:)</v>
      </c>
      <c r="G230" s="84"/>
      <c r="H230" s="86"/>
      <c r="I230" s="87"/>
      <c r="J230" s="87"/>
      <c r="K230" s="83"/>
      <c r="L230" s="83"/>
      <c r="M230" s="83"/>
    </row>
    <row r="231" spans="1:13" ht="15.75" customHeight="1" x14ac:dyDescent="0.25">
      <c r="A231" s="85">
        <v>20</v>
      </c>
      <c r="B231" s="83" t="s">
        <v>50</v>
      </c>
      <c r="C231" s="83" t="s">
        <v>14</v>
      </c>
      <c r="D231" s="83" t="s">
        <v>14</v>
      </c>
      <c r="E231" s="83" t="s">
        <v>14</v>
      </c>
      <c r="F231" s="5" t="str">
        <f>CVSSv3!$A$4</f>
        <v>Attack Vector</v>
      </c>
      <c r="G231" s="6" t="s">
        <v>15</v>
      </c>
      <c r="H231" s="86" t="e">
        <f>ROUNDUP((IF((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lt;=0,0,(IF(G235=CVSSv3!$C$8,ROUNDUP((MIN((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ROUNDUP((MIN(1.08*((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IF(G239=CVSSv3!$C$12,CVSSv3!$C$25,(IF(G239=CVSSv3!$D$12,CVSSv3!$D$25,(IF(G239=CVSSv3!$E$12,CVSSv3!$E$25,(IF(G239=CVSSv3!$F$12,CVSSv3!$F$25,""))))))))*(IF(G240=CVSSv3!$C$13,CVSSv3!$C$26,(IF(G240=CVSSv3!$D$13,CVSSv3!$D$26,(IF(G240=CVSSv3!$E$13,CVSSv3!$E$26,(IF(G240=CVSSv3!$F$13,CVSSv3!$F$26,""))))))))*(IF(G241=CVSSv3!$C$14,CVSSv3!$C$27,(IF(G241=CVSSv3!$D$14,CVSSv3!$D$27,(IF(G241=CVSSv3!$E$14,CVSSv3!$E$27,""))))))),1)</f>
        <v>#VALUE!</v>
      </c>
      <c r="I231" s="87">
        <v>0</v>
      </c>
      <c r="J231" s="87">
        <v>0</v>
      </c>
      <c r="K231" s="83" t="s">
        <v>14</v>
      </c>
      <c r="L231" s="83" t="s">
        <v>14</v>
      </c>
      <c r="M231" s="83" t="s">
        <v>16</v>
      </c>
    </row>
    <row r="232" spans="1:13" ht="15.75" x14ac:dyDescent="0.2">
      <c r="A232" s="85"/>
      <c r="B232" s="83"/>
      <c r="C232" s="83"/>
      <c r="D232" s="83"/>
      <c r="E232" s="83"/>
      <c r="F232" s="7" t="str">
        <f>CVSSv3!$A$5</f>
        <v>Attack Complexity</v>
      </c>
      <c r="G232" s="8" t="s">
        <v>32</v>
      </c>
      <c r="H232" s="86"/>
      <c r="I232" s="87"/>
      <c r="J232" s="87"/>
      <c r="K232" s="83"/>
      <c r="L232" s="83"/>
      <c r="M232" s="83"/>
    </row>
    <row r="233" spans="1:13" ht="15.75" x14ac:dyDescent="0.2">
      <c r="A233" s="85"/>
      <c r="B233" s="83"/>
      <c r="C233" s="83"/>
      <c r="D233" s="83"/>
      <c r="E233" s="83"/>
      <c r="F233" s="7" t="str">
        <f>CVSSv3!$A$6</f>
        <v>Privilege Required</v>
      </c>
      <c r="G233" s="8" t="s">
        <v>33</v>
      </c>
      <c r="H233" s="86"/>
      <c r="I233" s="87"/>
      <c r="J233" s="87"/>
      <c r="K233" s="83"/>
      <c r="L233" s="83"/>
      <c r="M233" s="83"/>
    </row>
    <row r="234" spans="1:13" ht="15.75" x14ac:dyDescent="0.2">
      <c r="A234" s="85"/>
      <c r="B234" s="83"/>
      <c r="C234" s="83"/>
      <c r="D234" s="83"/>
      <c r="E234" s="83"/>
      <c r="F234" s="7" t="str">
        <f>CVSSv3!$A$7</f>
        <v>User Interaction</v>
      </c>
      <c r="G234" s="8" t="s">
        <v>34</v>
      </c>
      <c r="H234" s="86"/>
      <c r="I234" s="87"/>
      <c r="J234" s="87"/>
      <c r="K234" s="83"/>
      <c r="L234" s="83"/>
      <c r="M234" s="83"/>
    </row>
    <row r="235" spans="1:13" ht="15.75" x14ac:dyDescent="0.2">
      <c r="A235" s="85"/>
      <c r="B235" s="83"/>
      <c r="C235" s="83"/>
      <c r="D235" s="83"/>
      <c r="E235" s="83"/>
      <c r="F235" s="7" t="str">
        <f>CVSSv3!$A$8</f>
        <v>Scope</v>
      </c>
      <c r="G235" s="8" t="s">
        <v>35</v>
      </c>
      <c r="H235" s="86"/>
      <c r="I235" s="87"/>
      <c r="J235" s="87"/>
      <c r="K235" s="83"/>
      <c r="L235" s="83"/>
      <c r="M235" s="83"/>
    </row>
    <row r="236" spans="1:13" ht="15.75" x14ac:dyDescent="0.2">
      <c r="A236" s="85"/>
      <c r="B236" s="83"/>
      <c r="C236" s="83"/>
      <c r="D236" s="83"/>
      <c r="E236" s="83"/>
      <c r="F236" s="7" t="str">
        <f>CVSSv3!$A$9</f>
        <v>Confidentiality Impact</v>
      </c>
      <c r="G236" s="8" t="s">
        <v>36</v>
      </c>
      <c r="H236" s="86"/>
      <c r="I236" s="87"/>
      <c r="J236" s="87"/>
      <c r="K236" s="83"/>
      <c r="L236" s="83"/>
      <c r="M236" s="83"/>
    </row>
    <row r="237" spans="1:13" ht="15.75" x14ac:dyDescent="0.2">
      <c r="A237" s="85"/>
      <c r="B237" s="83"/>
      <c r="C237" s="83"/>
      <c r="D237" s="83"/>
      <c r="E237" s="83"/>
      <c r="F237" s="7" t="str">
        <f>CVSSv3!$A$10</f>
        <v>Integrity Impact</v>
      </c>
      <c r="G237" s="8" t="s">
        <v>36</v>
      </c>
      <c r="H237" s="86"/>
      <c r="I237" s="87"/>
      <c r="J237" s="87"/>
      <c r="K237" s="83"/>
      <c r="L237" s="83"/>
      <c r="M237" s="83"/>
    </row>
    <row r="238" spans="1:13" ht="15.75" x14ac:dyDescent="0.2">
      <c r="A238" s="85"/>
      <c r="B238" s="83"/>
      <c r="C238" s="83"/>
      <c r="D238" s="83"/>
      <c r="E238" s="83"/>
      <c r="F238" s="7" t="str">
        <f>CVSSv3!$A$11</f>
        <v>Availability Impact</v>
      </c>
      <c r="G238" s="8" t="s">
        <v>36</v>
      </c>
      <c r="H238" s="86"/>
      <c r="I238" s="87"/>
      <c r="J238" s="87"/>
      <c r="K238" s="83"/>
      <c r="L238" s="83"/>
      <c r="M238" s="83"/>
    </row>
    <row r="239" spans="1:13" ht="15.75" x14ac:dyDescent="0.2">
      <c r="A239" s="85"/>
      <c r="B239" s="83"/>
      <c r="C239" s="83"/>
      <c r="D239" s="83"/>
      <c r="E239" s="83"/>
      <c r="F239" s="7" t="str">
        <f>CVSSv3!$A$12</f>
        <v>Exploit Code Maturity</v>
      </c>
      <c r="G239" s="8" t="s">
        <v>32</v>
      </c>
      <c r="H239" s="86"/>
      <c r="I239" s="87"/>
      <c r="J239" s="87"/>
      <c r="K239" s="83"/>
      <c r="L239" s="83"/>
      <c r="M239" s="83"/>
    </row>
    <row r="240" spans="1:13" ht="15.75" x14ac:dyDescent="0.2">
      <c r="A240" s="85"/>
      <c r="B240" s="83"/>
      <c r="C240" s="83"/>
      <c r="D240" s="83"/>
      <c r="E240" s="83"/>
      <c r="F240" s="7" t="str">
        <f>CVSSv3!$A$13</f>
        <v>Remediation Level</v>
      </c>
      <c r="G240" s="8" t="s">
        <v>37</v>
      </c>
      <c r="H240" s="86"/>
      <c r="I240" s="87"/>
      <c r="J240" s="87"/>
      <c r="K240" s="83"/>
      <c r="L240" s="83"/>
      <c r="M240" s="83"/>
    </row>
    <row r="241" spans="1:13" ht="15.75" x14ac:dyDescent="0.2">
      <c r="A241" s="85"/>
      <c r="B241" s="83"/>
      <c r="C241" s="83"/>
      <c r="D241" s="83"/>
      <c r="E241" s="83"/>
      <c r="F241" s="7" t="str">
        <f>CVSSv3!$A$14</f>
        <v>Report Confidence</v>
      </c>
      <c r="G241" s="8" t="s">
        <v>38</v>
      </c>
      <c r="H241" s="86"/>
      <c r="I241" s="87"/>
      <c r="J241" s="87"/>
      <c r="K241" s="83"/>
      <c r="L241" s="83"/>
      <c r="M241" s="83"/>
    </row>
    <row r="242" spans="1:13" ht="15.75" x14ac:dyDescent="0.2">
      <c r="A242" s="85"/>
      <c r="B242" s="83"/>
      <c r="C242" s="83"/>
      <c r="D242" s="83"/>
      <c r="E242" s="83"/>
      <c r="F242" s="84" t="str">
        <f>"("&amp;CVSSv3!$B$4&amp;":"&amp;IF(G231=CVSSv3!$C$4,CVSSv3!$C$30,IF(G231=CVSSv3!$D$4,CVSSv3!$D$30,IF(G231=CVSSv3!$E$4,CVSSv3!$E$30,IF(G231=CVSSv3!$F$4,CVSSv3!$F$30,""))))&amp;"/"&amp;CVSSv3!$B$5&amp;":"&amp;IF(G232=CVSSv3!$C$5,CVSSv3!$C$31,IF(G232=CVSSv3!$D$5,CVSSv3!$D$31,""))&amp;"/"&amp;CVSSv3!$B$6&amp;":"&amp;IF(G233=CVSSv3!$C$6,CVSSv3!$C$32,IF(G233=CVSSv3!$D$6,CVSSv3!$D$32,IF(G233=CVSSv3!$E$6,CVSSv3!$E$32,"")))&amp;"/"&amp;CVSSv3!$B$7&amp;":"&amp;IF(G234=CVSSv3!$C$7,CVSSv3!$C$33,IF(G234=CVSSv3!$D$7,CVSSv3!$D$33,""))&amp;"/"&amp;CVSSv3!$B$8&amp;":"&amp;IF(G235=CVSSv3!$C$8,CVSSv3!$C$34,IF(G235=CVSSv3!$D$8,CVSSv3!$D$34,""))&amp;"/"&amp;CVSSv3!$B$9&amp;":"&amp;IF(G236=CVSSv3!$C$9,CVSSv3!$C$35,IF(G236=CVSSv3!$D$9,CVSSv3!$D$35,IF(G236=CVSSv3!$E$9,CVSSv3!$E$35,"")))&amp;"/"&amp;CVSSv3!$B$10&amp;":"&amp;IF(G237=CVSSv3!$C$10,CVSSv3!$C$36,IF(G237=CVSSv3!$D$10,CVSSv3!$D$36,IF(G237=CVSSv3!$E$10,CVSSv3!$E$36,"")))&amp;"/"&amp;CVSSv3!$B$11&amp;":"&amp;IF(G238=CVSSv3!$C$11,CVSSv3!$C$37,IF(G238=CVSSv3!$D$11,CVSSv3!$D$37,IF(G238=CVSSv3!$E$11,CVSSv3!$E$37,"")))&amp;"/"&amp;CVSSv3!$B$12&amp;":"&amp;IF(G239=CVSSv3!$C$12,CVSSv3!$C$38,IF(G239=CVSSv3!$D$12,CVSSv3!$D$38,IF(G239=CVSSv3!$E$12,CVSSv3!$E$38,IF(G239=CVSSv3!$F$12,CVSSv3!$F$38,""))))&amp;"/"&amp;CVSSv3!$B$13&amp;":"&amp;IF(G240=CVSSv3!$C$13,CVSSv3!$C$39,IF(G240=CVSSv3!$D$13,CVSSv3!$D$39,IF(G240=CVSSv3!$E$13,CVSSv3!$E$39,IF(G240=CVSSv3!$F$13,CVSSv3!$F$39,""))))&amp;"/"&amp;CVSSv3!$B$14&amp;":"&amp;IF(G241=CVSSv3!$C$14,CVSSv3!$C$40,IF(G241=CVSSv3!$D$14,CVSSv3!$D$40,IF(G241=CVSSv3!$E$14,CVSSv3!$E$40,"")))&amp;")"</f>
        <v>(AV:/AC:/PR:/UI:/S:/C:/I:/A:/E:/RL:/RC:)</v>
      </c>
      <c r="G242" s="84"/>
      <c r="H242" s="86"/>
      <c r="I242" s="87"/>
      <c r="J242" s="87"/>
      <c r="K242" s="83"/>
      <c r="L242" s="83"/>
      <c r="M242" s="83"/>
    </row>
    <row r="243" spans="1:13" ht="15.75" customHeight="1" x14ac:dyDescent="0.25">
      <c r="A243" s="85">
        <v>21</v>
      </c>
      <c r="B243" s="83" t="s">
        <v>51</v>
      </c>
      <c r="C243" s="83" t="s">
        <v>14</v>
      </c>
      <c r="D243" s="83" t="s">
        <v>14</v>
      </c>
      <c r="E243" s="83" t="s">
        <v>14</v>
      </c>
      <c r="F243" s="5" t="str">
        <f>CVSSv3!$A$4</f>
        <v>Attack Vector</v>
      </c>
      <c r="G243" s="6" t="s">
        <v>15</v>
      </c>
      <c r="H243" s="86" t="e">
        <f>ROUNDUP((IF((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lt;=0,0,(IF(G247=CVSSv3!$C$8,ROUNDUP((MIN((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ROUNDUP((MIN(1.08*((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IF(G251=CVSSv3!$C$12,CVSSv3!$C$25,(IF(G251=CVSSv3!$D$12,CVSSv3!$D$25,(IF(G251=CVSSv3!$E$12,CVSSv3!$E$25,(IF(G251=CVSSv3!$F$12,CVSSv3!$F$25,""))))))))*(IF(G252=CVSSv3!$C$13,CVSSv3!$C$26,(IF(G252=CVSSv3!$D$13,CVSSv3!$D$26,(IF(G252=CVSSv3!$E$13,CVSSv3!$E$26,(IF(G252=CVSSv3!$F$13,CVSSv3!$F$26,""))))))))*(IF(G253=CVSSv3!$C$14,CVSSv3!$C$27,(IF(G253=CVSSv3!$D$14,CVSSv3!$D$27,(IF(G253=CVSSv3!$E$14,CVSSv3!$E$27,""))))))),1)</f>
        <v>#VALUE!</v>
      </c>
      <c r="I243" s="87">
        <v>0</v>
      </c>
      <c r="J243" s="87">
        <v>0</v>
      </c>
      <c r="K243" s="83" t="s">
        <v>14</v>
      </c>
      <c r="L243" s="83" t="s">
        <v>14</v>
      </c>
      <c r="M243" s="83" t="s">
        <v>16</v>
      </c>
    </row>
    <row r="244" spans="1:13" ht="15.75" x14ac:dyDescent="0.2">
      <c r="A244" s="85"/>
      <c r="B244" s="83"/>
      <c r="C244" s="83"/>
      <c r="D244" s="83"/>
      <c r="E244" s="83"/>
      <c r="F244" s="7" t="str">
        <f>CVSSv3!$A$5</f>
        <v>Attack Complexity</v>
      </c>
      <c r="G244" s="8" t="s">
        <v>32</v>
      </c>
      <c r="H244" s="86"/>
      <c r="I244" s="87"/>
      <c r="J244" s="87"/>
      <c r="K244" s="83"/>
      <c r="L244" s="83"/>
      <c r="M244" s="83"/>
    </row>
    <row r="245" spans="1:13" ht="15.75" x14ac:dyDescent="0.2">
      <c r="A245" s="85"/>
      <c r="B245" s="83"/>
      <c r="C245" s="83"/>
      <c r="D245" s="83"/>
      <c r="E245" s="83"/>
      <c r="F245" s="7" t="str">
        <f>CVSSv3!$A$6</f>
        <v>Privilege Required</v>
      </c>
      <c r="G245" s="8" t="s">
        <v>33</v>
      </c>
      <c r="H245" s="86"/>
      <c r="I245" s="87"/>
      <c r="J245" s="87"/>
      <c r="K245" s="83"/>
      <c r="L245" s="83"/>
      <c r="M245" s="83"/>
    </row>
    <row r="246" spans="1:13" ht="15.75" x14ac:dyDescent="0.2">
      <c r="A246" s="85"/>
      <c r="B246" s="83"/>
      <c r="C246" s="83"/>
      <c r="D246" s="83"/>
      <c r="E246" s="83"/>
      <c r="F246" s="7" t="str">
        <f>CVSSv3!$A$7</f>
        <v>User Interaction</v>
      </c>
      <c r="G246" s="8" t="s">
        <v>34</v>
      </c>
      <c r="H246" s="86"/>
      <c r="I246" s="87"/>
      <c r="J246" s="87"/>
      <c r="K246" s="83"/>
      <c r="L246" s="83"/>
      <c r="M246" s="83"/>
    </row>
    <row r="247" spans="1:13" ht="15.75" x14ac:dyDescent="0.2">
      <c r="A247" s="85"/>
      <c r="B247" s="83"/>
      <c r="C247" s="83"/>
      <c r="D247" s="83"/>
      <c r="E247" s="83"/>
      <c r="F247" s="7" t="str">
        <f>CVSSv3!$A$8</f>
        <v>Scope</v>
      </c>
      <c r="G247" s="8" t="s">
        <v>35</v>
      </c>
      <c r="H247" s="86"/>
      <c r="I247" s="87"/>
      <c r="J247" s="87"/>
      <c r="K247" s="83"/>
      <c r="L247" s="83"/>
      <c r="M247" s="83"/>
    </row>
    <row r="248" spans="1:13" ht="15.75" x14ac:dyDescent="0.2">
      <c r="A248" s="85"/>
      <c r="B248" s="83"/>
      <c r="C248" s="83"/>
      <c r="D248" s="83"/>
      <c r="E248" s="83"/>
      <c r="F248" s="7" t="str">
        <f>CVSSv3!$A$9</f>
        <v>Confidentiality Impact</v>
      </c>
      <c r="G248" s="8" t="s">
        <v>36</v>
      </c>
      <c r="H248" s="86"/>
      <c r="I248" s="87"/>
      <c r="J248" s="87"/>
      <c r="K248" s="83"/>
      <c r="L248" s="83"/>
      <c r="M248" s="83"/>
    </row>
    <row r="249" spans="1:13" ht="15.75" x14ac:dyDescent="0.2">
      <c r="A249" s="85"/>
      <c r="B249" s="83"/>
      <c r="C249" s="83"/>
      <c r="D249" s="83"/>
      <c r="E249" s="83"/>
      <c r="F249" s="7" t="str">
        <f>CVSSv3!$A$10</f>
        <v>Integrity Impact</v>
      </c>
      <c r="G249" s="8" t="s">
        <v>36</v>
      </c>
      <c r="H249" s="86"/>
      <c r="I249" s="87"/>
      <c r="J249" s="87"/>
      <c r="K249" s="83"/>
      <c r="L249" s="83"/>
      <c r="M249" s="83"/>
    </row>
    <row r="250" spans="1:13" ht="15.75" x14ac:dyDescent="0.2">
      <c r="A250" s="85"/>
      <c r="B250" s="83"/>
      <c r="C250" s="83"/>
      <c r="D250" s="83"/>
      <c r="E250" s="83"/>
      <c r="F250" s="7" t="str">
        <f>CVSSv3!$A$11</f>
        <v>Availability Impact</v>
      </c>
      <c r="G250" s="8" t="s">
        <v>36</v>
      </c>
      <c r="H250" s="86"/>
      <c r="I250" s="87"/>
      <c r="J250" s="87"/>
      <c r="K250" s="83"/>
      <c r="L250" s="83"/>
      <c r="M250" s="83"/>
    </row>
    <row r="251" spans="1:13" ht="15.75" x14ac:dyDescent="0.2">
      <c r="A251" s="85"/>
      <c r="B251" s="83"/>
      <c r="C251" s="83"/>
      <c r="D251" s="83"/>
      <c r="E251" s="83"/>
      <c r="F251" s="7" t="str">
        <f>CVSSv3!$A$12</f>
        <v>Exploit Code Maturity</v>
      </c>
      <c r="G251" s="8" t="s">
        <v>32</v>
      </c>
      <c r="H251" s="86"/>
      <c r="I251" s="87"/>
      <c r="J251" s="87"/>
      <c r="K251" s="83"/>
      <c r="L251" s="83"/>
      <c r="M251" s="83"/>
    </row>
    <row r="252" spans="1:13" ht="15.75" x14ac:dyDescent="0.2">
      <c r="A252" s="85"/>
      <c r="B252" s="83"/>
      <c r="C252" s="83"/>
      <c r="D252" s="83"/>
      <c r="E252" s="83"/>
      <c r="F252" s="7" t="str">
        <f>CVSSv3!$A$13</f>
        <v>Remediation Level</v>
      </c>
      <c r="G252" s="8" t="s">
        <v>37</v>
      </c>
      <c r="H252" s="86"/>
      <c r="I252" s="87"/>
      <c r="J252" s="87"/>
      <c r="K252" s="83"/>
      <c r="L252" s="83"/>
      <c r="M252" s="83"/>
    </row>
    <row r="253" spans="1:13" ht="15.75" x14ac:dyDescent="0.2">
      <c r="A253" s="85"/>
      <c r="B253" s="83"/>
      <c r="C253" s="83"/>
      <c r="D253" s="83"/>
      <c r="E253" s="83"/>
      <c r="F253" s="7" t="str">
        <f>CVSSv3!$A$14</f>
        <v>Report Confidence</v>
      </c>
      <c r="G253" s="8" t="s">
        <v>38</v>
      </c>
      <c r="H253" s="86"/>
      <c r="I253" s="87"/>
      <c r="J253" s="87"/>
      <c r="K253" s="83"/>
      <c r="L253" s="83"/>
      <c r="M253" s="83"/>
    </row>
    <row r="254" spans="1:13" ht="15.75" x14ac:dyDescent="0.2">
      <c r="A254" s="85"/>
      <c r="B254" s="83"/>
      <c r="C254" s="83"/>
      <c r="D254" s="83"/>
      <c r="E254" s="83"/>
      <c r="F254" s="84" t="str">
        <f>"("&amp;CVSSv3!$B$4&amp;":"&amp;IF(G243=CVSSv3!$C$4,CVSSv3!$C$30,IF(G243=CVSSv3!$D$4,CVSSv3!$D$30,IF(G243=CVSSv3!$E$4,CVSSv3!$E$30,IF(G243=CVSSv3!$F$4,CVSSv3!$F$30,""))))&amp;"/"&amp;CVSSv3!$B$5&amp;":"&amp;IF(G244=CVSSv3!$C$5,CVSSv3!$C$31,IF(G244=CVSSv3!$D$5,CVSSv3!$D$31,""))&amp;"/"&amp;CVSSv3!$B$6&amp;":"&amp;IF(G245=CVSSv3!$C$6,CVSSv3!$C$32,IF(G245=CVSSv3!$D$6,CVSSv3!$D$32,IF(G245=CVSSv3!$E$6,CVSSv3!$E$32,"")))&amp;"/"&amp;CVSSv3!$B$7&amp;":"&amp;IF(G246=CVSSv3!$C$7,CVSSv3!$C$33,IF(G246=CVSSv3!$D$7,CVSSv3!$D$33,""))&amp;"/"&amp;CVSSv3!$B$8&amp;":"&amp;IF(G247=CVSSv3!$C$8,CVSSv3!$C$34,IF(G247=CVSSv3!$D$8,CVSSv3!$D$34,""))&amp;"/"&amp;CVSSv3!$B$9&amp;":"&amp;IF(G248=CVSSv3!$C$9,CVSSv3!$C$35,IF(G248=CVSSv3!$D$9,CVSSv3!$D$35,IF(G248=CVSSv3!$E$9,CVSSv3!$E$35,"")))&amp;"/"&amp;CVSSv3!$B$10&amp;":"&amp;IF(G249=CVSSv3!$C$10,CVSSv3!$C$36,IF(G249=CVSSv3!$D$10,CVSSv3!$D$36,IF(G249=CVSSv3!$E$10,CVSSv3!$E$36,"")))&amp;"/"&amp;CVSSv3!$B$11&amp;":"&amp;IF(G250=CVSSv3!$C$11,CVSSv3!$C$37,IF(G250=CVSSv3!$D$11,CVSSv3!$D$37,IF(G250=CVSSv3!$E$11,CVSSv3!$E$37,"")))&amp;"/"&amp;CVSSv3!$B$12&amp;":"&amp;IF(G251=CVSSv3!$C$12,CVSSv3!$C$38,IF(G251=CVSSv3!$D$12,CVSSv3!$D$38,IF(G251=CVSSv3!$E$12,CVSSv3!$E$38,IF(G251=CVSSv3!$F$12,CVSSv3!$F$38,""))))&amp;"/"&amp;CVSSv3!$B$13&amp;":"&amp;IF(G252=CVSSv3!$C$13,CVSSv3!$C$39,IF(G252=CVSSv3!$D$13,CVSSv3!$D$39,IF(G252=CVSSv3!$E$13,CVSSv3!$E$39,IF(G252=CVSSv3!$F$13,CVSSv3!$F$39,""))))&amp;"/"&amp;CVSSv3!$B$14&amp;":"&amp;IF(G253=CVSSv3!$C$14,CVSSv3!$C$40,IF(G253=CVSSv3!$D$14,CVSSv3!$D$40,IF(G253=CVSSv3!$E$14,CVSSv3!$E$40,"")))&amp;")"</f>
        <v>(AV:/AC:/PR:/UI:/S:/C:/I:/A:/E:/RL:/RC:)</v>
      </c>
      <c r="G254" s="84"/>
      <c r="H254" s="86"/>
      <c r="I254" s="87"/>
      <c r="J254" s="87"/>
      <c r="K254" s="83"/>
      <c r="L254" s="83"/>
      <c r="M254" s="83"/>
    </row>
    <row r="255" spans="1:13" ht="15.75" customHeight="1" x14ac:dyDescent="0.25">
      <c r="A255" s="85">
        <v>22</v>
      </c>
      <c r="B255" s="83" t="s">
        <v>52</v>
      </c>
      <c r="C255" s="83" t="s">
        <v>14</v>
      </c>
      <c r="D255" s="83" t="s">
        <v>14</v>
      </c>
      <c r="E255" s="83" t="s">
        <v>14</v>
      </c>
      <c r="F255" s="5" t="str">
        <f>CVSSv3!$A$4</f>
        <v>Attack Vector</v>
      </c>
      <c r="G255" s="6" t="s">
        <v>15</v>
      </c>
      <c r="H255" s="86" t="e">
        <f>ROUNDUP((IF((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lt;=0,0,(IF(G259=CVSSv3!$C$8,ROUNDUP((MIN((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ROUNDUP((MIN(1.08*((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IF(G263=CVSSv3!$C$12,CVSSv3!$C$25,(IF(G263=CVSSv3!$D$12,CVSSv3!$D$25,(IF(G263=CVSSv3!$E$12,CVSSv3!$E$25,(IF(G263=CVSSv3!$F$12,CVSSv3!$F$25,""))))))))*(IF(G264=CVSSv3!$C$13,CVSSv3!$C$26,(IF(G264=CVSSv3!$D$13,CVSSv3!$D$26,(IF(G264=CVSSv3!$E$13,CVSSv3!$E$26,(IF(G264=CVSSv3!$F$13,CVSSv3!$F$26,""))))))))*(IF(G265=CVSSv3!$C$14,CVSSv3!$C$27,(IF(G265=CVSSv3!$D$14,CVSSv3!$D$27,(IF(G265=CVSSv3!$E$14,CVSSv3!$E$27,""))))))),1)</f>
        <v>#VALUE!</v>
      </c>
      <c r="I255" s="87">
        <v>0</v>
      </c>
      <c r="J255" s="87">
        <v>0</v>
      </c>
      <c r="K255" s="83" t="s">
        <v>14</v>
      </c>
      <c r="L255" s="83" t="s">
        <v>14</v>
      </c>
      <c r="M255" s="83" t="s">
        <v>16</v>
      </c>
    </row>
    <row r="256" spans="1:13" ht="15.75" x14ac:dyDescent="0.2">
      <c r="A256" s="85"/>
      <c r="B256" s="83"/>
      <c r="C256" s="83"/>
      <c r="D256" s="83"/>
      <c r="E256" s="83"/>
      <c r="F256" s="7" t="str">
        <f>CVSSv3!$A$5</f>
        <v>Attack Complexity</v>
      </c>
      <c r="G256" s="8" t="s">
        <v>32</v>
      </c>
      <c r="H256" s="86"/>
      <c r="I256" s="87"/>
      <c r="J256" s="87"/>
      <c r="K256" s="83"/>
      <c r="L256" s="83"/>
      <c r="M256" s="83"/>
    </row>
    <row r="257" spans="1:13" ht="15.75" x14ac:dyDescent="0.2">
      <c r="A257" s="85"/>
      <c r="B257" s="83"/>
      <c r="C257" s="83"/>
      <c r="D257" s="83"/>
      <c r="E257" s="83"/>
      <c r="F257" s="7" t="str">
        <f>CVSSv3!$A$6</f>
        <v>Privilege Required</v>
      </c>
      <c r="G257" s="8" t="s">
        <v>33</v>
      </c>
      <c r="H257" s="86"/>
      <c r="I257" s="87"/>
      <c r="J257" s="87"/>
      <c r="K257" s="83"/>
      <c r="L257" s="83"/>
      <c r="M257" s="83"/>
    </row>
    <row r="258" spans="1:13" ht="15.75" x14ac:dyDescent="0.2">
      <c r="A258" s="85"/>
      <c r="B258" s="83"/>
      <c r="C258" s="83"/>
      <c r="D258" s="83"/>
      <c r="E258" s="83"/>
      <c r="F258" s="7" t="str">
        <f>CVSSv3!$A$7</f>
        <v>User Interaction</v>
      </c>
      <c r="G258" s="8" t="s">
        <v>34</v>
      </c>
      <c r="H258" s="86"/>
      <c r="I258" s="87"/>
      <c r="J258" s="87"/>
      <c r="K258" s="83"/>
      <c r="L258" s="83"/>
      <c r="M258" s="83"/>
    </row>
    <row r="259" spans="1:13" ht="15.75" x14ac:dyDescent="0.2">
      <c r="A259" s="85"/>
      <c r="B259" s="83"/>
      <c r="C259" s="83"/>
      <c r="D259" s="83"/>
      <c r="E259" s="83"/>
      <c r="F259" s="7" t="str">
        <f>CVSSv3!$A$8</f>
        <v>Scope</v>
      </c>
      <c r="G259" s="8" t="s">
        <v>35</v>
      </c>
      <c r="H259" s="86"/>
      <c r="I259" s="87"/>
      <c r="J259" s="87"/>
      <c r="K259" s="83"/>
      <c r="L259" s="83"/>
      <c r="M259" s="83"/>
    </row>
    <row r="260" spans="1:13" ht="15.75" x14ac:dyDescent="0.2">
      <c r="A260" s="85"/>
      <c r="B260" s="83"/>
      <c r="C260" s="83"/>
      <c r="D260" s="83"/>
      <c r="E260" s="83"/>
      <c r="F260" s="7" t="str">
        <f>CVSSv3!$A$9</f>
        <v>Confidentiality Impact</v>
      </c>
      <c r="G260" s="8" t="s">
        <v>36</v>
      </c>
      <c r="H260" s="86"/>
      <c r="I260" s="87"/>
      <c r="J260" s="87"/>
      <c r="K260" s="83"/>
      <c r="L260" s="83"/>
      <c r="M260" s="83"/>
    </row>
    <row r="261" spans="1:13" ht="15.75" x14ac:dyDescent="0.2">
      <c r="A261" s="85"/>
      <c r="B261" s="83"/>
      <c r="C261" s="83"/>
      <c r="D261" s="83"/>
      <c r="E261" s="83"/>
      <c r="F261" s="7" t="str">
        <f>CVSSv3!$A$10</f>
        <v>Integrity Impact</v>
      </c>
      <c r="G261" s="8" t="s">
        <v>36</v>
      </c>
      <c r="H261" s="86"/>
      <c r="I261" s="87"/>
      <c r="J261" s="87"/>
      <c r="K261" s="83"/>
      <c r="L261" s="83"/>
      <c r="M261" s="83"/>
    </row>
    <row r="262" spans="1:13" ht="15.75" x14ac:dyDescent="0.2">
      <c r="A262" s="85"/>
      <c r="B262" s="83"/>
      <c r="C262" s="83"/>
      <c r="D262" s="83"/>
      <c r="E262" s="83"/>
      <c r="F262" s="7" t="str">
        <f>CVSSv3!$A$11</f>
        <v>Availability Impact</v>
      </c>
      <c r="G262" s="8" t="s">
        <v>36</v>
      </c>
      <c r="H262" s="86"/>
      <c r="I262" s="87"/>
      <c r="J262" s="87"/>
      <c r="K262" s="83"/>
      <c r="L262" s="83"/>
      <c r="M262" s="83"/>
    </row>
    <row r="263" spans="1:13" ht="15.75" x14ac:dyDescent="0.2">
      <c r="A263" s="85"/>
      <c r="B263" s="83"/>
      <c r="C263" s="83"/>
      <c r="D263" s="83"/>
      <c r="E263" s="83"/>
      <c r="F263" s="7" t="str">
        <f>CVSSv3!$A$12</f>
        <v>Exploit Code Maturity</v>
      </c>
      <c r="G263" s="8" t="s">
        <v>32</v>
      </c>
      <c r="H263" s="86"/>
      <c r="I263" s="87"/>
      <c r="J263" s="87"/>
      <c r="K263" s="83"/>
      <c r="L263" s="83"/>
      <c r="M263" s="83"/>
    </row>
    <row r="264" spans="1:13" ht="15.75" x14ac:dyDescent="0.2">
      <c r="A264" s="85"/>
      <c r="B264" s="83"/>
      <c r="C264" s="83"/>
      <c r="D264" s="83"/>
      <c r="E264" s="83"/>
      <c r="F264" s="7" t="str">
        <f>CVSSv3!$A$13</f>
        <v>Remediation Level</v>
      </c>
      <c r="G264" s="8" t="s">
        <v>37</v>
      </c>
      <c r="H264" s="86"/>
      <c r="I264" s="87"/>
      <c r="J264" s="87"/>
      <c r="K264" s="83"/>
      <c r="L264" s="83"/>
      <c r="M264" s="83"/>
    </row>
    <row r="265" spans="1:13" ht="15.75" x14ac:dyDescent="0.2">
      <c r="A265" s="85"/>
      <c r="B265" s="83"/>
      <c r="C265" s="83"/>
      <c r="D265" s="83"/>
      <c r="E265" s="83"/>
      <c r="F265" s="7" t="str">
        <f>CVSSv3!$A$14</f>
        <v>Report Confidence</v>
      </c>
      <c r="G265" s="8" t="s">
        <v>38</v>
      </c>
      <c r="H265" s="86"/>
      <c r="I265" s="87"/>
      <c r="J265" s="87"/>
      <c r="K265" s="83"/>
      <c r="L265" s="83"/>
      <c r="M265" s="83"/>
    </row>
    <row r="266" spans="1:13" ht="15.75" x14ac:dyDescent="0.2">
      <c r="A266" s="85"/>
      <c r="B266" s="83"/>
      <c r="C266" s="83"/>
      <c r="D266" s="83"/>
      <c r="E266" s="83"/>
      <c r="F266" s="84" t="str">
        <f>"("&amp;CVSSv3!$B$4&amp;":"&amp;IF(G255=CVSSv3!$C$4,CVSSv3!$C$30,IF(G255=CVSSv3!$D$4,CVSSv3!$D$30,IF(G255=CVSSv3!$E$4,CVSSv3!$E$30,IF(G255=CVSSv3!$F$4,CVSSv3!$F$30,""))))&amp;"/"&amp;CVSSv3!$B$5&amp;":"&amp;IF(G256=CVSSv3!$C$5,CVSSv3!$C$31,IF(G256=CVSSv3!$D$5,CVSSv3!$D$31,""))&amp;"/"&amp;CVSSv3!$B$6&amp;":"&amp;IF(G257=CVSSv3!$C$6,CVSSv3!$C$32,IF(G257=CVSSv3!$D$6,CVSSv3!$D$32,IF(G257=CVSSv3!$E$6,CVSSv3!$E$32,"")))&amp;"/"&amp;CVSSv3!$B$7&amp;":"&amp;IF(G258=CVSSv3!$C$7,CVSSv3!$C$33,IF(G258=CVSSv3!$D$7,CVSSv3!$D$33,""))&amp;"/"&amp;CVSSv3!$B$8&amp;":"&amp;IF(G259=CVSSv3!$C$8,CVSSv3!$C$34,IF(G259=CVSSv3!$D$8,CVSSv3!$D$34,""))&amp;"/"&amp;CVSSv3!$B$9&amp;":"&amp;IF(G260=CVSSv3!$C$9,CVSSv3!$C$35,IF(G260=CVSSv3!$D$9,CVSSv3!$D$35,IF(G260=CVSSv3!$E$9,CVSSv3!$E$35,"")))&amp;"/"&amp;CVSSv3!$B$10&amp;":"&amp;IF(G261=CVSSv3!$C$10,CVSSv3!$C$36,IF(G261=CVSSv3!$D$10,CVSSv3!$D$36,IF(G261=CVSSv3!$E$10,CVSSv3!$E$36,"")))&amp;"/"&amp;CVSSv3!$B$11&amp;":"&amp;IF(G262=CVSSv3!$C$11,CVSSv3!$C$37,IF(G262=CVSSv3!$D$11,CVSSv3!$D$37,IF(G262=CVSSv3!$E$11,CVSSv3!$E$37,"")))&amp;"/"&amp;CVSSv3!$B$12&amp;":"&amp;IF(G263=CVSSv3!$C$12,CVSSv3!$C$38,IF(G263=CVSSv3!$D$12,CVSSv3!$D$38,IF(G263=CVSSv3!$E$12,CVSSv3!$E$38,IF(G263=CVSSv3!$F$12,CVSSv3!$F$38,""))))&amp;"/"&amp;CVSSv3!$B$13&amp;":"&amp;IF(G264=CVSSv3!$C$13,CVSSv3!$C$39,IF(G264=CVSSv3!$D$13,CVSSv3!$D$39,IF(G264=CVSSv3!$E$13,CVSSv3!$E$39,IF(G264=CVSSv3!$F$13,CVSSv3!$F$39,""))))&amp;"/"&amp;CVSSv3!$B$14&amp;":"&amp;IF(G265=CVSSv3!$C$14,CVSSv3!$C$40,IF(G265=CVSSv3!$D$14,CVSSv3!$D$40,IF(G265=CVSSv3!$E$14,CVSSv3!$E$40,"")))&amp;")"</f>
        <v>(AV:/AC:/PR:/UI:/S:/C:/I:/A:/E:/RL:/RC:)</v>
      </c>
      <c r="G266" s="84"/>
      <c r="H266" s="86"/>
      <c r="I266" s="87"/>
      <c r="J266" s="87"/>
      <c r="K266" s="83"/>
      <c r="L266" s="83"/>
      <c r="M266" s="83"/>
    </row>
    <row r="267" spans="1:13" ht="15.75" customHeight="1" x14ac:dyDescent="0.25">
      <c r="A267" s="85">
        <v>23</v>
      </c>
      <c r="B267" s="83" t="s">
        <v>53</v>
      </c>
      <c r="C267" s="83" t="s">
        <v>14</v>
      </c>
      <c r="D267" s="83" t="s">
        <v>14</v>
      </c>
      <c r="E267" s="83" t="s">
        <v>14</v>
      </c>
      <c r="F267" s="5" t="str">
        <f>CVSSv3!$A$4</f>
        <v>Attack Vector</v>
      </c>
      <c r="G267" s="6" t="s">
        <v>15</v>
      </c>
      <c r="H267" s="86" t="e">
        <f>ROUNDUP((IF((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lt;=0,0,(IF(G271=CVSSv3!$C$8,ROUNDUP((MIN((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ROUNDUP((MIN(1.08*((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IF(G275=CVSSv3!$C$12,CVSSv3!$C$25,(IF(G275=CVSSv3!$D$12,CVSSv3!$D$25,(IF(G275=CVSSv3!$E$12,CVSSv3!$E$25,(IF(G275=CVSSv3!$F$12,CVSSv3!$F$25,""))))))))*(IF(G276=CVSSv3!$C$13,CVSSv3!$C$26,(IF(G276=CVSSv3!$D$13,CVSSv3!$D$26,(IF(G276=CVSSv3!$E$13,CVSSv3!$E$26,(IF(G276=CVSSv3!$F$13,CVSSv3!$F$26,""))))))))*(IF(G277=CVSSv3!$C$14,CVSSv3!$C$27,(IF(G277=CVSSv3!$D$14,CVSSv3!$D$27,(IF(G277=CVSSv3!$E$14,CVSSv3!$E$27,""))))))),1)</f>
        <v>#VALUE!</v>
      </c>
      <c r="I267" s="87">
        <v>0</v>
      </c>
      <c r="J267" s="87">
        <v>0</v>
      </c>
      <c r="K267" s="83" t="s">
        <v>14</v>
      </c>
      <c r="L267" s="83" t="s">
        <v>14</v>
      </c>
      <c r="M267" s="83" t="s">
        <v>16</v>
      </c>
    </row>
    <row r="268" spans="1:13" ht="15.75" x14ac:dyDescent="0.2">
      <c r="A268" s="85"/>
      <c r="B268" s="83"/>
      <c r="C268" s="83"/>
      <c r="D268" s="83"/>
      <c r="E268" s="83"/>
      <c r="F268" s="7" t="str">
        <f>CVSSv3!$A$5</f>
        <v>Attack Complexity</v>
      </c>
      <c r="G268" s="8" t="s">
        <v>32</v>
      </c>
      <c r="H268" s="86"/>
      <c r="I268" s="87"/>
      <c r="J268" s="87"/>
      <c r="K268" s="83"/>
      <c r="L268" s="83"/>
      <c r="M268" s="83"/>
    </row>
    <row r="269" spans="1:13" ht="15.75" x14ac:dyDescent="0.2">
      <c r="A269" s="85"/>
      <c r="B269" s="83"/>
      <c r="C269" s="83"/>
      <c r="D269" s="83"/>
      <c r="E269" s="83"/>
      <c r="F269" s="7" t="str">
        <f>CVSSv3!$A$6</f>
        <v>Privilege Required</v>
      </c>
      <c r="G269" s="8" t="s">
        <v>33</v>
      </c>
      <c r="H269" s="86"/>
      <c r="I269" s="87"/>
      <c r="J269" s="87"/>
      <c r="K269" s="83"/>
      <c r="L269" s="83"/>
      <c r="M269" s="83"/>
    </row>
    <row r="270" spans="1:13" ht="15.75" x14ac:dyDescent="0.2">
      <c r="A270" s="85"/>
      <c r="B270" s="83"/>
      <c r="C270" s="83"/>
      <c r="D270" s="83"/>
      <c r="E270" s="83"/>
      <c r="F270" s="7" t="str">
        <f>CVSSv3!$A$7</f>
        <v>User Interaction</v>
      </c>
      <c r="G270" s="8" t="s">
        <v>34</v>
      </c>
      <c r="H270" s="86"/>
      <c r="I270" s="87"/>
      <c r="J270" s="87"/>
      <c r="K270" s="83"/>
      <c r="L270" s="83"/>
      <c r="M270" s="83"/>
    </row>
    <row r="271" spans="1:13" ht="15.75" x14ac:dyDescent="0.2">
      <c r="A271" s="85"/>
      <c r="B271" s="83"/>
      <c r="C271" s="83"/>
      <c r="D271" s="83"/>
      <c r="E271" s="83"/>
      <c r="F271" s="7" t="str">
        <f>CVSSv3!$A$8</f>
        <v>Scope</v>
      </c>
      <c r="G271" s="8" t="s">
        <v>35</v>
      </c>
      <c r="H271" s="86"/>
      <c r="I271" s="87"/>
      <c r="J271" s="87"/>
      <c r="K271" s="83"/>
      <c r="L271" s="83"/>
      <c r="M271" s="83"/>
    </row>
    <row r="272" spans="1:13" ht="15.75" x14ac:dyDescent="0.2">
      <c r="A272" s="85"/>
      <c r="B272" s="83"/>
      <c r="C272" s="83"/>
      <c r="D272" s="83"/>
      <c r="E272" s="83"/>
      <c r="F272" s="7" t="str">
        <f>CVSSv3!$A$9</f>
        <v>Confidentiality Impact</v>
      </c>
      <c r="G272" s="8" t="s">
        <v>36</v>
      </c>
      <c r="H272" s="86"/>
      <c r="I272" s="87"/>
      <c r="J272" s="87"/>
      <c r="K272" s="83"/>
      <c r="L272" s="83"/>
      <c r="M272" s="83"/>
    </row>
    <row r="273" spans="1:13" ht="15.75" x14ac:dyDescent="0.2">
      <c r="A273" s="85"/>
      <c r="B273" s="83"/>
      <c r="C273" s="83"/>
      <c r="D273" s="83"/>
      <c r="E273" s="83"/>
      <c r="F273" s="7" t="str">
        <f>CVSSv3!$A$10</f>
        <v>Integrity Impact</v>
      </c>
      <c r="G273" s="8" t="s">
        <v>36</v>
      </c>
      <c r="H273" s="86"/>
      <c r="I273" s="87"/>
      <c r="J273" s="87"/>
      <c r="K273" s="83"/>
      <c r="L273" s="83"/>
      <c r="M273" s="83"/>
    </row>
    <row r="274" spans="1:13" ht="15.75" x14ac:dyDescent="0.2">
      <c r="A274" s="85"/>
      <c r="B274" s="83"/>
      <c r="C274" s="83"/>
      <c r="D274" s="83"/>
      <c r="E274" s="83"/>
      <c r="F274" s="7" t="str">
        <f>CVSSv3!$A$11</f>
        <v>Availability Impact</v>
      </c>
      <c r="G274" s="8" t="s">
        <v>36</v>
      </c>
      <c r="H274" s="86"/>
      <c r="I274" s="87"/>
      <c r="J274" s="87"/>
      <c r="K274" s="83"/>
      <c r="L274" s="83"/>
      <c r="M274" s="83"/>
    </row>
    <row r="275" spans="1:13" ht="15.75" x14ac:dyDescent="0.2">
      <c r="A275" s="85"/>
      <c r="B275" s="83"/>
      <c r="C275" s="83"/>
      <c r="D275" s="83"/>
      <c r="E275" s="83"/>
      <c r="F275" s="7" t="str">
        <f>CVSSv3!$A$12</f>
        <v>Exploit Code Maturity</v>
      </c>
      <c r="G275" s="8" t="s">
        <v>32</v>
      </c>
      <c r="H275" s="86"/>
      <c r="I275" s="87"/>
      <c r="J275" s="87"/>
      <c r="K275" s="83"/>
      <c r="L275" s="83"/>
      <c r="M275" s="83"/>
    </row>
    <row r="276" spans="1:13" ht="15.75" x14ac:dyDescent="0.2">
      <c r="A276" s="85"/>
      <c r="B276" s="83"/>
      <c r="C276" s="83"/>
      <c r="D276" s="83"/>
      <c r="E276" s="83"/>
      <c r="F276" s="7" t="str">
        <f>CVSSv3!$A$13</f>
        <v>Remediation Level</v>
      </c>
      <c r="G276" s="8" t="s">
        <v>37</v>
      </c>
      <c r="H276" s="86"/>
      <c r="I276" s="87"/>
      <c r="J276" s="87"/>
      <c r="K276" s="83"/>
      <c r="L276" s="83"/>
      <c r="M276" s="83"/>
    </row>
    <row r="277" spans="1:13" ht="15.75" x14ac:dyDescent="0.2">
      <c r="A277" s="85"/>
      <c r="B277" s="83"/>
      <c r="C277" s="83"/>
      <c r="D277" s="83"/>
      <c r="E277" s="83"/>
      <c r="F277" s="7" t="str">
        <f>CVSSv3!$A$14</f>
        <v>Report Confidence</v>
      </c>
      <c r="G277" s="8" t="s">
        <v>38</v>
      </c>
      <c r="H277" s="86"/>
      <c r="I277" s="87"/>
      <c r="J277" s="87"/>
      <c r="K277" s="83"/>
      <c r="L277" s="83"/>
      <c r="M277" s="83"/>
    </row>
    <row r="278" spans="1:13" ht="15.75" x14ac:dyDescent="0.2">
      <c r="A278" s="85"/>
      <c r="B278" s="83"/>
      <c r="C278" s="83"/>
      <c r="D278" s="83"/>
      <c r="E278" s="83"/>
      <c r="F278" s="84" t="str">
        <f>"("&amp;CVSSv3!$B$4&amp;":"&amp;IF(G267=CVSSv3!$C$4,CVSSv3!$C$30,IF(G267=CVSSv3!$D$4,CVSSv3!$D$30,IF(G267=CVSSv3!$E$4,CVSSv3!$E$30,IF(G267=CVSSv3!$F$4,CVSSv3!$F$30,""))))&amp;"/"&amp;CVSSv3!$B$5&amp;":"&amp;IF(G268=CVSSv3!$C$5,CVSSv3!$C$31,IF(G268=CVSSv3!$D$5,CVSSv3!$D$31,""))&amp;"/"&amp;CVSSv3!$B$6&amp;":"&amp;IF(G269=CVSSv3!$C$6,CVSSv3!$C$32,IF(G269=CVSSv3!$D$6,CVSSv3!$D$32,IF(G269=CVSSv3!$E$6,CVSSv3!$E$32,"")))&amp;"/"&amp;CVSSv3!$B$7&amp;":"&amp;IF(G270=CVSSv3!$C$7,CVSSv3!$C$33,IF(G270=CVSSv3!$D$7,CVSSv3!$D$33,""))&amp;"/"&amp;CVSSv3!$B$8&amp;":"&amp;IF(G271=CVSSv3!$C$8,CVSSv3!$C$34,IF(G271=CVSSv3!$D$8,CVSSv3!$D$34,""))&amp;"/"&amp;CVSSv3!$B$9&amp;":"&amp;IF(G272=CVSSv3!$C$9,CVSSv3!$C$35,IF(G272=CVSSv3!$D$9,CVSSv3!$D$35,IF(G272=CVSSv3!$E$9,CVSSv3!$E$35,"")))&amp;"/"&amp;CVSSv3!$B$10&amp;":"&amp;IF(G273=CVSSv3!$C$10,CVSSv3!$C$36,IF(G273=CVSSv3!$D$10,CVSSv3!$D$36,IF(G273=CVSSv3!$E$10,CVSSv3!$E$36,"")))&amp;"/"&amp;CVSSv3!$B$11&amp;":"&amp;IF(G274=CVSSv3!$C$11,CVSSv3!$C$37,IF(G274=CVSSv3!$D$11,CVSSv3!$D$37,IF(G274=CVSSv3!$E$11,CVSSv3!$E$37,"")))&amp;"/"&amp;CVSSv3!$B$12&amp;":"&amp;IF(G275=CVSSv3!$C$12,CVSSv3!$C$38,IF(G275=CVSSv3!$D$12,CVSSv3!$D$38,IF(G275=CVSSv3!$E$12,CVSSv3!$E$38,IF(G275=CVSSv3!$F$12,CVSSv3!$F$38,""))))&amp;"/"&amp;CVSSv3!$B$13&amp;":"&amp;IF(G276=CVSSv3!$C$13,CVSSv3!$C$39,IF(G276=CVSSv3!$D$13,CVSSv3!$D$39,IF(G276=CVSSv3!$E$13,CVSSv3!$E$39,IF(G276=CVSSv3!$F$13,CVSSv3!$F$39,""))))&amp;"/"&amp;CVSSv3!$B$14&amp;":"&amp;IF(G277=CVSSv3!$C$14,CVSSv3!$C$40,IF(G277=CVSSv3!$D$14,CVSSv3!$D$40,IF(G277=CVSSv3!$E$14,CVSSv3!$E$40,"")))&amp;")"</f>
        <v>(AV:/AC:/PR:/UI:/S:/C:/I:/A:/E:/RL:/RC:)</v>
      </c>
      <c r="G278" s="84"/>
      <c r="H278" s="86"/>
      <c r="I278" s="87"/>
      <c r="J278" s="87"/>
      <c r="K278" s="83"/>
      <c r="L278" s="83"/>
      <c r="M278" s="83"/>
    </row>
    <row r="279" spans="1:13" ht="15.75" customHeight="1" x14ac:dyDescent="0.25">
      <c r="A279" s="85">
        <v>24</v>
      </c>
      <c r="B279" s="83" t="s">
        <v>54</v>
      </c>
      <c r="C279" s="83" t="s">
        <v>14</v>
      </c>
      <c r="D279" s="83" t="s">
        <v>14</v>
      </c>
      <c r="E279" s="83" t="s">
        <v>14</v>
      </c>
      <c r="F279" s="5" t="str">
        <f>CVSSv3!$A$4</f>
        <v>Attack Vector</v>
      </c>
      <c r="G279" s="6" t="s">
        <v>15</v>
      </c>
      <c r="H279" s="86" t="e">
        <f>ROUNDUP((IF((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lt;=0,0,(IF(G283=CVSSv3!$C$8,ROUNDUP((MIN((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ROUNDUP((MIN(1.08*((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IF(G287=CVSSv3!$C$12,CVSSv3!$C$25,(IF(G287=CVSSv3!$D$12,CVSSv3!$D$25,(IF(G287=CVSSv3!$E$12,CVSSv3!$E$25,(IF(G287=CVSSv3!$F$12,CVSSv3!$F$25,""))))))))*(IF(G288=CVSSv3!$C$13,CVSSv3!$C$26,(IF(G288=CVSSv3!$D$13,CVSSv3!$D$26,(IF(G288=CVSSv3!$E$13,CVSSv3!$E$26,(IF(G288=CVSSv3!$F$13,CVSSv3!$F$26,""))))))))*(IF(G289=CVSSv3!$C$14,CVSSv3!$C$27,(IF(G289=CVSSv3!$D$14,CVSSv3!$D$27,(IF(G289=CVSSv3!$E$14,CVSSv3!$E$27,""))))))),1)</f>
        <v>#VALUE!</v>
      </c>
      <c r="I279" s="87">
        <v>0</v>
      </c>
      <c r="J279" s="87">
        <v>0</v>
      </c>
      <c r="K279" s="83" t="s">
        <v>14</v>
      </c>
      <c r="L279" s="83" t="s">
        <v>14</v>
      </c>
      <c r="M279" s="83" t="s">
        <v>16</v>
      </c>
    </row>
    <row r="280" spans="1:13" ht="15.75" x14ac:dyDescent="0.2">
      <c r="A280" s="85"/>
      <c r="B280" s="83"/>
      <c r="C280" s="83"/>
      <c r="D280" s="83"/>
      <c r="E280" s="83"/>
      <c r="F280" s="7" t="str">
        <f>CVSSv3!$A$5</f>
        <v>Attack Complexity</v>
      </c>
      <c r="G280" s="8" t="s">
        <v>32</v>
      </c>
      <c r="H280" s="86"/>
      <c r="I280" s="87"/>
      <c r="J280" s="87"/>
      <c r="K280" s="83"/>
      <c r="L280" s="83"/>
      <c r="M280" s="83"/>
    </row>
    <row r="281" spans="1:13" ht="15.75" x14ac:dyDescent="0.2">
      <c r="A281" s="85"/>
      <c r="B281" s="83"/>
      <c r="C281" s="83"/>
      <c r="D281" s="83"/>
      <c r="E281" s="83"/>
      <c r="F281" s="7" t="str">
        <f>CVSSv3!$A$6</f>
        <v>Privilege Required</v>
      </c>
      <c r="G281" s="8" t="s">
        <v>33</v>
      </c>
      <c r="H281" s="86"/>
      <c r="I281" s="87"/>
      <c r="J281" s="87"/>
      <c r="K281" s="83"/>
      <c r="L281" s="83"/>
      <c r="M281" s="83"/>
    </row>
    <row r="282" spans="1:13" ht="15.75" x14ac:dyDescent="0.2">
      <c r="A282" s="85"/>
      <c r="B282" s="83"/>
      <c r="C282" s="83"/>
      <c r="D282" s="83"/>
      <c r="E282" s="83"/>
      <c r="F282" s="7" t="str">
        <f>CVSSv3!$A$7</f>
        <v>User Interaction</v>
      </c>
      <c r="G282" s="8" t="s">
        <v>34</v>
      </c>
      <c r="H282" s="86"/>
      <c r="I282" s="87"/>
      <c r="J282" s="87"/>
      <c r="K282" s="83"/>
      <c r="L282" s="83"/>
      <c r="M282" s="83"/>
    </row>
    <row r="283" spans="1:13" ht="15.75" x14ac:dyDescent="0.2">
      <c r="A283" s="85"/>
      <c r="B283" s="83"/>
      <c r="C283" s="83"/>
      <c r="D283" s="83"/>
      <c r="E283" s="83"/>
      <c r="F283" s="7" t="str">
        <f>CVSSv3!$A$8</f>
        <v>Scope</v>
      </c>
      <c r="G283" s="8" t="s">
        <v>35</v>
      </c>
      <c r="H283" s="86"/>
      <c r="I283" s="87"/>
      <c r="J283" s="87"/>
      <c r="K283" s="83"/>
      <c r="L283" s="83"/>
      <c r="M283" s="83"/>
    </row>
    <row r="284" spans="1:13" ht="15.75" x14ac:dyDescent="0.2">
      <c r="A284" s="85"/>
      <c r="B284" s="83"/>
      <c r="C284" s="83"/>
      <c r="D284" s="83"/>
      <c r="E284" s="83"/>
      <c r="F284" s="7" t="str">
        <f>CVSSv3!$A$9</f>
        <v>Confidentiality Impact</v>
      </c>
      <c r="G284" s="8" t="s">
        <v>36</v>
      </c>
      <c r="H284" s="86"/>
      <c r="I284" s="87"/>
      <c r="J284" s="87"/>
      <c r="K284" s="83"/>
      <c r="L284" s="83"/>
      <c r="M284" s="83"/>
    </row>
    <row r="285" spans="1:13" ht="15.75" x14ac:dyDescent="0.2">
      <c r="A285" s="85"/>
      <c r="B285" s="83"/>
      <c r="C285" s="83"/>
      <c r="D285" s="83"/>
      <c r="E285" s="83"/>
      <c r="F285" s="7" t="str">
        <f>CVSSv3!$A$10</f>
        <v>Integrity Impact</v>
      </c>
      <c r="G285" s="8" t="s">
        <v>36</v>
      </c>
      <c r="H285" s="86"/>
      <c r="I285" s="87"/>
      <c r="J285" s="87"/>
      <c r="K285" s="83"/>
      <c r="L285" s="83"/>
      <c r="M285" s="83"/>
    </row>
    <row r="286" spans="1:13" ht="15.75" x14ac:dyDescent="0.2">
      <c r="A286" s="85"/>
      <c r="B286" s="83"/>
      <c r="C286" s="83"/>
      <c r="D286" s="83"/>
      <c r="E286" s="83"/>
      <c r="F286" s="7" t="str">
        <f>CVSSv3!$A$11</f>
        <v>Availability Impact</v>
      </c>
      <c r="G286" s="8" t="s">
        <v>36</v>
      </c>
      <c r="H286" s="86"/>
      <c r="I286" s="87"/>
      <c r="J286" s="87"/>
      <c r="K286" s="83"/>
      <c r="L286" s="83"/>
      <c r="M286" s="83"/>
    </row>
    <row r="287" spans="1:13" ht="15.75" x14ac:dyDescent="0.2">
      <c r="A287" s="85"/>
      <c r="B287" s="83"/>
      <c r="C287" s="83"/>
      <c r="D287" s="83"/>
      <c r="E287" s="83"/>
      <c r="F287" s="7" t="str">
        <f>CVSSv3!$A$12</f>
        <v>Exploit Code Maturity</v>
      </c>
      <c r="G287" s="8" t="s">
        <v>32</v>
      </c>
      <c r="H287" s="86"/>
      <c r="I287" s="87"/>
      <c r="J287" s="87"/>
      <c r="K287" s="83"/>
      <c r="L287" s="83"/>
      <c r="M287" s="83"/>
    </row>
    <row r="288" spans="1:13" ht="15.75" x14ac:dyDescent="0.2">
      <c r="A288" s="85"/>
      <c r="B288" s="83"/>
      <c r="C288" s="83"/>
      <c r="D288" s="83"/>
      <c r="E288" s="83"/>
      <c r="F288" s="7" t="str">
        <f>CVSSv3!$A$13</f>
        <v>Remediation Level</v>
      </c>
      <c r="G288" s="8" t="s">
        <v>37</v>
      </c>
      <c r="H288" s="86"/>
      <c r="I288" s="87"/>
      <c r="J288" s="87"/>
      <c r="K288" s="83"/>
      <c r="L288" s="83"/>
      <c r="M288" s="83"/>
    </row>
    <row r="289" spans="1:13" ht="15.75" x14ac:dyDescent="0.2">
      <c r="A289" s="85"/>
      <c r="B289" s="83"/>
      <c r="C289" s="83"/>
      <c r="D289" s="83"/>
      <c r="E289" s="83"/>
      <c r="F289" s="7" t="str">
        <f>CVSSv3!$A$14</f>
        <v>Report Confidence</v>
      </c>
      <c r="G289" s="8" t="s">
        <v>38</v>
      </c>
      <c r="H289" s="86"/>
      <c r="I289" s="87"/>
      <c r="J289" s="87"/>
      <c r="K289" s="83"/>
      <c r="L289" s="83"/>
      <c r="M289" s="83"/>
    </row>
    <row r="290" spans="1:13" ht="15.75" x14ac:dyDescent="0.2">
      <c r="A290" s="85"/>
      <c r="B290" s="83"/>
      <c r="C290" s="83"/>
      <c r="D290" s="83"/>
      <c r="E290" s="83"/>
      <c r="F290" s="84" t="str">
        <f>"("&amp;CVSSv3!$B$4&amp;":"&amp;IF(G279=CVSSv3!$C$4,CVSSv3!$C$30,IF(G279=CVSSv3!$D$4,CVSSv3!$D$30,IF(G279=CVSSv3!$E$4,CVSSv3!$E$30,IF(G279=CVSSv3!$F$4,CVSSv3!$F$30,""))))&amp;"/"&amp;CVSSv3!$B$5&amp;":"&amp;IF(G280=CVSSv3!$C$5,CVSSv3!$C$31,IF(G280=CVSSv3!$D$5,CVSSv3!$D$31,""))&amp;"/"&amp;CVSSv3!$B$6&amp;":"&amp;IF(G281=CVSSv3!$C$6,CVSSv3!$C$32,IF(G281=CVSSv3!$D$6,CVSSv3!$D$32,IF(G281=CVSSv3!$E$6,CVSSv3!$E$32,"")))&amp;"/"&amp;CVSSv3!$B$7&amp;":"&amp;IF(G282=CVSSv3!$C$7,CVSSv3!$C$33,IF(G282=CVSSv3!$D$7,CVSSv3!$D$33,""))&amp;"/"&amp;CVSSv3!$B$8&amp;":"&amp;IF(G283=CVSSv3!$C$8,CVSSv3!$C$34,IF(G283=CVSSv3!$D$8,CVSSv3!$D$34,""))&amp;"/"&amp;CVSSv3!$B$9&amp;":"&amp;IF(G284=CVSSv3!$C$9,CVSSv3!$C$35,IF(G284=CVSSv3!$D$9,CVSSv3!$D$35,IF(G284=CVSSv3!$E$9,CVSSv3!$E$35,"")))&amp;"/"&amp;CVSSv3!$B$10&amp;":"&amp;IF(G285=CVSSv3!$C$10,CVSSv3!$C$36,IF(G285=CVSSv3!$D$10,CVSSv3!$D$36,IF(G285=CVSSv3!$E$10,CVSSv3!$E$36,"")))&amp;"/"&amp;CVSSv3!$B$11&amp;":"&amp;IF(G286=CVSSv3!$C$11,CVSSv3!$C$37,IF(G286=CVSSv3!$D$11,CVSSv3!$D$37,IF(G286=CVSSv3!$E$11,CVSSv3!$E$37,"")))&amp;"/"&amp;CVSSv3!$B$12&amp;":"&amp;IF(G287=CVSSv3!$C$12,CVSSv3!$C$38,IF(G287=CVSSv3!$D$12,CVSSv3!$D$38,IF(G287=CVSSv3!$E$12,CVSSv3!$E$38,IF(G287=CVSSv3!$F$12,CVSSv3!$F$38,""))))&amp;"/"&amp;CVSSv3!$B$13&amp;":"&amp;IF(G288=CVSSv3!$C$13,CVSSv3!$C$39,IF(G288=CVSSv3!$D$13,CVSSv3!$D$39,IF(G288=CVSSv3!$E$13,CVSSv3!$E$39,IF(G288=CVSSv3!$F$13,CVSSv3!$F$39,""))))&amp;"/"&amp;CVSSv3!$B$14&amp;":"&amp;IF(G289=CVSSv3!$C$14,CVSSv3!$C$40,IF(G289=CVSSv3!$D$14,CVSSv3!$D$40,IF(G289=CVSSv3!$E$14,CVSSv3!$E$40,"")))&amp;")"</f>
        <v>(AV:/AC:/PR:/UI:/S:/C:/I:/A:/E:/RL:/RC:)</v>
      </c>
      <c r="G290" s="84"/>
      <c r="H290" s="86"/>
      <c r="I290" s="87"/>
      <c r="J290" s="87"/>
      <c r="K290" s="83"/>
      <c r="L290" s="83"/>
      <c r="M290" s="83"/>
    </row>
    <row r="291" spans="1:13" ht="15.75" customHeight="1" x14ac:dyDescent="0.25">
      <c r="A291" s="85">
        <v>25</v>
      </c>
      <c r="B291" s="83" t="s">
        <v>55</v>
      </c>
      <c r="C291" s="83" t="s">
        <v>14</v>
      </c>
      <c r="D291" s="83" t="s">
        <v>14</v>
      </c>
      <c r="E291" s="83" t="s">
        <v>14</v>
      </c>
      <c r="F291" s="5" t="str">
        <f>CVSSv3!$A$4</f>
        <v>Attack Vector</v>
      </c>
      <c r="G291" s="6" t="s">
        <v>15</v>
      </c>
      <c r="H291" s="86" t="e">
        <f>ROUNDUP((IF((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lt;=0,0,(IF(G295=CVSSv3!$C$8,ROUNDUP((MIN((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ROUNDUP((MIN(1.08*((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IF(G299=CVSSv3!$C$12,CVSSv3!$C$25,(IF(G299=CVSSv3!$D$12,CVSSv3!$D$25,(IF(G299=CVSSv3!$E$12,CVSSv3!$E$25,(IF(G299=CVSSv3!$F$12,CVSSv3!$F$25,""))))))))*(IF(G300=CVSSv3!$C$13,CVSSv3!$C$26,(IF(G300=CVSSv3!$D$13,CVSSv3!$D$26,(IF(G300=CVSSv3!$E$13,CVSSv3!$E$26,(IF(G300=CVSSv3!$F$13,CVSSv3!$F$26,""))))))))*(IF(G301=CVSSv3!$C$14,CVSSv3!$C$27,(IF(G301=CVSSv3!$D$14,CVSSv3!$D$27,(IF(G301=CVSSv3!$E$14,CVSSv3!$E$27,""))))))),1)</f>
        <v>#VALUE!</v>
      </c>
      <c r="I291" s="87">
        <v>0</v>
      </c>
      <c r="J291" s="87">
        <v>0</v>
      </c>
      <c r="K291" s="83" t="s">
        <v>14</v>
      </c>
      <c r="L291" s="83" t="s">
        <v>14</v>
      </c>
      <c r="M291" s="83" t="s">
        <v>16</v>
      </c>
    </row>
    <row r="292" spans="1:13" ht="15.75" x14ac:dyDescent="0.2">
      <c r="A292" s="85"/>
      <c r="B292" s="83"/>
      <c r="C292" s="83"/>
      <c r="D292" s="83"/>
      <c r="E292" s="83"/>
      <c r="F292" s="7" t="str">
        <f>CVSSv3!$A$5</f>
        <v>Attack Complexity</v>
      </c>
      <c r="G292" s="8" t="s">
        <v>32</v>
      </c>
      <c r="H292" s="86"/>
      <c r="I292" s="87"/>
      <c r="J292" s="87"/>
      <c r="K292" s="83"/>
      <c r="L292" s="83"/>
      <c r="M292" s="83"/>
    </row>
    <row r="293" spans="1:13" ht="15.75" x14ac:dyDescent="0.2">
      <c r="A293" s="85"/>
      <c r="B293" s="83"/>
      <c r="C293" s="83"/>
      <c r="D293" s="83"/>
      <c r="E293" s="83"/>
      <c r="F293" s="7" t="str">
        <f>CVSSv3!$A$6</f>
        <v>Privilege Required</v>
      </c>
      <c r="G293" s="8" t="s">
        <v>33</v>
      </c>
      <c r="H293" s="86"/>
      <c r="I293" s="87"/>
      <c r="J293" s="87"/>
      <c r="K293" s="83"/>
      <c r="L293" s="83"/>
      <c r="M293" s="83"/>
    </row>
    <row r="294" spans="1:13" ht="15.75" x14ac:dyDescent="0.2">
      <c r="A294" s="85"/>
      <c r="B294" s="83"/>
      <c r="C294" s="83"/>
      <c r="D294" s="83"/>
      <c r="E294" s="83"/>
      <c r="F294" s="7" t="str">
        <f>CVSSv3!$A$7</f>
        <v>User Interaction</v>
      </c>
      <c r="G294" s="8" t="s">
        <v>34</v>
      </c>
      <c r="H294" s="86"/>
      <c r="I294" s="87"/>
      <c r="J294" s="87"/>
      <c r="K294" s="83"/>
      <c r="L294" s="83"/>
      <c r="M294" s="83"/>
    </row>
    <row r="295" spans="1:13" ht="15.75" x14ac:dyDescent="0.2">
      <c r="A295" s="85"/>
      <c r="B295" s="83"/>
      <c r="C295" s="83"/>
      <c r="D295" s="83"/>
      <c r="E295" s="83"/>
      <c r="F295" s="7" t="str">
        <f>CVSSv3!$A$8</f>
        <v>Scope</v>
      </c>
      <c r="G295" s="8" t="s">
        <v>35</v>
      </c>
      <c r="H295" s="86"/>
      <c r="I295" s="87"/>
      <c r="J295" s="87"/>
      <c r="K295" s="83"/>
      <c r="L295" s="83"/>
      <c r="M295" s="83"/>
    </row>
    <row r="296" spans="1:13" ht="15.75" x14ac:dyDescent="0.2">
      <c r="A296" s="85"/>
      <c r="B296" s="83"/>
      <c r="C296" s="83"/>
      <c r="D296" s="83"/>
      <c r="E296" s="83"/>
      <c r="F296" s="7" t="str">
        <f>CVSSv3!$A$9</f>
        <v>Confidentiality Impact</v>
      </c>
      <c r="G296" s="8" t="s">
        <v>36</v>
      </c>
      <c r="H296" s="86"/>
      <c r="I296" s="87"/>
      <c r="J296" s="87"/>
      <c r="K296" s="83"/>
      <c r="L296" s="83"/>
      <c r="M296" s="83"/>
    </row>
    <row r="297" spans="1:13" ht="15.75" x14ac:dyDescent="0.2">
      <c r="A297" s="85"/>
      <c r="B297" s="83"/>
      <c r="C297" s="83"/>
      <c r="D297" s="83"/>
      <c r="E297" s="83"/>
      <c r="F297" s="7" t="str">
        <f>CVSSv3!$A$10</f>
        <v>Integrity Impact</v>
      </c>
      <c r="G297" s="8" t="s">
        <v>36</v>
      </c>
      <c r="H297" s="86"/>
      <c r="I297" s="87"/>
      <c r="J297" s="87"/>
      <c r="K297" s="83"/>
      <c r="L297" s="83"/>
      <c r="M297" s="83"/>
    </row>
    <row r="298" spans="1:13" ht="15.75" x14ac:dyDescent="0.2">
      <c r="A298" s="85"/>
      <c r="B298" s="83"/>
      <c r="C298" s="83"/>
      <c r="D298" s="83"/>
      <c r="E298" s="83"/>
      <c r="F298" s="7" t="str">
        <f>CVSSv3!$A$11</f>
        <v>Availability Impact</v>
      </c>
      <c r="G298" s="8" t="s">
        <v>36</v>
      </c>
      <c r="H298" s="86"/>
      <c r="I298" s="87"/>
      <c r="J298" s="87"/>
      <c r="K298" s="83"/>
      <c r="L298" s="83"/>
      <c r="M298" s="83"/>
    </row>
    <row r="299" spans="1:13" ht="15.75" x14ac:dyDescent="0.2">
      <c r="A299" s="85"/>
      <c r="B299" s="83"/>
      <c r="C299" s="83"/>
      <c r="D299" s="83"/>
      <c r="E299" s="83"/>
      <c r="F299" s="7" t="str">
        <f>CVSSv3!$A$12</f>
        <v>Exploit Code Maturity</v>
      </c>
      <c r="G299" s="8" t="s">
        <v>32</v>
      </c>
      <c r="H299" s="86"/>
      <c r="I299" s="87"/>
      <c r="J299" s="87"/>
      <c r="K299" s="83"/>
      <c r="L299" s="83"/>
      <c r="M299" s="83"/>
    </row>
    <row r="300" spans="1:13" ht="15.75" x14ac:dyDescent="0.2">
      <c r="A300" s="85"/>
      <c r="B300" s="83"/>
      <c r="C300" s="83"/>
      <c r="D300" s="83"/>
      <c r="E300" s="83"/>
      <c r="F300" s="7" t="str">
        <f>CVSSv3!$A$13</f>
        <v>Remediation Level</v>
      </c>
      <c r="G300" s="8" t="s">
        <v>37</v>
      </c>
      <c r="H300" s="86"/>
      <c r="I300" s="87"/>
      <c r="J300" s="87"/>
      <c r="K300" s="83"/>
      <c r="L300" s="83"/>
      <c r="M300" s="83"/>
    </row>
    <row r="301" spans="1:13" ht="15.75" x14ac:dyDescent="0.2">
      <c r="A301" s="85"/>
      <c r="B301" s="83"/>
      <c r="C301" s="83"/>
      <c r="D301" s="83"/>
      <c r="E301" s="83"/>
      <c r="F301" s="7" t="str">
        <f>CVSSv3!$A$14</f>
        <v>Report Confidence</v>
      </c>
      <c r="G301" s="8" t="s">
        <v>38</v>
      </c>
      <c r="H301" s="86"/>
      <c r="I301" s="87"/>
      <c r="J301" s="87"/>
      <c r="K301" s="83"/>
      <c r="L301" s="83"/>
      <c r="M301" s="83"/>
    </row>
    <row r="302" spans="1:13" ht="15.75" x14ac:dyDescent="0.2">
      <c r="A302" s="85"/>
      <c r="B302" s="83"/>
      <c r="C302" s="83"/>
      <c r="D302" s="83"/>
      <c r="E302" s="83"/>
      <c r="F302" s="84" t="str">
        <f>"("&amp;CVSSv3!$B$4&amp;":"&amp;IF(G291=CVSSv3!$C$4,CVSSv3!$C$30,IF(G291=CVSSv3!$D$4,CVSSv3!$D$30,IF(G291=CVSSv3!$E$4,CVSSv3!$E$30,IF(G291=CVSSv3!$F$4,CVSSv3!$F$30,""))))&amp;"/"&amp;CVSSv3!$B$5&amp;":"&amp;IF(G292=CVSSv3!$C$5,CVSSv3!$C$31,IF(G292=CVSSv3!$D$5,CVSSv3!$D$31,""))&amp;"/"&amp;CVSSv3!$B$6&amp;":"&amp;IF(G293=CVSSv3!$C$6,CVSSv3!$C$32,IF(G293=CVSSv3!$D$6,CVSSv3!$D$32,IF(G293=CVSSv3!$E$6,CVSSv3!$E$32,"")))&amp;"/"&amp;CVSSv3!$B$7&amp;":"&amp;IF(G294=CVSSv3!$C$7,CVSSv3!$C$33,IF(G294=CVSSv3!$D$7,CVSSv3!$D$33,""))&amp;"/"&amp;CVSSv3!$B$8&amp;":"&amp;IF(G295=CVSSv3!$C$8,CVSSv3!$C$34,IF(G295=CVSSv3!$D$8,CVSSv3!$D$34,""))&amp;"/"&amp;CVSSv3!$B$9&amp;":"&amp;IF(G296=CVSSv3!$C$9,CVSSv3!$C$35,IF(G296=CVSSv3!$D$9,CVSSv3!$D$35,IF(G296=CVSSv3!$E$9,CVSSv3!$E$35,"")))&amp;"/"&amp;CVSSv3!$B$10&amp;":"&amp;IF(G297=CVSSv3!$C$10,CVSSv3!$C$36,IF(G297=CVSSv3!$D$10,CVSSv3!$D$36,IF(G297=CVSSv3!$E$10,CVSSv3!$E$36,"")))&amp;"/"&amp;CVSSv3!$B$11&amp;":"&amp;IF(G298=CVSSv3!$C$11,CVSSv3!$C$37,IF(G298=CVSSv3!$D$11,CVSSv3!$D$37,IF(G298=CVSSv3!$E$11,CVSSv3!$E$37,"")))&amp;"/"&amp;CVSSv3!$B$12&amp;":"&amp;IF(G299=CVSSv3!$C$12,CVSSv3!$C$38,IF(G299=CVSSv3!$D$12,CVSSv3!$D$38,IF(G299=CVSSv3!$E$12,CVSSv3!$E$38,IF(G299=CVSSv3!$F$12,CVSSv3!$F$38,""))))&amp;"/"&amp;CVSSv3!$B$13&amp;":"&amp;IF(G300=CVSSv3!$C$13,CVSSv3!$C$39,IF(G300=CVSSv3!$D$13,CVSSv3!$D$39,IF(G300=CVSSv3!$E$13,CVSSv3!$E$39,IF(G300=CVSSv3!$F$13,CVSSv3!$F$39,""))))&amp;"/"&amp;CVSSv3!$B$14&amp;":"&amp;IF(G301=CVSSv3!$C$14,CVSSv3!$C$40,IF(G301=CVSSv3!$D$14,CVSSv3!$D$40,IF(G301=CVSSv3!$E$14,CVSSv3!$E$40,"")))&amp;")"</f>
        <v>(AV:/AC:/PR:/UI:/S:/C:/I:/A:/E:/RL:/RC:)</v>
      </c>
      <c r="G302" s="84"/>
      <c r="H302" s="86"/>
      <c r="I302" s="87"/>
      <c r="J302" s="87"/>
      <c r="K302" s="83"/>
      <c r="L302" s="83"/>
      <c r="M302" s="83"/>
    </row>
    <row r="303" spans="1:13" ht="15.75" customHeight="1" x14ac:dyDescent="0.25">
      <c r="A303" s="85">
        <v>26</v>
      </c>
      <c r="B303" s="83" t="s">
        <v>56</v>
      </c>
      <c r="C303" s="83" t="s">
        <v>14</v>
      </c>
      <c r="D303" s="83" t="s">
        <v>14</v>
      </c>
      <c r="E303" s="83" t="s">
        <v>14</v>
      </c>
      <c r="F303" s="5" t="str">
        <f>CVSSv3!$A$4</f>
        <v>Attack Vector</v>
      </c>
      <c r="G303" s="6" t="s">
        <v>15</v>
      </c>
      <c r="H303" s="86" t="e">
        <f>ROUNDUP((IF((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lt;=0,0,(IF(G307=CVSSv3!$C$8,ROUNDUP((MIN((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ROUNDUP((MIN(1.08*((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IF(G311=CVSSv3!$C$12,CVSSv3!$C$25,(IF(G311=CVSSv3!$D$12,CVSSv3!$D$25,(IF(G311=CVSSv3!$E$12,CVSSv3!$E$25,(IF(G311=CVSSv3!$F$12,CVSSv3!$F$25,""))))))))*(IF(G312=CVSSv3!$C$13,CVSSv3!$C$26,(IF(G312=CVSSv3!$D$13,CVSSv3!$D$26,(IF(G312=CVSSv3!$E$13,CVSSv3!$E$26,(IF(G312=CVSSv3!$F$13,CVSSv3!$F$26,""))))))))*(IF(G313=CVSSv3!$C$14,CVSSv3!$C$27,(IF(G313=CVSSv3!$D$14,CVSSv3!$D$27,(IF(G313=CVSSv3!$E$14,CVSSv3!$E$27,""))))))),1)</f>
        <v>#VALUE!</v>
      </c>
      <c r="I303" s="87">
        <v>0</v>
      </c>
      <c r="J303" s="87">
        <v>0</v>
      </c>
      <c r="K303" s="83" t="s">
        <v>14</v>
      </c>
      <c r="L303" s="83" t="s">
        <v>14</v>
      </c>
      <c r="M303" s="83" t="s">
        <v>16</v>
      </c>
    </row>
    <row r="304" spans="1:13" ht="15.75" x14ac:dyDescent="0.2">
      <c r="A304" s="85"/>
      <c r="B304" s="83"/>
      <c r="C304" s="83"/>
      <c r="D304" s="83"/>
      <c r="E304" s="83"/>
      <c r="F304" s="7" t="str">
        <f>CVSSv3!$A$5</f>
        <v>Attack Complexity</v>
      </c>
      <c r="G304" s="8" t="s">
        <v>32</v>
      </c>
      <c r="H304" s="86"/>
      <c r="I304" s="87"/>
      <c r="J304" s="87"/>
      <c r="K304" s="83"/>
      <c r="L304" s="83"/>
      <c r="M304" s="83"/>
    </row>
    <row r="305" spans="1:13" ht="15.75" x14ac:dyDescent="0.2">
      <c r="A305" s="85"/>
      <c r="B305" s="83"/>
      <c r="C305" s="83"/>
      <c r="D305" s="83"/>
      <c r="E305" s="83"/>
      <c r="F305" s="7" t="str">
        <f>CVSSv3!$A$6</f>
        <v>Privilege Required</v>
      </c>
      <c r="G305" s="8" t="s">
        <v>33</v>
      </c>
      <c r="H305" s="86"/>
      <c r="I305" s="87"/>
      <c r="J305" s="87"/>
      <c r="K305" s="83"/>
      <c r="L305" s="83"/>
      <c r="M305" s="83"/>
    </row>
    <row r="306" spans="1:13" ht="15.75" x14ac:dyDescent="0.2">
      <c r="A306" s="85"/>
      <c r="B306" s="83"/>
      <c r="C306" s="83"/>
      <c r="D306" s="83"/>
      <c r="E306" s="83"/>
      <c r="F306" s="7" t="str">
        <f>CVSSv3!$A$7</f>
        <v>User Interaction</v>
      </c>
      <c r="G306" s="8" t="s">
        <v>34</v>
      </c>
      <c r="H306" s="86"/>
      <c r="I306" s="87"/>
      <c r="J306" s="87"/>
      <c r="K306" s="83"/>
      <c r="L306" s="83"/>
      <c r="M306" s="83"/>
    </row>
    <row r="307" spans="1:13" ht="15.75" x14ac:dyDescent="0.2">
      <c r="A307" s="85"/>
      <c r="B307" s="83"/>
      <c r="C307" s="83"/>
      <c r="D307" s="83"/>
      <c r="E307" s="83"/>
      <c r="F307" s="7" t="str">
        <f>CVSSv3!$A$8</f>
        <v>Scope</v>
      </c>
      <c r="G307" s="8" t="s">
        <v>35</v>
      </c>
      <c r="H307" s="86"/>
      <c r="I307" s="87"/>
      <c r="J307" s="87"/>
      <c r="K307" s="83"/>
      <c r="L307" s="83"/>
      <c r="M307" s="83"/>
    </row>
    <row r="308" spans="1:13" ht="15.75" x14ac:dyDescent="0.2">
      <c r="A308" s="85"/>
      <c r="B308" s="83"/>
      <c r="C308" s="83"/>
      <c r="D308" s="83"/>
      <c r="E308" s="83"/>
      <c r="F308" s="7" t="str">
        <f>CVSSv3!$A$9</f>
        <v>Confidentiality Impact</v>
      </c>
      <c r="G308" s="8" t="s">
        <v>36</v>
      </c>
      <c r="H308" s="86"/>
      <c r="I308" s="87"/>
      <c r="J308" s="87"/>
      <c r="K308" s="83"/>
      <c r="L308" s="83"/>
      <c r="M308" s="83"/>
    </row>
    <row r="309" spans="1:13" ht="15.75" x14ac:dyDescent="0.2">
      <c r="A309" s="85"/>
      <c r="B309" s="83"/>
      <c r="C309" s="83"/>
      <c r="D309" s="83"/>
      <c r="E309" s="83"/>
      <c r="F309" s="7" t="str">
        <f>CVSSv3!$A$10</f>
        <v>Integrity Impact</v>
      </c>
      <c r="G309" s="8" t="s">
        <v>36</v>
      </c>
      <c r="H309" s="86"/>
      <c r="I309" s="87"/>
      <c r="J309" s="87"/>
      <c r="K309" s="83"/>
      <c r="L309" s="83"/>
      <c r="M309" s="83"/>
    </row>
    <row r="310" spans="1:13" ht="15.75" x14ac:dyDescent="0.2">
      <c r="A310" s="85"/>
      <c r="B310" s="83"/>
      <c r="C310" s="83"/>
      <c r="D310" s="83"/>
      <c r="E310" s="83"/>
      <c r="F310" s="7" t="str">
        <f>CVSSv3!$A$11</f>
        <v>Availability Impact</v>
      </c>
      <c r="G310" s="8" t="s">
        <v>36</v>
      </c>
      <c r="H310" s="86"/>
      <c r="I310" s="87"/>
      <c r="J310" s="87"/>
      <c r="K310" s="83"/>
      <c r="L310" s="83"/>
      <c r="M310" s="83"/>
    </row>
    <row r="311" spans="1:13" ht="15.75" x14ac:dyDescent="0.2">
      <c r="A311" s="85"/>
      <c r="B311" s="83"/>
      <c r="C311" s="83"/>
      <c r="D311" s="83"/>
      <c r="E311" s="83"/>
      <c r="F311" s="7" t="str">
        <f>CVSSv3!$A$12</f>
        <v>Exploit Code Maturity</v>
      </c>
      <c r="G311" s="8" t="s">
        <v>32</v>
      </c>
      <c r="H311" s="86"/>
      <c r="I311" s="87"/>
      <c r="J311" s="87"/>
      <c r="K311" s="83"/>
      <c r="L311" s="83"/>
      <c r="M311" s="83"/>
    </row>
    <row r="312" spans="1:13" ht="15.75" x14ac:dyDescent="0.2">
      <c r="A312" s="85"/>
      <c r="B312" s="83"/>
      <c r="C312" s="83"/>
      <c r="D312" s="83"/>
      <c r="E312" s="83"/>
      <c r="F312" s="7" t="str">
        <f>CVSSv3!$A$13</f>
        <v>Remediation Level</v>
      </c>
      <c r="G312" s="8" t="s">
        <v>37</v>
      </c>
      <c r="H312" s="86"/>
      <c r="I312" s="87"/>
      <c r="J312" s="87"/>
      <c r="K312" s="83"/>
      <c r="L312" s="83"/>
      <c r="M312" s="83"/>
    </row>
    <row r="313" spans="1:13" ht="15.75" x14ac:dyDescent="0.2">
      <c r="A313" s="85"/>
      <c r="B313" s="83"/>
      <c r="C313" s="83"/>
      <c r="D313" s="83"/>
      <c r="E313" s="83"/>
      <c r="F313" s="7" t="str">
        <f>CVSSv3!$A$14</f>
        <v>Report Confidence</v>
      </c>
      <c r="G313" s="8" t="s">
        <v>38</v>
      </c>
      <c r="H313" s="86"/>
      <c r="I313" s="87"/>
      <c r="J313" s="87"/>
      <c r="K313" s="83"/>
      <c r="L313" s="83"/>
      <c r="M313" s="83"/>
    </row>
    <row r="314" spans="1:13" ht="15.75" x14ac:dyDescent="0.2">
      <c r="A314" s="85"/>
      <c r="B314" s="83"/>
      <c r="C314" s="83"/>
      <c r="D314" s="83"/>
      <c r="E314" s="83"/>
      <c r="F314" s="84" t="str">
        <f>"("&amp;CVSSv3!$B$4&amp;":"&amp;IF(G303=CVSSv3!$C$4,CVSSv3!$C$30,IF(G303=CVSSv3!$D$4,CVSSv3!$D$30,IF(G303=CVSSv3!$E$4,CVSSv3!$E$30,IF(G303=CVSSv3!$F$4,CVSSv3!$F$30,""))))&amp;"/"&amp;CVSSv3!$B$5&amp;":"&amp;IF(G304=CVSSv3!$C$5,CVSSv3!$C$31,IF(G304=CVSSv3!$D$5,CVSSv3!$D$31,""))&amp;"/"&amp;CVSSv3!$B$6&amp;":"&amp;IF(G305=CVSSv3!$C$6,CVSSv3!$C$32,IF(G305=CVSSv3!$D$6,CVSSv3!$D$32,IF(G305=CVSSv3!$E$6,CVSSv3!$E$32,"")))&amp;"/"&amp;CVSSv3!$B$7&amp;":"&amp;IF(G306=CVSSv3!$C$7,CVSSv3!$C$33,IF(G306=CVSSv3!$D$7,CVSSv3!$D$33,""))&amp;"/"&amp;CVSSv3!$B$8&amp;":"&amp;IF(G307=CVSSv3!$C$8,CVSSv3!$C$34,IF(G307=CVSSv3!$D$8,CVSSv3!$D$34,""))&amp;"/"&amp;CVSSv3!$B$9&amp;":"&amp;IF(G308=CVSSv3!$C$9,CVSSv3!$C$35,IF(G308=CVSSv3!$D$9,CVSSv3!$D$35,IF(G308=CVSSv3!$E$9,CVSSv3!$E$35,"")))&amp;"/"&amp;CVSSv3!$B$10&amp;":"&amp;IF(G309=CVSSv3!$C$10,CVSSv3!$C$36,IF(G309=CVSSv3!$D$10,CVSSv3!$D$36,IF(G309=CVSSv3!$E$10,CVSSv3!$E$36,"")))&amp;"/"&amp;CVSSv3!$B$11&amp;":"&amp;IF(G310=CVSSv3!$C$11,CVSSv3!$C$37,IF(G310=CVSSv3!$D$11,CVSSv3!$D$37,IF(G310=CVSSv3!$E$11,CVSSv3!$E$37,"")))&amp;"/"&amp;CVSSv3!$B$12&amp;":"&amp;IF(G311=CVSSv3!$C$12,CVSSv3!$C$38,IF(G311=CVSSv3!$D$12,CVSSv3!$D$38,IF(G311=CVSSv3!$E$12,CVSSv3!$E$38,IF(G311=CVSSv3!$F$12,CVSSv3!$F$38,""))))&amp;"/"&amp;CVSSv3!$B$13&amp;":"&amp;IF(G312=CVSSv3!$C$13,CVSSv3!$C$39,IF(G312=CVSSv3!$D$13,CVSSv3!$D$39,IF(G312=CVSSv3!$E$13,CVSSv3!$E$39,IF(G312=CVSSv3!$F$13,CVSSv3!$F$39,""))))&amp;"/"&amp;CVSSv3!$B$14&amp;":"&amp;IF(G313=CVSSv3!$C$14,CVSSv3!$C$40,IF(G313=CVSSv3!$D$14,CVSSv3!$D$40,IF(G313=CVSSv3!$E$14,CVSSv3!$E$40,"")))&amp;")"</f>
        <v>(AV:/AC:/PR:/UI:/S:/C:/I:/A:/E:/RL:/RC:)</v>
      </c>
      <c r="G314" s="84"/>
      <c r="H314" s="86"/>
      <c r="I314" s="87"/>
      <c r="J314" s="87"/>
      <c r="K314" s="83"/>
      <c r="L314" s="83"/>
      <c r="M314" s="83"/>
    </row>
    <row r="315" spans="1:13" ht="15.75" customHeight="1" x14ac:dyDescent="0.25">
      <c r="A315" s="85">
        <v>27</v>
      </c>
      <c r="B315" s="83" t="s">
        <v>57</v>
      </c>
      <c r="C315" s="83" t="s">
        <v>14</v>
      </c>
      <c r="D315" s="83" t="s">
        <v>14</v>
      </c>
      <c r="E315" s="83" t="s">
        <v>14</v>
      </c>
      <c r="F315" s="5" t="str">
        <f>CVSSv3!$A$4</f>
        <v>Attack Vector</v>
      </c>
      <c r="G315" s="6" t="s">
        <v>15</v>
      </c>
      <c r="H315" s="86" t="e">
        <f>ROUNDUP((IF((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lt;=0,0,(IF(G319=CVSSv3!$C$8,ROUNDUP((MIN((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ROUNDUP((MIN(1.08*((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IF(G323=CVSSv3!$C$12,CVSSv3!$C$25,(IF(G323=CVSSv3!$D$12,CVSSv3!$D$25,(IF(G323=CVSSv3!$E$12,CVSSv3!$E$25,(IF(G323=CVSSv3!$F$12,CVSSv3!$F$25,""))))))))*(IF(G324=CVSSv3!$C$13,CVSSv3!$C$26,(IF(G324=CVSSv3!$D$13,CVSSv3!$D$26,(IF(G324=CVSSv3!$E$13,CVSSv3!$E$26,(IF(G324=CVSSv3!$F$13,CVSSv3!$F$26,""))))))))*(IF(G325=CVSSv3!$C$14,CVSSv3!$C$27,(IF(G325=CVSSv3!$D$14,CVSSv3!$D$27,(IF(G325=CVSSv3!$E$14,CVSSv3!$E$27,""))))))),1)</f>
        <v>#VALUE!</v>
      </c>
      <c r="I315" s="87">
        <v>0</v>
      </c>
      <c r="J315" s="87">
        <v>0</v>
      </c>
      <c r="K315" s="83" t="s">
        <v>14</v>
      </c>
      <c r="L315" s="83" t="s">
        <v>14</v>
      </c>
      <c r="M315" s="83" t="s">
        <v>16</v>
      </c>
    </row>
    <row r="316" spans="1:13" ht="15.75" x14ac:dyDescent="0.2">
      <c r="A316" s="85"/>
      <c r="B316" s="83"/>
      <c r="C316" s="83"/>
      <c r="D316" s="83"/>
      <c r="E316" s="83"/>
      <c r="F316" s="7" t="str">
        <f>CVSSv3!$A$5</f>
        <v>Attack Complexity</v>
      </c>
      <c r="G316" s="8" t="s">
        <v>32</v>
      </c>
      <c r="H316" s="86"/>
      <c r="I316" s="87"/>
      <c r="J316" s="87"/>
      <c r="K316" s="83"/>
      <c r="L316" s="83"/>
      <c r="M316" s="83"/>
    </row>
    <row r="317" spans="1:13" ht="15.75" x14ac:dyDescent="0.2">
      <c r="A317" s="85"/>
      <c r="B317" s="83"/>
      <c r="C317" s="83"/>
      <c r="D317" s="83"/>
      <c r="E317" s="83"/>
      <c r="F317" s="7" t="str">
        <f>CVSSv3!$A$6</f>
        <v>Privilege Required</v>
      </c>
      <c r="G317" s="8" t="s">
        <v>33</v>
      </c>
      <c r="H317" s="86"/>
      <c r="I317" s="87"/>
      <c r="J317" s="87"/>
      <c r="K317" s="83"/>
      <c r="L317" s="83"/>
      <c r="M317" s="83"/>
    </row>
    <row r="318" spans="1:13" ht="15.75" x14ac:dyDescent="0.2">
      <c r="A318" s="85"/>
      <c r="B318" s="83"/>
      <c r="C318" s="83"/>
      <c r="D318" s="83"/>
      <c r="E318" s="83"/>
      <c r="F318" s="7" t="str">
        <f>CVSSv3!$A$7</f>
        <v>User Interaction</v>
      </c>
      <c r="G318" s="8" t="s">
        <v>34</v>
      </c>
      <c r="H318" s="86"/>
      <c r="I318" s="87"/>
      <c r="J318" s="87"/>
      <c r="K318" s="83"/>
      <c r="L318" s="83"/>
      <c r="M318" s="83"/>
    </row>
    <row r="319" spans="1:13" ht="15.75" x14ac:dyDescent="0.2">
      <c r="A319" s="85"/>
      <c r="B319" s="83"/>
      <c r="C319" s="83"/>
      <c r="D319" s="83"/>
      <c r="E319" s="83"/>
      <c r="F319" s="7" t="str">
        <f>CVSSv3!$A$8</f>
        <v>Scope</v>
      </c>
      <c r="G319" s="8" t="s">
        <v>35</v>
      </c>
      <c r="H319" s="86"/>
      <c r="I319" s="87"/>
      <c r="J319" s="87"/>
      <c r="K319" s="83"/>
      <c r="L319" s="83"/>
      <c r="M319" s="83"/>
    </row>
    <row r="320" spans="1:13" ht="15.75" x14ac:dyDescent="0.2">
      <c r="A320" s="85"/>
      <c r="B320" s="83"/>
      <c r="C320" s="83"/>
      <c r="D320" s="83"/>
      <c r="E320" s="83"/>
      <c r="F320" s="7" t="str">
        <f>CVSSv3!$A$9</f>
        <v>Confidentiality Impact</v>
      </c>
      <c r="G320" s="8" t="s">
        <v>36</v>
      </c>
      <c r="H320" s="86"/>
      <c r="I320" s="87"/>
      <c r="J320" s="87"/>
      <c r="K320" s="83"/>
      <c r="L320" s="83"/>
      <c r="M320" s="83"/>
    </row>
    <row r="321" spans="1:13" ht="15.75" x14ac:dyDescent="0.2">
      <c r="A321" s="85"/>
      <c r="B321" s="83"/>
      <c r="C321" s="83"/>
      <c r="D321" s="83"/>
      <c r="E321" s="83"/>
      <c r="F321" s="7" t="str">
        <f>CVSSv3!$A$10</f>
        <v>Integrity Impact</v>
      </c>
      <c r="G321" s="8" t="s">
        <v>36</v>
      </c>
      <c r="H321" s="86"/>
      <c r="I321" s="87"/>
      <c r="J321" s="87"/>
      <c r="K321" s="83"/>
      <c r="L321" s="83"/>
      <c r="M321" s="83"/>
    </row>
    <row r="322" spans="1:13" ht="15.75" x14ac:dyDescent="0.2">
      <c r="A322" s="85"/>
      <c r="B322" s="83"/>
      <c r="C322" s="83"/>
      <c r="D322" s="83"/>
      <c r="E322" s="83"/>
      <c r="F322" s="7" t="str">
        <f>CVSSv3!$A$11</f>
        <v>Availability Impact</v>
      </c>
      <c r="G322" s="8" t="s">
        <v>36</v>
      </c>
      <c r="H322" s="86"/>
      <c r="I322" s="87"/>
      <c r="J322" s="87"/>
      <c r="K322" s="83"/>
      <c r="L322" s="83"/>
      <c r="M322" s="83"/>
    </row>
    <row r="323" spans="1:13" ht="15.75" x14ac:dyDescent="0.2">
      <c r="A323" s="85"/>
      <c r="B323" s="83"/>
      <c r="C323" s="83"/>
      <c r="D323" s="83"/>
      <c r="E323" s="83"/>
      <c r="F323" s="7" t="str">
        <f>CVSSv3!$A$12</f>
        <v>Exploit Code Maturity</v>
      </c>
      <c r="G323" s="8" t="s">
        <v>32</v>
      </c>
      <c r="H323" s="86"/>
      <c r="I323" s="87"/>
      <c r="J323" s="87"/>
      <c r="K323" s="83"/>
      <c r="L323" s="83"/>
      <c r="M323" s="83"/>
    </row>
    <row r="324" spans="1:13" ht="15.75" x14ac:dyDescent="0.2">
      <c r="A324" s="85"/>
      <c r="B324" s="83"/>
      <c r="C324" s="83"/>
      <c r="D324" s="83"/>
      <c r="E324" s="83"/>
      <c r="F324" s="7" t="str">
        <f>CVSSv3!$A$13</f>
        <v>Remediation Level</v>
      </c>
      <c r="G324" s="8" t="s">
        <v>37</v>
      </c>
      <c r="H324" s="86"/>
      <c r="I324" s="87"/>
      <c r="J324" s="87"/>
      <c r="K324" s="83"/>
      <c r="L324" s="83"/>
      <c r="M324" s="83"/>
    </row>
    <row r="325" spans="1:13" ht="15.75" x14ac:dyDescent="0.2">
      <c r="A325" s="85"/>
      <c r="B325" s="83"/>
      <c r="C325" s="83"/>
      <c r="D325" s="83"/>
      <c r="E325" s="83"/>
      <c r="F325" s="7" t="str">
        <f>CVSSv3!$A$14</f>
        <v>Report Confidence</v>
      </c>
      <c r="G325" s="8" t="s">
        <v>38</v>
      </c>
      <c r="H325" s="86"/>
      <c r="I325" s="87"/>
      <c r="J325" s="87"/>
      <c r="K325" s="83"/>
      <c r="L325" s="83"/>
      <c r="M325" s="83"/>
    </row>
    <row r="326" spans="1:13" ht="15.75" x14ac:dyDescent="0.2">
      <c r="A326" s="85"/>
      <c r="B326" s="83"/>
      <c r="C326" s="83"/>
      <c r="D326" s="83"/>
      <c r="E326" s="83"/>
      <c r="F326" s="84" t="str">
        <f>"("&amp;CVSSv3!$B$4&amp;":"&amp;IF(G315=CVSSv3!$C$4,CVSSv3!$C$30,IF(G315=CVSSv3!$D$4,CVSSv3!$D$30,IF(G315=CVSSv3!$E$4,CVSSv3!$E$30,IF(G315=CVSSv3!$F$4,CVSSv3!$F$30,""))))&amp;"/"&amp;CVSSv3!$B$5&amp;":"&amp;IF(G316=CVSSv3!$C$5,CVSSv3!$C$31,IF(G316=CVSSv3!$D$5,CVSSv3!$D$31,""))&amp;"/"&amp;CVSSv3!$B$6&amp;":"&amp;IF(G317=CVSSv3!$C$6,CVSSv3!$C$32,IF(G317=CVSSv3!$D$6,CVSSv3!$D$32,IF(G317=CVSSv3!$E$6,CVSSv3!$E$32,"")))&amp;"/"&amp;CVSSv3!$B$7&amp;":"&amp;IF(G318=CVSSv3!$C$7,CVSSv3!$C$33,IF(G318=CVSSv3!$D$7,CVSSv3!$D$33,""))&amp;"/"&amp;CVSSv3!$B$8&amp;":"&amp;IF(G319=CVSSv3!$C$8,CVSSv3!$C$34,IF(G319=CVSSv3!$D$8,CVSSv3!$D$34,""))&amp;"/"&amp;CVSSv3!$B$9&amp;":"&amp;IF(G320=CVSSv3!$C$9,CVSSv3!$C$35,IF(G320=CVSSv3!$D$9,CVSSv3!$D$35,IF(G320=CVSSv3!$E$9,CVSSv3!$E$35,"")))&amp;"/"&amp;CVSSv3!$B$10&amp;":"&amp;IF(G321=CVSSv3!$C$10,CVSSv3!$C$36,IF(G321=CVSSv3!$D$10,CVSSv3!$D$36,IF(G321=CVSSv3!$E$10,CVSSv3!$E$36,"")))&amp;"/"&amp;CVSSv3!$B$11&amp;":"&amp;IF(G322=CVSSv3!$C$11,CVSSv3!$C$37,IF(G322=CVSSv3!$D$11,CVSSv3!$D$37,IF(G322=CVSSv3!$E$11,CVSSv3!$E$37,"")))&amp;"/"&amp;CVSSv3!$B$12&amp;":"&amp;IF(G323=CVSSv3!$C$12,CVSSv3!$C$38,IF(G323=CVSSv3!$D$12,CVSSv3!$D$38,IF(G323=CVSSv3!$E$12,CVSSv3!$E$38,IF(G323=CVSSv3!$F$12,CVSSv3!$F$38,""))))&amp;"/"&amp;CVSSv3!$B$13&amp;":"&amp;IF(G324=CVSSv3!$C$13,CVSSv3!$C$39,IF(G324=CVSSv3!$D$13,CVSSv3!$D$39,IF(G324=CVSSv3!$E$13,CVSSv3!$E$39,IF(G324=CVSSv3!$F$13,CVSSv3!$F$39,""))))&amp;"/"&amp;CVSSv3!$B$14&amp;":"&amp;IF(G325=CVSSv3!$C$14,CVSSv3!$C$40,IF(G325=CVSSv3!$D$14,CVSSv3!$D$40,IF(G325=CVSSv3!$E$14,CVSSv3!$E$40,"")))&amp;")"</f>
        <v>(AV:/AC:/PR:/UI:/S:/C:/I:/A:/E:/RL:/RC:)</v>
      </c>
      <c r="G326" s="84"/>
      <c r="H326" s="86"/>
      <c r="I326" s="87"/>
      <c r="J326" s="87"/>
      <c r="K326" s="83"/>
      <c r="L326" s="83"/>
      <c r="M326" s="83"/>
    </row>
    <row r="327" spans="1:13" ht="15.75" customHeight="1" x14ac:dyDescent="0.25">
      <c r="A327" s="85">
        <v>28</v>
      </c>
      <c r="B327" s="83" t="s">
        <v>58</v>
      </c>
      <c r="C327" s="83" t="s">
        <v>14</v>
      </c>
      <c r="D327" s="83" t="s">
        <v>14</v>
      </c>
      <c r="E327" s="83" t="s">
        <v>14</v>
      </c>
      <c r="F327" s="5" t="str">
        <f>CVSSv3!$A$4</f>
        <v>Attack Vector</v>
      </c>
      <c r="G327" s="6" t="s">
        <v>15</v>
      </c>
      <c r="H327" s="86" t="e">
        <f>ROUNDUP((IF((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lt;=0,0,(IF(G331=CVSSv3!$C$8,ROUNDUP((MIN((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ROUNDUP((MIN(1.08*((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IF(G335=CVSSv3!$C$12,CVSSv3!$C$25,(IF(G335=CVSSv3!$D$12,CVSSv3!$D$25,(IF(G335=CVSSv3!$E$12,CVSSv3!$E$25,(IF(G335=CVSSv3!$F$12,CVSSv3!$F$25,""))))))))*(IF(G336=CVSSv3!$C$13,CVSSv3!$C$26,(IF(G336=CVSSv3!$D$13,CVSSv3!$D$26,(IF(G336=CVSSv3!$E$13,CVSSv3!$E$26,(IF(G336=CVSSv3!$F$13,CVSSv3!$F$26,""))))))))*(IF(G337=CVSSv3!$C$14,CVSSv3!$C$27,(IF(G337=CVSSv3!$D$14,CVSSv3!$D$27,(IF(G337=CVSSv3!$E$14,CVSSv3!$E$27,""))))))),1)</f>
        <v>#VALUE!</v>
      </c>
      <c r="I327" s="87">
        <v>0</v>
      </c>
      <c r="J327" s="87">
        <v>0</v>
      </c>
      <c r="K327" s="83" t="s">
        <v>14</v>
      </c>
      <c r="L327" s="83" t="s">
        <v>14</v>
      </c>
      <c r="M327" s="83" t="s">
        <v>16</v>
      </c>
    </row>
    <row r="328" spans="1:13" ht="15.75" x14ac:dyDescent="0.2">
      <c r="A328" s="85"/>
      <c r="B328" s="83"/>
      <c r="C328" s="83"/>
      <c r="D328" s="83"/>
      <c r="E328" s="83"/>
      <c r="F328" s="7" t="str">
        <f>CVSSv3!$A$5</f>
        <v>Attack Complexity</v>
      </c>
      <c r="G328" s="8" t="s">
        <v>32</v>
      </c>
      <c r="H328" s="86"/>
      <c r="I328" s="87"/>
      <c r="J328" s="87"/>
      <c r="K328" s="83"/>
      <c r="L328" s="83"/>
      <c r="M328" s="83"/>
    </row>
    <row r="329" spans="1:13" ht="15.75" x14ac:dyDescent="0.2">
      <c r="A329" s="85"/>
      <c r="B329" s="83"/>
      <c r="C329" s="83"/>
      <c r="D329" s="83"/>
      <c r="E329" s="83"/>
      <c r="F329" s="7" t="str">
        <f>CVSSv3!$A$6</f>
        <v>Privilege Required</v>
      </c>
      <c r="G329" s="8" t="s">
        <v>33</v>
      </c>
      <c r="H329" s="86"/>
      <c r="I329" s="87"/>
      <c r="J329" s="87"/>
      <c r="K329" s="83"/>
      <c r="L329" s="83"/>
      <c r="M329" s="83"/>
    </row>
    <row r="330" spans="1:13" ht="15.75" x14ac:dyDescent="0.2">
      <c r="A330" s="85"/>
      <c r="B330" s="83"/>
      <c r="C330" s="83"/>
      <c r="D330" s="83"/>
      <c r="E330" s="83"/>
      <c r="F330" s="7" t="str">
        <f>CVSSv3!$A$7</f>
        <v>User Interaction</v>
      </c>
      <c r="G330" s="8" t="s">
        <v>34</v>
      </c>
      <c r="H330" s="86"/>
      <c r="I330" s="87"/>
      <c r="J330" s="87"/>
      <c r="K330" s="83"/>
      <c r="L330" s="83"/>
      <c r="M330" s="83"/>
    </row>
    <row r="331" spans="1:13" ht="15.75" x14ac:dyDescent="0.2">
      <c r="A331" s="85"/>
      <c r="B331" s="83"/>
      <c r="C331" s="83"/>
      <c r="D331" s="83"/>
      <c r="E331" s="83"/>
      <c r="F331" s="7" t="str">
        <f>CVSSv3!$A$8</f>
        <v>Scope</v>
      </c>
      <c r="G331" s="8" t="s">
        <v>35</v>
      </c>
      <c r="H331" s="86"/>
      <c r="I331" s="87"/>
      <c r="J331" s="87"/>
      <c r="K331" s="83"/>
      <c r="L331" s="83"/>
      <c r="M331" s="83"/>
    </row>
    <row r="332" spans="1:13" ht="15.75" x14ac:dyDescent="0.2">
      <c r="A332" s="85"/>
      <c r="B332" s="83"/>
      <c r="C332" s="83"/>
      <c r="D332" s="83"/>
      <c r="E332" s="83"/>
      <c r="F332" s="7" t="str">
        <f>CVSSv3!$A$9</f>
        <v>Confidentiality Impact</v>
      </c>
      <c r="G332" s="8" t="s">
        <v>36</v>
      </c>
      <c r="H332" s="86"/>
      <c r="I332" s="87"/>
      <c r="J332" s="87"/>
      <c r="K332" s="83"/>
      <c r="L332" s="83"/>
      <c r="M332" s="83"/>
    </row>
    <row r="333" spans="1:13" ht="15.75" x14ac:dyDescent="0.2">
      <c r="A333" s="85"/>
      <c r="B333" s="83"/>
      <c r="C333" s="83"/>
      <c r="D333" s="83"/>
      <c r="E333" s="83"/>
      <c r="F333" s="7" t="str">
        <f>CVSSv3!$A$10</f>
        <v>Integrity Impact</v>
      </c>
      <c r="G333" s="8" t="s">
        <v>36</v>
      </c>
      <c r="H333" s="86"/>
      <c r="I333" s="87"/>
      <c r="J333" s="87"/>
      <c r="K333" s="83"/>
      <c r="L333" s="83"/>
      <c r="M333" s="83"/>
    </row>
    <row r="334" spans="1:13" ht="15.75" x14ac:dyDescent="0.2">
      <c r="A334" s="85"/>
      <c r="B334" s="83"/>
      <c r="C334" s="83"/>
      <c r="D334" s="83"/>
      <c r="E334" s="83"/>
      <c r="F334" s="7" t="str">
        <f>CVSSv3!$A$11</f>
        <v>Availability Impact</v>
      </c>
      <c r="G334" s="8" t="s">
        <v>36</v>
      </c>
      <c r="H334" s="86"/>
      <c r="I334" s="87"/>
      <c r="J334" s="87"/>
      <c r="K334" s="83"/>
      <c r="L334" s="83"/>
      <c r="M334" s="83"/>
    </row>
    <row r="335" spans="1:13" ht="15.75" x14ac:dyDescent="0.2">
      <c r="A335" s="85"/>
      <c r="B335" s="83"/>
      <c r="C335" s="83"/>
      <c r="D335" s="83"/>
      <c r="E335" s="83"/>
      <c r="F335" s="7" t="str">
        <f>CVSSv3!$A$12</f>
        <v>Exploit Code Maturity</v>
      </c>
      <c r="G335" s="8" t="s">
        <v>32</v>
      </c>
      <c r="H335" s="86"/>
      <c r="I335" s="87"/>
      <c r="J335" s="87"/>
      <c r="K335" s="83"/>
      <c r="L335" s="83"/>
      <c r="M335" s="83"/>
    </row>
    <row r="336" spans="1:13" ht="15.75" x14ac:dyDescent="0.2">
      <c r="A336" s="85"/>
      <c r="B336" s="83"/>
      <c r="C336" s="83"/>
      <c r="D336" s="83"/>
      <c r="E336" s="83"/>
      <c r="F336" s="7" t="str">
        <f>CVSSv3!$A$13</f>
        <v>Remediation Level</v>
      </c>
      <c r="G336" s="8" t="s">
        <v>37</v>
      </c>
      <c r="H336" s="86"/>
      <c r="I336" s="87"/>
      <c r="J336" s="87"/>
      <c r="K336" s="83"/>
      <c r="L336" s="83"/>
      <c r="M336" s="83"/>
    </row>
    <row r="337" spans="1:13" ht="15.75" x14ac:dyDescent="0.2">
      <c r="A337" s="85"/>
      <c r="B337" s="83"/>
      <c r="C337" s="83"/>
      <c r="D337" s="83"/>
      <c r="E337" s="83"/>
      <c r="F337" s="7" t="str">
        <f>CVSSv3!$A$14</f>
        <v>Report Confidence</v>
      </c>
      <c r="G337" s="8" t="s">
        <v>38</v>
      </c>
      <c r="H337" s="86"/>
      <c r="I337" s="87"/>
      <c r="J337" s="87"/>
      <c r="K337" s="83"/>
      <c r="L337" s="83"/>
      <c r="M337" s="83"/>
    </row>
    <row r="338" spans="1:13" ht="15.75" x14ac:dyDescent="0.2">
      <c r="A338" s="85"/>
      <c r="B338" s="83"/>
      <c r="C338" s="83"/>
      <c r="D338" s="83"/>
      <c r="E338" s="83"/>
      <c r="F338" s="84" t="str">
        <f>"("&amp;CVSSv3!$B$4&amp;":"&amp;IF(G327=CVSSv3!$C$4,CVSSv3!$C$30,IF(G327=CVSSv3!$D$4,CVSSv3!$D$30,IF(G327=CVSSv3!$E$4,CVSSv3!$E$30,IF(G327=CVSSv3!$F$4,CVSSv3!$F$30,""))))&amp;"/"&amp;CVSSv3!$B$5&amp;":"&amp;IF(G328=CVSSv3!$C$5,CVSSv3!$C$31,IF(G328=CVSSv3!$D$5,CVSSv3!$D$31,""))&amp;"/"&amp;CVSSv3!$B$6&amp;":"&amp;IF(G329=CVSSv3!$C$6,CVSSv3!$C$32,IF(G329=CVSSv3!$D$6,CVSSv3!$D$32,IF(G329=CVSSv3!$E$6,CVSSv3!$E$32,"")))&amp;"/"&amp;CVSSv3!$B$7&amp;":"&amp;IF(G330=CVSSv3!$C$7,CVSSv3!$C$33,IF(G330=CVSSv3!$D$7,CVSSv3!$D$33,""))&amp;"/"&amp;CVSSv3!$B$8&amp;":"&amp;IF(G331=CVSSv3!$C$8,CVSSv3!$C$34,IF(G331=CVSSv3!$D$8,CVSSv3!$D$34,""))&amp;"/"&amp;CVSSv3!$B$9&amp;":"&amp;IF(G332=CVSSv3!$C$9,CVSSv3!$C$35,IF(G332=CVSSv3!$D$9,CVSSv3!$D$35,IF(G332=CVSSv3!$E$9,CVSSv3!$E$35,"")))&amp;"/"&amp;CVSSv3!$B$10&amp;":"&amp;IF(G333=CVSSv3!$C$10,CVSSv3!$C$36,IF(G333=CVSSv3!$D$10,CVSSv3!$D$36,IF(G333=CVSSv3!$E$10,CVSSv3!$E$36,"")))&amp;"/"&amp;CVSSv3!$B$11&amp;":"&amp;IF(G334=CVSSv3!$C$11,CVSSv3!$C$37,IF(G334=CVSSv3!$D$11,CVSSv3!$D$37,IF(G334=CVSSv3!$E$11,CVSSv3!$E$37,"")))&amp;"/"&amp;CVSSv3!$B$12&amp;":"&amp;IF(G335=CVSSv3!$C$12,CVSSv3!$C$38,IF(G335=CVSSv3!$D$12,CVSSv3!$D$38,IF(G335=CVSSv3!$E$12,CVSSv3!$E$38,IF(G335=CVSSv3!$F$12,CVSSv3!$F$38,""))))&amp;"/"&amp;CVSSv3!$B$13&amp;":"&amp;IF(G336=CVSSv3!$C$13,CVSSv3!$C$39,IF(G336=CVSSv3!$D$13,CVSSv3!$D$39,IF(G336=CVSSv3!$E$13,CVSSv3!$E$39,IF(G336=CVSSv3!$F$13,CVSSv3!$F$39,""))))&amp;"/"&amp;CVSSv3!$B$14&amp;":"&amp;IF(G337=CVSSv3!$C$14,CVSSv3!$C$40,IF(G337=CVSSv3!$D$14,CVSSv3!$D$40,IF(G337=CVSSv3!$E$14,CVSSv3!$E$40,"")))&amp;")"</f>
        <v>(AV:/AC:/PR:/UI:/S:/C:/I:/A:/E:/RL:/RC:)</v>
      </c>
      <c r="G338" s="84"/>
      <c r="H338" s="86"/>
      <c r="I338" s="87"/>
      <c r="J338" s="87"/>
      <c r="K338" s="83"/>
      <c r="L338" s="83"/>
      <c r="M338" s="83"/>
    </row>
    <row r="339" spans="1:13" ht="15.75" customHeight="1" x14ac:dyDescent="0.25">
      <c r="A339" s="85">
        <v>29</v>
      </c>
      <c r="B339" s="83" t="s">
        <v>59</v>
      </c>
      <c r="C339" s="83" t="s">
        <v>14</v>
      </c>
      <c r="D339" s="83" t="s">
        <v>14</v>
      </c>
      <c r="E339" s="83" t="s">
        <v>14</v>
      </c>
      <c r="F339" s="5" t="str">
        <f>CVSSv3!$A$4</f>
        <v>Attack Vector</v>
      </c>
      <c r="G339" s="6" t="s">
        <v>15</v>
      </c>
      <c r="H339" s="86" t="e">
        <f>ROUNDUP((IF((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lt;=0,0,(IF(G343=CVSSv3!$C$8,ROUNDUP((MIN((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ROUNDUP((MIN(1.08*((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IF(G347=CVSSv3!$C$12,CVSSv3!$C$25,(IF(G347=CVSSv3!$D$12,CVSSv3!$D$25,(IF(G347=CVSSv3!$E$12,CVSSv3!$E$25,(IF(G347=CVSSv3!$F$12,CVSSv3!$F$25,""))))))))*(IF(G348=CVSSv3!$C$13,CVSSv3!$C$26,(IF(G348=CVSSv3!$D$13,CVSSv3!$D$26,(IF(G348=CVSSv3!$E$13,CVSSv3!$E$26,(IF(G348=CVSSv3!$F$13,CVSSv3!$F$26,""))))))))*(IF(G349=CVSSv3!$C$14,CVSSv3!$C$27,(IF(G349=CVSSv3!$D$14,CVSSv3!$D$27,(IF(G349=CVSSv3!$E$14,CVSSv3!$E$27,""))))))),1)</f>
        <v>#VALUE!</v>
      </c>
      <c r="I339" s="87">
        <v>0</v>
      </c>
      <c r="J339" s="87">
        <v>0</v>
      </c>
      <c r="K339" s="83" t="s">
        <v>14</v>
      </c>
      <c r="L339" s="83" t="s">
        <v>14</v>
      </c>
      <c r="M339" s="83" t="s">
        <v>16</v>
      </c>
    </row>
    <row r="340" spans="1:13" ht="15.75" x14ac:dyDescent="0.2">
      <c r="A340" s="85"/>
      <c r="B340" s="83"/>
      <c r="C340" s="83"/>
      <c r="D340" s="83"/>
      <c r="E340" s="83"/>
      <c r="F340" s="7" t="str">
        <f>CVSSv3!$A$5</f>
        <v>Attack Complexity</v>
      </c>
      <c r="G340" s="8" t="s">
        <v>32</v>
      </c>
      <c r="H340" s="86"/>
      <c r="I340" s="87"/>
      <c r="J340" s="87"/>
      <c r="K340" s="83"/>
      <c r="L340" s="83"/>
      <c r="M340" s="83"/>
    </row>
    <row r="341" spans="1:13" ht="15.75" x14ac:dyDescent="0.2">
      <c r="A341" s="85"/>
      <c r="B341" s="83"/>
      <c r="C341" s="83"/>
      <c r="D341" s="83"/>
      <c r="E341" s="83"/>
      <c r="F341" s="7" t="str">
        <f>CVSSv3!$A$6</f>
        <v>Privilege Required</v>
      </c>
      <c r="G341" s="8" t="s">
        <v>33</v>
      </c>
      <c r="H341" s="86"/>
      <c r="I341" s="87"/>
      <c r="J341" s="87"/>
      <c r="K341" s="83"/>
      <c r="L341" s="83"/>
      <c r="M341" s="83"/>
    </row>
    <row r="342" spans="1:13" ht="15.75" x14ac:dyDescent="0.2">
      <c r="A342" s="85"/>
      <c r="B342" s="83"/>
      <c r="C342" s="83"/>
      <c r="D342" s="83"/>
      <c r="E342" s="83"/>
      <c r="F342" s="7" t="str">
        <f>CVSSv3!$A$7</f>
        <v>User Interaction</v>
      </c>
      <c r="G342" s="8" t="s">
        <v>34</v>
      </c>
      <c r="H342" s="86"/>
      <c r="I342" s="87"/>
      <c r="J342" s="87"/>
      <c r="K342" s="83"/>
      <c r="L342" s="83"/>
      <c r="M342" s="83"/>
    </row>
    <row r="343" spans="1:13" ht="15.75" x14ac:dyDescent="0.2">
      <c r="A343" s="85"/>
      <c r="B343" s="83"/>
      <c r="C343" s="83"/>
      <c r="D343" s="83"/>
      <c r="E343" s="83"/>
      <c r="F343" s="7" t="str">
        <f>CVSSv3!$A$8</f>
        <v>Scope</v>
      </c>
      <c r="G343" s="8" t="s">
        <v>35</v>
      </c>
      <c r="H343" s="86"/>
      <c r="I343" s="87"/>
      <c r="J343" s="87"/>
      <c r="K343" s="83"/>
      <c r="L343" s="83"/>
      <c r="M343" s="83"/>
    </row>
    <row r="344" spans="1:13" ht="15.75" x14ac:dyDescent="0.2">
      <c r="A344" s="85"/>
      <c r="B344" s="83"/>
      <c r="C344" s="83"/>
      <c r="D344" s="83"/>
      <c r="E344" s="83"/>
      <c r="F344" s="7" t="str">
        <f>CVSSv3!$A$9</f>
        <v>Confidentiality Impact</v>
      </c>
      <c r="G344" s="8" t="s">
        <v>36</v>
      </c>
      <c r="H344" s="86"/>
      <c r="I344" s="87"/>
      <c r="J344" s="87"/>
      <c r="K344" s="83"/>
      <c r="L344" s="83"/>
      <c r="M344" s="83"/>
    </row>
    <row r="345" spans="1:13" ht="15.75" x14ac:dyDescent="0.2">
      <c r="A345" s="85"/>
      <c r="B345" s="83"/>
      <c r="C345" s="83"/>
      <c r="D345" s="83"/>
      <c r="E345" s="83"/>
      <c r="F345" s="7" t="str">
        <f>CVSSv3!$A$10</f>
        <v>Integrity Impact</v>
      </c>
      <c r="G345" s="8" t="s">
        <v>36</v>
      </c>
      <c r="H345" s="86"/>
      <c r="I345" s="87"/>
      <c r="J345" s="87"/>
      <c r="K345" s="83"/>
      <c r="L345" s="83"/>
      <c r="M345" s="83"/>
    </row>
    <row r="346" spans="1:13" ht="15.75" x14ac:dyDescent="0.2">
      <c r="A346" s="85"/>
      <c r="B346" s="83"/>
      <c r="C346" s="83"/>
      <c r="D346" s="83"/>
      <c r="E346" s="83"/>
      <c r="F346" s="7" t="str">
        <f>CVSSv3!$A$11</f>
        <v>Availability Impact</v>
      </c>
      <c r="G346" s="8" t="s">
        <v>36</v>
      </c>
      <c r="H346" s="86"/>
      <c r="I346" s="87"/>
      <c r="J346" s="87"/>
      <c r="K346" s="83"/>
      <c r="L346" s="83"/>
      <c r="M346" s="83"/>
    </row>
    <row r="347" spans="1:13" ht="15.75" x14ac:dyDescent="0.2">
      <c r="A347" s="85"/>
      <c r="B347" s="83"/>
      <c r="C347" s="83"/>
      <c r="D347" s="83"/>
      <c r="E347" s="83"/>
      <c r="F347" s="7" t="str">
        <f>CVSSv3!$A$12</f>
        <v>Exploit Code Maturity</v>
      </c>
      <c r="G347" s="8" t="s">
        <v>32</v>
      </c>
      <c r="H347" s="86"/>
      <c r="I347" s="87"/>
      <c r="J347" s="87"/>
      <c r="K347" s="83"/>
      <c r="L347" s="83"/>
      <c r="M347" s="83"/>
    </row>
    <row r="348" spans="1:13" ht="15.75" x14ac:dyDescent="0.2">
      <c r="A348" s="85"/>
      <c r="B348" s="83"/>
      <c r="C348" s="83"/>
      <c r="D348" s="83"/>
      <c r="E348" s="83"/>
      <c r="F348" s="7" t="str">
        <f>CVSSv3!$A$13</f>
        <v>Remediation Level</v>
      </c>
      <c r="G348" s="8" t="s">
        <v>37</v>
      </c>
      <c r="H348" s="86"/>
      <c r="I348" s="87"/>
      <c r="J348" s="87"/>
      <c r="K348" s="83"/>
      <c r="L348" s="83"/>
      <c r="M348" s="83"/>
    </row>
    <row r="349" spans="1:13" ht="15.75" x14ac:dyDescent="0.2">
      <c r="A349" s="85"/>
      <c r="B349" s="83"/>
      <c r="C349" s="83"/>
      <c r="D349" s="83"/>
      <c r="E349" s="83"/>
      <c r="F349" s="7" t="str">
        <f>CVSSv3!$A$14</f>
        <v>Report Confidence</v>
      </c>
      <c r="G349" s="8" t="s">
        <v>38</v>
      </c>
      <c r="H349" s="86"/>
      <c r="I349" s="87"/>
      <c r="J349" s="87"/>
      <c r="K349" s="83"/>
      <c r="L349" s="83"/>
      <c r="M349" s="83"/>
    </row>
    <row r="350" spans="1:13" ht="15.75" x14ac:dyDescent="0.2">
      <c r="A350" s="85"/>
      <c r="B350" s="83"/>
      <c r="C350" s="83"/>
      <c r="D350" s="83"/>
      <c r="E350" s="83"/>
      <c r="F350" s="84" t="str">
        <f>"("&amp;CVSSv3!$B$4&amp;":"&amp;IF(G339=CVSSv3!$C$4,CVSSv3!$C$30,IF(G339=CVSSv3!$D$4,CVSSv3!$D$30,IF(G339=CVSSv3!$E$4,CVSSv3!$E$30,IF(G339=CVSSv3!$F$4,CVSSv3!$F$30,""))))&amp;"/"&amp;CVSSv3!$B$5&amp;":"&amp;IF(G340=CVSSv3!$C$5,CVSSv3!$C$31,IF(G340=CVSSv3!$D$5,CVSSv3!$D$31,""))&amp;"/"&amp;CVSSv3!$B$6&amp;":"&amp;IF(G341=CVSSv3!$C$6,CVSSv3!$C$32,IF(G341=CVSSv3!$D$6,CVSSv3!$D$32,IF(G341=CVSSv3!$E$6,CVSSv3!$E$32,"")))&amp;"/"&amp;CVSSv3!$B$7&amp;":"&amp;IF(G342=CVSSv3!$C$7,CVSSv3!$C$33,IF(G342=CVSSv3!$D$7,CVSSv3!$D$33,""))&amp;"/"&amp;CVSSv3!$B$8&amp;":"&amp;IF(G343=CVSSv3!$C$8,CVSSv3!$C$34,IF(G343=CVSSv3!$D$8,CVSSv3!$D$34,""))&amp;"/"&amp;CVSSv3!$B$9&amp;":"&amp;IF(G344=CVSSv3!$C$9,CVSSv3!$C$35,IF(G344=CVSSv3!$D$9,CVSSv3!$D$35,IF(G344=CVSSv3!$E$9,CVSSv3!$E$35,"")))&amp;"/"&amp;CVSSv3!$B$10&amp;":"&amp;IF(G345=CVSSv3!$C$10,CVSSv3!$C$36,IF(G345=CVSSv3!$D$10,CVSSv3!$D$36,IF(G345=CVSSv3!$E$10,CVSSv3!$E$36,"")))&amp;"/"&amp;CVSSv3!$B$11&amp;":"&amp;IF(G346=CVSSv3!$C$11,CVSSv3!$C$37,IF(G346=CVSSv3!$D$11,CVSSv3!$D$37,IF(G346=CVSSv3!$E$11,CVSSv3!$E$37,"")))&amp;"/"&amp;CVSSv3!$B$12&amp;":"&amp;IF(G347=CVSSv3!$C$12,CVSSv3!$C$38,IF(G347=CVSSv3!$D$12,CVSSv3!$D$38,IF(G347=CVSSv3!$E$12,CVSSv3!$E$38,IF(G347=CVSSv3!$F$12,CVSSv3!$F$38,""))))&amp;"/"&amp;CVSSv3!$B$13&amp;":"&amp;IF(G348=CVSSv3!$C$13,CVSSv3!$C$39,IF(G348=CVSSv3!$D$13,CVSSv3!$D$39,IF(G348=CVSSv3!$E$13,CVSSv3!$E$39,IF(G348=CVSSv3!$F$13,CVSSv3!$F$39,""))))&amp;"/"&amp;CVSSv3!$B$14&amp;":"&amp;IF(G349=CVSSv3!$C$14,CVSSv3!$C$40,IF(G349=CVSSv3!$D$14,CVSSv3!$D$40,IF(G349=CVSSv3!$E$14,CVSSv3!$E$40,"")))&amp;")"</f>
        <v>(AV:/AC:/PR:/UI:/S:/C:/I:/A:/E:/RL:/RC:)</v>
      </c>
      <c r="G350" s="84"/>
      <c r="H350" s="86"/>
      <c r="I350" s="87"/>
      <c r="J350" s="87"/>
      <c r="K350" s="83"/>
      <c r="L350" s="83"/>
      <c r="M350" s="83"/>
    </row>
    <row r="351" spans="1:13" ht="15.75" customHeight="1" x14ac:dyDescent="0.25">
      <c r="A351" s="85">
        <v>30</v>
      </c>
      <c r="B351" s="83" t="s">
        <v>60</v>
      </c>
      <c r="C351" s="83" t="s">
        <v>14</v>
      </c>
      <c r="D351" s="83" t="s">
        <v>14</v>
      </c>
      <c r="E351" s="83" t="s">
        <v>14</v>
      </c>
      <c r="F351" s="5" t="str">
        <f>CVSSv3!$A$4</f>
        <v>Attack Vector</v>
      </c>
      <c r="G351" s="6" t="s">
        <v>15</v>
      </c>
      <c r="H351" s="86" t="e">
        <f>ROUNDUP((IF((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lt;=0,0,(IF(G355=CVSSv3!$C$8,ROUNDUP((MIN((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ROUNDUP((MIN(1.08*((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IF(G359=CVSSv3!$C$12,CVSSv3!$C$25,(IF(G359=CVSSv3!$D$12,CVSSv3!$D$25,(IF(G359=CVSSv3!$E$12,CVSSv3!$E$25,(IF(G359=CVSSv3!$F$12,CVSSv3!$F$25,""))))))))*(IF(G360=CVSSv3!$C$13,CVSSv3!$C$26,(IF(G360=CVSSv3!$D$13,CVSSv3!$D$26,(IF(G360=CVSSv3!$E$13,CVSSv3!$E$26,(IF(G360=CVSSv3!$F$13,CVSSv3!$F$26,""))))))))*(IF(G361=CVSSv3!$C$14,CVSSv3!$C$27,(IF(G361=CVSSv3!$D$14,CVSSv3!$D$27,(IF(G361=CVSSv3!$E$14,CVSSv3!$E$27,""))))))),1)</f>
        <v>#VALUE!</v>
      </c>
      <c r="I351" s="87">
        <v>0</v>
      </c>
      <c r="J351" s="87">
        <v>0</v>
      </c>
      <c r="K351" s="83" t="s">
        <v>14</v>
      </c>
      <c r="L351" s="83" t="s">
        <v>14</v>
      </c>
      <c r="M351" s="83" t="s">
        <v>16</v>
      </c>
    </row>
    <row r="352" spans="1:13" ht="15.75" x14ac:dyDescent="0.2">
      <c r="A352" s="85"/>
      <c r="B352" s="83"/>
      <c r="C352" s="83"/>
      <c r="D352" s="83"/>
      <c r="E352" s="83"/>
      <c r="F352" s="7" t="str">
        <f>CVSSv3!$A$5</f>
        <v>Attack Complexity</v>
      </c>
      <c r="G352" s="8" t="s">
        <v>32</v>
      </c>
      <c r="H352" s="86"/>
      <c r="I352" s="87"/>
      <c r="J352" s="87"/>
      <c r="K352" s="83"/>
      <c r="L352" s="83"/>
      <c r="M352" s="83"/>
    </row>
    <row r="353" spans="1:13" ht="15.75" x14ac:dyDescent="0.2">
      <c r="A353" s="85"/>
      <c r="B353" s="83"/>
      <c r="C353" s="83"/>
      <c r="D353" s="83"/>
      <c r="E353" s="83"/>
      <c r="F353" s="7" t="str">
        <f>CVSSv3!$A$6</f>
        <v>Privilege Required</v>
      </c>
      <c r="G353" s="8" t="s">
        <v>33</v>
      </c>
      <c r="H353" s="86"/>
      <c r="I353" s="87"/>
      <c r="J353" s="87"/>
      <c r="K353" s="83"/>
      <c r="L353" s="83"/>
      <c r="M353" s="83"/>
    </row>
    <row r="354" spans="1:13" ht="15.75" x14ac:dyDescent="0.2">
      <c r="A354" s="85"/>
      <c r="B354" s="83"/>
      <c r="C354" s="83"/>
      <c r="D354" s="83"/>
      <c r="E354" s="83"/>
      <c r="F354" s="7" t="str">
        <f>CVSSv3!$A$7</f>
        <v>User Interaction</v>
      </c>
      <c r="G354" s="8" t="s">
        <v>34</v>
      </c>
      <c r="H354" s="86"/>
      <c r="I354" s="87"/>
      <c r="J354" s="87"/>
      <c r="K354" s="83"/>
      <c r="L354" s="83"/>
      <c r="M354" s="83"/>
    </row>
    <row r="355" spans="1:13" ht="15.75" x14ac:dyDescent="0.2">
      <c r="A355" s="85"/>
      <c r="B355" s="83"/>
      <c r="C355" s="83"/>
      <c r="D355" s="83"/>
      <c r="E355" s="83"/>
      <c r="F355" s="7" t="str">
        <f>CVSSv3!$A$8</f>
        <v>Scope</v>
      </c>
      <c r="G355" s="8" t="s">
        <v>35</v>
      </c>
      <c r="H355" s="86"/>
      <c r="I355" s="87"/>
      <c r="J355" s="87"/>
      <c r="K355" s="83"/>
      <c r="L355" s="83"/>
      <c r="M355" s="83"/>
    </row>
    <row r="356" spans="1:13" ht="15.75" x14ac:dyDescent="0.2">
      <c r="A356" s="85"/>
      <c r="B356" s="83"/>
      <c r="C356" s="83"/>
      <c r="D356" s="83"/>
      <c r="E356" s="83"/>
      <c r="F356" s="7" t="str">
        <f>CVSSv3!$A$9</f>
        <v>Confidentiality Impact</v>
      </c>
      <c r="G356" s="8" t="s">
        <v>36</v>
      </c>
      <c r="H356" s="86"/>
      <c r="I356" s="87"/>
      <c r="J356" s="87"/>
      <c r="K356" s="83"/>
      <c r="L356" s="83"/>
      <c r="M356" s="83"/>
    </row>
    <row r="357" spans="1:13" ht="15.75" x14ac:dyDescent="0.2">
      <c r="A357" s="85"/>
      <c r="B357" s="83"/>
      <c r="C357" s="83"/>
      <c r="D357" s="83"/>
      <c r="E357" s="83"/>
      <c r="F357" s="7" t="str">
        <f>CVSSv3!$A$10</f>
        <v>Integrity Impact</v>
      </c>
      <c r="G357" s="8" t="s">
        <v>36</v>
      </c>
      <c r="H357" s="86"/>
      <c r="I357" s="87"/>
      <c r="J357" s="87"/>
      <c r="K357" s="83"/>
      <c r="L357" s="83"/>
      <c r="M357" s="83"/>
    </row>
    <row r="358" spans="1:13" ht="15.75" x14ac:dyDescent="0.2">
      <c r="A358" s="85"/>
      <c r="B358" s="83"/>
      <c r="C358" s="83"/>
      <c r="D358" s="83"/>
      <c r="E358" s="83"/>
      <c r="F358" s="7" t="str">
        <f>CVSSv3!$A$11</f>
        <v>Availability Impact</v>
      </c>
      <c r="G358" s="8" t="s">
        <v>36</v>
      </c>
      <c r="H358" s="86"/>
      <c r="I358" s="87"/>
      <c r="J358" s="87"/>
      <c r="K358" s="83"/>
      <c r="L358" s="83"/>
      <c r="M358" s="83"/>
    </row>
    <row r="359" spans="1:13" ht="15.75" x14ac:dyDescent="0.2">
      <c r="A359" s="85"/>
      <c r="B359" s="83"/>
      <c r="C359" s="83"/>
      <c r="D359" s="83"/>
      <c r="E359" s="83"/>
      <c r="F359" s="7" t="str">
        <f>CVSSv3!$A$12</f>
        <v>Exploit Code Maturity</v>
      </c>
      <c r="G359" s="8" t="s">
        <v>32</v>
      </c>
      <c r="H359" s="86"/>
      <c r="I359" s="87"/>
      <c r="J359" s="87"/>
      <c r="K359" s="83"/>
      <c r="L359" s="83"/>
      <c r="M359" s="83"/>
    </row>
    <row r="360" spans="1:13" ht="15.75" x14ac:dyDescent="0.2">
      <c r="A360" s="85"/>
      <c r="B360" s="83"/>
      <c r="C360" s="83"/>
      <c r="D360" s="83"/>
      <c r="E360" s="83"/>
      <c r="F360" s="7" t="str">
        <f>CVSSv3!$A$13</f>
        <v>Remediation Level</v>
      </c>
      <c r="G360" s="8" t="s">
        <v>37</v>
      </c>
      <c r="H360" s="86"/>
      <c r="I360" s="87"/>
      <c r="J360" s="87"/>
      <c r="K360" s="83"/>
      <c r="L360" s="83"/>
      <c r="M360" s="83"/>
    </row>
    <row r="361" spans="1:13" ht="15.75" x14ac:dyDescent="0.2">
      <c r="A361" s="85"/>
      <c r="B361" s="83"/>
      <c r="C361" s="83"/>
      <c r="D361" s="83"/>
      <c r="E361" s="83"/>
      <c r="F361" s="7" t="str">
        <f>CVSSv3!$A$14</f>
        <v>Report Confidence</v>
      </c>
      <c r="G361" s="8" t="s">
        <v>38</v>
      </c>
      <c r="H361" s="86"/>
      <c r="I361" s="87"/>
      <c r="J361" s="87"/>
      <c r="K361" s="83"/>
      <c r="L361" s="83"/>
      <c r="M361" s="83"/>
    </row>
    <row r="362" spans="1:13" ht="15.75" x14ac:dyDescent="0.2">
      <c r="A362" s="85"/>
      <c r="B362" s="83"/>
      <c r="C362" s="83"/>
      <c r="D362" s="83"/>
      <c r="E362" s="83"/>
      <c r="F362" s="84" t="str">
        <f>"("&amp;CVSSv3!$B$4&amp;":"&amp;IF(G351=CVSSv3!$C$4,CVSSv3!$C$30,IF(G351=CVSSv3!$D$4,CVSSv3!$D$30,IF(G351=CVSSv3!$E$4,CVSSv3!$E$30,IF(G351=CVSSv3!$F$4,CVSSv3!$F$30,""))))&amp;"/"&amp;CVSSv3!$B$5&amp;":"&amp;IF(G352=CVSSv3!$C$5,CVSSv3!$C$31,IF(G352=CVSSv3!$D$5,CVSSv3!$D$31,""))&amp;"/"&amp;CVSSv3!$B$6&amp;":"&amp;IF(G353=CVSSv3!$C$6,CVSSv3!$C$32,IF(G353=CVSSv3!$D$6,CVSSv3!$D$32,IF(G353=CVSSv3!$E$6,CVSSv3!$E$32,"")))&amp;"/"&amp;CVSSv3!$B$7&amp;":"&amp;IF(G354=CVSSv3!$C$7,CVSSv3!$C$33,IF(G354=CVSSv3!$D$7,CVSSv3!$D$33,""))&amp;"/"&amp;CVSSv3!$B$8&amp;":"&amp;IF(G355=CVSSv3!$C$8,CVSSv3!$C$34,IF(G355=CVSSv3!$D$8,CVSSv3!$D$34,""))&amp;"/"&amp;CVSSv3!$B$9&amp;":"&amp;IF(G356=CVSSv3!$C$9,CVSSv3!$C$35,IF(G356=CVSSv3!$D$9,CVSSv3!$D$35,IF(G356=CVSSv3!$E$9,CVSSv3!$E$35,"")))&amp;"/"&amp;CVSSv3!$B$10&amp;":"&amp;IF(G357=CVSSv3!$C$10,CVSSv3!$C$36,IF(G357=CVSSv3!$D$10,CVSSv3!$D$36,IF(G357=CVSSv3!$E$10,CVSSv3!$E$36,"")))&amp;"/"&amp;CVSSv3!$B$11&amp;":"&amp;IF(G358=CVSSv3!$C$11,CVSSv3!$C$37,IF(G358=CVSSv3!$D$11,CVSSv3!$D$37,IF(G358=CVSSv3!$E$11,CVSSv3!$E$37,"")))&amp;"/"&amp;CVSSv3!$B$12&amp;":"&amp;IF(G359=CVSSv3!$C$12,CVSSv3!$C$38,IF(G359=CVSSv3!$D$12,CVSSv3!$D$38,IF(G359=CVSSv3!$E$12,CVSSv3!$E$38,IF(G359=CVSSv3!$F$12,CVSSv3!$F$38,""))))&amp;"/"&amp;CVSSv3!$B$13&amp;":"&amp;IF(G360=CVSSv3!$C$13,CVSSv3!$C$39,IF(G360=CVSSv3!$D$13,CVSSv3!$D$39,IF(G360=CVSSv3!$E$13,CVSSv3!$E$39,IF(G360=CVSSv3!$F$13,CVSSv3!$F$39,""))))&amp;"/"&amp;CVSSv3!$B$14&amp;":"&amp;IF(G361=CVSSv3!$C$14,CVSSv3!$C$40,IF(G361=CVSSv3!$D$14,CVSSv3!$D$40,IF(G361=CVSSv3!$E$14,CVSSv3!$E$40,"")))&amp;")"</f>
        <v>(AV:/AC:/PR:/UI:/S:/C:/I:/A:/E:/RL:/RC:)</v>
      </c>
      <c r="G362" s="84"/>
      <c r="H362" s="86"/>
      <c r="I362" s="87"/>
      <c r="J362" s="87"/>
      <c r="K362" s="83"/>
      <c r="L362" s="83"/>
      <c r="M362" s="83"/>
    </row>
    <row r="363" spans="1:13" ht="15.75" customHeight="1" x14ac:dyDescent="0.25">
      <c r="A363" s="85">
        <v>31</v>
      </c>
      <c r="B363" s="83" t="s">
        <v>61</v>
      </c>
      <c r="C363" s="83" t="s">
        <v>14</v>
      </c>
      <c r="D363" s="83" t="s">
        <v>14</v>
      </c>
      <c r="E363" s="83" t="s">
        <v>14</v>
      </c>
      <c r="F363" s="5" t="str">
        <f>CVSSv3!$A$4</f>
        <v>Attack Vector</v>
      </c>
      <c r="G363" s="6" t="s">
        <v>15</v>
      </c>
      <c r="H363" s="86" t="e">
        <f>ROUNDUP((IF((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lt;=0,0,(IF(G367=CVSSv3!$C$8,ROUNDUP((MIN((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ROUNDUP((MIN(1.08*((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IF(G371=CVSSv3!$C$12,CVSSv3!$C$25,(IF(G371=CVSSv3!$D$12,CVSSv3!$D$25,(IF(G371=CVSSv3!$E$12,CVSSv3!$E$25,(IF(G371=CVSSv3!$F$12,CVSSv3!$F$25,""))))))))*(IF(G372=CVSSv3!$C$13,CVSSv3!$C$26,(IF(G372=CVSSv3!$D$13,CVSSv3!$D$26,(IF(G372=CVSSv3!$E$13,CVSSv3!$E$26,(IF(G372=CVSSv3!$F$13,CVSSv3!$F$26,""))))))))*(IF(G373=CVSSv3!$C$14,CVSSv3!$C$27,(IF(G373=CVSSv3!$D$14,CVSSv3!$D$27,(IF(G373=CVSSv3!$E$14,CVSSv3!$E$27,""))))))),1)</f>
        <v>#VALUE!</v>
      </c>
      <c r="I363" s="87">
        <v>0</v>
      </c>
      <c r="J363" s="87">
        <v>0</v>
      </c>
      <c r="K363" s="83" t="s">
        <v>14</v>
      </c>
      <c r="L363" s="83" t="s">
        <v>14</v>
      </c>
      <c r="M363" s="83" t="s">
        <v>16</v>
      </c>
    </row>
    <row r="364" spans="1:13" ht="15.75" x14ac:dyDescent="0.2">
      <c r="A364" s="85"/>
      <c r="B364" s="83"/>
      <c r="C364" s="83"/>
      <c r="D364" s="83"/>
      <c r="E364" s="83"/>
      <c r="F364" s="7" t="str">
        <f>CVSSv3!$A$5</f>
        <v>Attack Complexity</v>
      </c>
      <c r="G364" s="8" t="s">
        <v>32</v>
      </c>
      <c r="H364" s="86"/>
      <c r="I364" s="87"/>
      <c r="J364" s="87"/>
      <c r="K364" s="83"/>
      <c r="L364" s="83"/>
      <c r="M364" s="83"/>
    </row>
    <row r="365" spans="1:13" ht="15.75" x14ac:dyDescent="0.2">
      <c r="A365" s="85"/>
      <c r="B365" s="83"/>
      <c r="C365" s="83"/>
      <c r="D365" s="83"/>
      <c r="E365" s="83"/>
      <c r="F365" s="7" t="str">
        <f>CVSSv3!$A$6</f>
        <v>Privilege Required</v>
      </c>
      <c r="G365" s="8" t="s">
        <v>33</v>
      </c>
      <c r="H365" s="86"/>
      <c r="I365" s="87"/>
      <c r="J365" s="87"/>
      <c r="K365" s="83"/>
      <c r="L365" s="83"/>
      <c r="M365" s="83"/>
    </row>
    <row r="366" spans="1:13" ht="15.75" x14ac:dyDescent="0.2">
      <c r="A366" s="85"/>
      <c r="B366" s="83"/>
      <c r="C366" s="83"/>
      <c r="D366" s="83"/>
      <c r="E366" s="83"/>
      <c r="F366" s="7" t="str">
        <f>CVSSv3!$A$7</f>
        <v>User Interaction</v>
      </c>
      <c r="G366" s="8" t="s">
        <v>34</v>
      </c>
      <c r="H366" s="86"/>
      <c r="I366" s="87"/>
      <c r="J366" s="87"/>
      <c r="K366" s="83"/>
      <c r="L366" s="83"/>
      <c r="M366" s="83"/>
    </row>
    <row r="367" spans="1:13" ht="15.75" x14ac:dyDescent="0.2">
      <c r="A367" s="85"/>
      <c r="B367" s="83"/>
      <c r="C367" s="83"/>
      <c r="D367" s="83"/>
      <c r="E367" s="83"/>
      <c r="F367" s="7" t="str">
        <f>CVSSv3!$A$8</f>
        <v>Scope</v>
      </c>
      <c r="G367" s="8" t="s">
        <v>35</v>
      </c>
      <c r="H367" s="86"/>
      <c r="I367" s="87"/>
      <c r="J367" s="87"/>
      <c r="K367" s="83"/>
      <c r="L367" s="83"/>
      <c r="M367" s="83"/>
    </row>
    <row r="368" spans="1:13" ht="15.75" x14ac:dyDescent="0.2">
      <c r="A368" s="85"/>
      <c r="B368" s="83"/>
      <c r="C368" s="83"/>
      <c r="D368" s="83"/>
      <c r="E368" s="83"/>
      <c r="F368" s="7" t="str">
        <f>CVSSv3!$A$9</f>
        <v>Confidentiality Impact</v>
      </c>
      <c r="G368" s="8" t="s">
        <v>36</v>
      </c>
      <c r="H368" s="86"/>
      <c r="I368" s="87"/>
      <c r="J368" s="87"/>
      <c r="K368" s="83"/>
      <c r="L368" s="83"/>
      <c r="M368" s="83"/>
    </row>
    <row r="369" spans="1:13" ht="15.75" x14ac:dyDescent="0.2">
      <c r="A369" s="85"/>
      <c r="B369" s="83"/>
      <c r="C369" s="83"/>
      <c r="D369" s="83"/>
      <c r="E369" s="83"/>
      <c r="F369" s="7" t="str">
        <f>CVSSv3!$A$10</f>
        <v>Integrity Impact</v>
      </c>
      <c r="G369" s="8" t="s">
        <v>36</v>
      </c>
      <c r="H369" s="86"/>
      <c r="I369" s="87"/>
      <c r="J369" s="87"/>
      <c r="K369" s="83"/>
      <c r="L369" s="83"/>
      <c r="M369" s="83"/>
    </row>
    <row r="370" spans="1:13" ht="15.75" x14ac:dyDescent="0.2">
      <c r="A370" s="85"/>
      <c r="B370" s="83"/>
      <c r="C370" s="83"/>
      <c r="D370" s="83"/>
      <c r="E370" s="83"/>
      <c r="F370" s="7" t="str">
        <f>CVSSv3!$A$11</f>
        <v>Availability Impact</v>
      </c>
      <c r="G370" s="8" t="s">
        <v>36</v>
      </c>
      <c r="H370" s="86"/>
      <c r="I370" s="87"/>
      <c r="J370" s="87"/>
      <c r="K370" s="83"/>
      <c r="L370" s="83"/>
      <c r="M370" s="83"/>
    </row>
    <row r="371" spans="1:13" ht="15.75" x14ac:dyDescent="0.2">
      <c r="A371" s="85"/>
      <c r="B371" s="83"/>
      <c r="C371" s="83"/>
      <c r="D371" s="83"/>
      <c r="E371" s="83"/>
      <c r="F371" s="7" t="str">
        <f>CVSSv3!$A$12</f>
        <v>Exploit Code Maturity</v>
      </c>
      <c r="G371" s="8" t="s">
        <v>32</v>
      </c>
      <c r="H371" s="86"/>
      <c r="I371" s="87"/>
      <c r="J371" s="87"/>
      <c r="K371" s="83"/>
      <c r="L371" s="83"/>
      <c r="M371" s="83"/>
    </row>
    <row r="372" spans="1:13" ht="15.75" x14ac:dyDescent="0.2">
      <c r="A372" s="85"/>
      <c r="B372" s="83"/>
      <c r="C372" s="83"/>
      <c r="D372" s="83"/>
      <c r="E372" s="83"/>
      <c r="F372" s="7" t="str">
        <f>CVSSv3!$A$13</f>
        <v>Remediation Level</v>
      </c>
      <c r="G372" s="8" t="s">
        <v>37</v>
      </c>
      <c r="H372" s="86"/>
      <c r="I372" s="87"/>
      <c r="J372" s="87"/>
      <c r="K372" s="83"/>
      <c r="L372" s="83"/>
      <c r="M372" s="83"/>
    </row>
    <row r="373" spans="1:13" ht="15.75" x14ac:dyDescent="0.2">
      <c r="A373" s="85"/>
      <c r="B373" s="83"/>
      <c r="C373" s="83"/>
      <c r="D373" s="83"/>
      <c r="E373" s="83"/>
      <c r="F373" s="7" t="str">
        <f>CVSSv3!$A$14</f>
        <v>Report Confidence</v>
      </c>
      <c r="G373" s="8" t="s">
        <v>38</v>
      </c>
      <c r="H373" s="86"/>
      <c r="I373" s="87"/>
      <c r="J373" s="87"/>
      <c r="K373" s="83"/>
      <c r="L373" s="83"/>
      <c r="M373" s="83"/>
    </row>
    <row r="374" spans="1:13" ht="15.75" x14ac:dyDescent="0.2">
      <c r="A374" s="85"/>
      <c r="B374" s="83"/>
      <c r="C374" s="83"/>
      <c r="D374" s="83"/>
      <c r="E374" s="83"/>
      <c r="F374" s="84" t="str">
        <f>"("&amp;CVSSv3!$B$4&amp;":"&amp;IF(G363=CVSSv3!$C$4,CVSSv3!$C$30,IF(G363=CVSSv3!$D$4,CVSSv3!$D$30,IF(G363=CVSSv3!$E$4,CVSSv3!$E$30,IF(G363=CVSSv3!$F$4,CVSSv3!$F$30,""))))&amp;"/"&amp;CVSSv3!$B$5&amp;":"&amp;IF(G364=CVSSv3!$C$5,CVSSv3!$C$31,IF(G364=CVSSv3!$D$5,CVSSv3!$D$31,""))&amp;"/"&amp;CVSSv3!$B$6&amp;":"&amp;IF(G365=CVSSv3!$C$6,CVSSv3!$C$32,IF(G365=CVSSv3!$D$6,CVSSv3!$D$32,IF(G365=CVSSv3!$E$6,CVSSv3!$E$32,"")))&amp;"/"&amp;CVSSv3!$B$7&amp;":"&amp;IF(G366=CVSSv3!$C$7,CVSSv3!$C$33,IF(G366=CVSSv3!$D$7,CVSSv3!$D$33,""))&amp;"/"&amp;CVSSv3!$B$8&amp;":"&amp;IF(G367=CVSSv3!$C$8,CVSSv3!$C$34,IF(G367=CVSSv3!$D$8,CVSSv3!$D$34,""))&amp;"/"&amp;CVSSv3!$B$9&amp;":"&amp;IF(G368=CVSSv3!$C$9,CVSSv3!$C$35,IF(G368=CVSSv3!$D$9,CVSSv3!$D$35,IF(G368=CVSSv3!$E$9,CVSSv3!$E$35,"")))&amp;"/"&amp;CVSSv3!$B$10&amp;":"&amp;IF(G369=CVSSv3!$C$10,CVSSv3!$C$36,IF(G369=CVSSv3!$D$10,CVSSv3!$D$36,IF(G369=CVSSv3!$E$10,CVSSv3!$E$36,"")))&amp;"/"&amp;CVSSv3!$B$11&amp;":"&amp;IF(G370=CVSSv3!$C$11,CVSSv3!$C$37,IF(G370=CVSSv3!$D$11,CVSSv3!$D$37,IF(G370=CVSSv3!$E$11,CVSSv3!$E$37,"")))&amp;"/"&amp;CVSSv3!$B$12&amp;":"&amp;IF(G371=CVSSv3!$C$12,CVSSv3!$C$38,IF(G371=CVSSv3!$D$12,CVSSv3!$D$38,IF(G371=CVSSv3!$E$12,CVSSv3!$E$38,IF(G371=CVSSv3!$F$12,CVSSv3!$F$38,""))))&amp;"/"&amp;CVSSv3!$B$13&amp;":"&amp;IF(G372=CVSSv3!$C$13,CVSSv3!$C$39,IF(G372=CVSSv3!$D$13,CVSSv3!$D$39,IF(G372=CVSSv3!$E$13,CVSSv3!$E$39,IF(G372=CVSSv3!$F$13,CVSSv3!$F$39,""))))&amp;"/"&amp;CVSSv3!$B$14&amp;":"&amp;IF(G373=CVSSv3!$C$14,CVSSv3!$C$40,IF(G373=CVSSv3!$D$14,CVSSv3!$D$40,IF(G373=CVSSv3!$E$14,CVSSv3!$E$40,"")))&amp;")"</f>
        <v>(AV:/AC:/PR:/UI:/S:/C:/I:/A:/E:/RL:/RC:)</v>
      </c>
      <c r="G374" s="84"/>
      <c r="H374" s="86"/>
      <c r="I374" s="87"/>
      <c r="J374" s="87"/>
      <c r="K374" s="83"/>
      <c r="L374" s="83"/>
      <c r="M374" s="83"/>
    </row>
    <row r="375" spans="1:13" ht="15.75" customHeight="1" x14ac:dyDescent="0.25">
      <c r="A375" s="85">
        <v>32</v>
      </c>
      <c r="B375" s="83" t="s">
        <v>62</v>
      </c>
      <c r="C375" s="83" t="s">
        <v>14</v>
      </c>
      <c r="D375" s="83" t="s">
        <v>14</v>
      </c>
      <c r="E375" s="83" t="s">
        <v>14</v>
      </c>
      <c r="F375" s="5" t="str">
        <f>CVSSv3!$A$4</f>
        <v>Attack Vector</v>
      </c>
      <c r="G375" s="6" t="s">
        <v>15</v>
      </c>
      <c r="H375" s="86" t="e">
        <f>ROUNDUP((IF((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lt;=0,0,(IF(G379=CVSSv3!$C$8,ROUNDUP((MIN((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ROUNDUP((MIN(1.08*((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IF(G383=CVSSv3!$C$12,CVSSv3!$C$25,(IF(G383=CVSSv3!$D$12,CVSSv3!$D$25,(IF(G383=CVSSv3!$E$12,CVSSv3!$E$25,(IF(G383=CVSSv3!$F$12,CVSSv3!$F$25,""))))))))*(IF(G384=CVSSv3!$C$13,CVSSv3!$C$26,(IF(G384=CVSSv3!$D$13,CVSSv3!$D$26,(IF(G384=CVSSv3!$E$13,CVSSv3!$E$26,(IF(G384=CVSSv3!$F$13,CVSSv3!$F$26,""))))))))*(IF(G385=CVSSv3!$C$14,CVSSv3!$C$27,(IF(G385=CVSSv3!$D$14,CVSSv3!$D$27,(IF(G385=CVSSv3!$E$14,CVSSv3!$E$27,""))))))),1)</f>
        <v>#VALUE!</v>
      </c>
      <c r="I375" s="87">
        <v>0</v>
      </c>
      <c r="J375" s="87">
        <v>0</v>
      </c>
      <c r="K375" s="83" t="s">
        <v>14</v>
      </c>
      <c r="L375" s="83" t="s">
        <v>14</v>
      </c>
      <c r="M375" s="83" t="s">
        <v>16</v>
      </c>
    </row>
    <row r="376" spans="1:13" ht="15.75" x14ac:dyDescent="0.2">
      <c r="A376" s="85"/>
      <c r="B376" s="83"/>
      <c r="C376" s="83"/>
      <c r="D376" s="83"/>
      <c r="E376" s="83"/>
      <c r="F376" s="7" t="str">
        <f>CVSSv3!$A$5</f>
        <v>Attack Complexity</v>
      </c>
      <c r="G376" s="8" t="s">
        <v>32</v>
      </c>
      <c r="H376" s="86"/>
      <c r="I376" s="87"/>
      <c r="J376" s="87"/>
      <c r="K376" s="83"/>
      <c r="L376" s="83"/>
      <c r="M376" s="83"/>
    </row>
    <row r="377" spans="1:13" ht="15.75" x14ac:dyDescent="0.2">
      <c r="A377" s="85"/>
      <c r="B377" s="83"/>
      <c r="C377" s="83"/>
      <c r="D377" s="83"/>
      <c r="E377" s="83"/>
      <c r="F377" s="7" t="str">
        <f>CVSSv3!$A$6</f>
        <v>Privilege Required</v>
      </c>
      <c r="G377" s="8" t="s">
        <v>33</v>
      </c>
      <c r="H377" s="86"/>
      <c r="I377" s="87"/>
      <c r="J377" s="87"/>
      <c r="K377" s="83"/>
      <c r="L377" s="83"/>
      <c r="M377" s="83"/>
    </row>
    <row r="378" spans="1:13" ht="15.75" x14ac:dyDescent="0.2">
      <c r="A378" s="85"/>
      <c r="B378" s="83"/>
      <c r="C378" s="83"/>
      <c r="D378" s="83"/>
      <c r="E378" s="83"/>
      <c r="F378" s="7" t="str">
        <f>CVSSv3!$A$7</f>
        <v>User Interaction</v>
      </c>
      <c r="G378" s="8" t="s">
        <v>34</v>
      </c>
      <c r="H378" s="86"/>
      <c r="I378" s="87"/>
      <c r="J378" s="87"/>
      <c r="K378" s="83"/>
      <c r="L378" s="83"/>
      <c r="M378" s="83"/>
    </row>
    <row r="379" spans="1:13" ht="15.75" x14ac:dyDescent="0.2">
      <c r="A379" s="85"/>
      <c r="B379" s="83"/>
      <c r="C379" s="83"/>
      <c r="D379" s="83"/>
      <c r="E379" s="83"/>
      <c r="F379" s="7" t="str">
        <f>CVSSv3!$A$8</f>
        <v>Scope</v>
      </c>
      <c r="G379" s="8" t="s">
        <v>35</v>
      </c>
      <c r="H379" s="86"/>
      <c r="I379" s="87"/>
      <c r="J379" s="87"/>
      <c r="K379" s="83"/>
      <c r="L379" s="83"/>
      <c r="M379" s="83"/>
    </row>
    <row r="380" spans="1:13" ht="15.75" x14ac:dyDescent="0.2">
      <c r="A380" s="85"/>
      <c r="B380" s="83"/>
      <c r="C380" s="83"/>
      <c r="D380" s="83"/>
      <c r="E380" s="83"/>
      <c r="F380" s="7" t="str">
        <f>CVSSv3!$A$9</f>
        <v>Confidentiality Impact</v>
      </c>
      <c r="G380" s="8" t="s">
        <v>36</v>
      </c>
      <c r="H380" s="86"/>
      <c r="I380" s="87"/>
      <c r="J380" s="87"/>
      <c r="K380" s="83"/>
      <c r="L380" s="83"/>
      <c r="M380" s="83"/>
    </row>
    <row r="381" spans="1:13" ht="15.75" x14ac:dyDescent="0.2">
      <c r="A381" s="85"/>
      <c r="B381" s="83"/>
      <c r="C381" s="83"/>
      <c r="D381" s="83"/>
      <c r="E381" s="83"/>
      <c r="F381" s="7" t="str">
        <f>CVSSv3!$A$10</f>
        <v>Integrity Impact</v>
      </c>
      <c r="G381" s="8" t="s">
        <v>36</v>
      </c>
      <c r="H381" s="86"/>
      <c r="I381" s="87"/>
      <c r="J381" s="87"/>
      <c r="K381" s="83"/>
      <c r="L381" s="83"/>
      <c r="M381" s="83"/>
    </row>
    <row r="382" spans="1:13" ht="15.75" x14ac:dyDescent="0.2">
      <c r="A382" s="85"/>
      <c r="B382" s="83"/>
      <c r="C382" s="83"/>
      <c r="D382" s="83"/>
      <c r="E382" s="83"/>
      <c r="F382" s="7" t="str">
        <f>CVSSv3!$A$11</f>
        <v>Availability Impact</v>
      </c>
      <c r="G382" s="8" t="s">
        <v>36</v>
      </c>
      <c r="H382" s="86"/>
      <c r="I382" s="87"/>
      <c r="J382" s="87"/>
      <c r="K382" s="83"/>
      <c r="L382" s="83"/>
      <c r="M382" s="83"/>
    </row>
    <row r="383" spans="1:13" ht="15.75" x14ac:dyDescent="0.2">
      <c r="A383" s="85"/>
      <c r="B383" s="83"/>
      <c r="C383" s="83"/>
      <c r="D383" s="83"/>
      <c r="E383" s="83"/>
      <c r="F383" s="7" t="str">
        <f>CVSSv3!$A$12</f>
        <v>Exploit Code Maturity</v>
      </c>
      <c r="G383" s="8" t="s">
        <v>32</v>
      </c>
      <c r="H383" s="86"/>
      <c r="I383" s="87"/>
      <c r="J383" s="87"/>
      <c r="K383" s="83"/>
      <c r="L383" s="83"/>
      <c r="M383" s="83"/>
    </row>
    <row r="384" spans="1:13" ht="15.75" x14ac:dyDescent="0.2">
      <c r="A384" s="85"/>
      <c r="B384" s="83"/>
      <c r="C384" s="83"/>
      <c r="D384" s="83"/>
      <c r="E384" s="83"/>
      <c r="F384" s="7" t="str">
        <f>CVSSv3!$A$13</f>
        <v>Remediation Level</v>
      </c>
      <c r="G384" s="8" t="s">
        <v>37</v>
      </c>
      <c r="H384" s="86"/>
      <c r="I384" s="87"/>
      <c r="J384" s="87"/>
      <c r="K384" s="83"/>
      <c r="L384" s="83"/>
      <c r="M384" s="83"/>
    </row>
    <row r="385" spans="1:13" ht="15.75" x14ac:dyDescent="0.2">
      <c r="A385" s="85"/>
      <c r="B385" s="83"/>
      <c r="C385" s="83"/>
      <c r="D385" s="83"/>
      <c r="E385" s="83"/>
      <c r="F385" s="7" t="str">
        <f>CVSSv3!$A$14</f>
        <v>Report Confidence</v>
      </c>
      <c r="G385" s="8" t="s">
        <v>38</v>
      </c>
      <c r="H385" s="86"/>
      <c r="I385" s="87"/>
      <c r="J385" s="87"/>
      <c r="K385" s="83"/>
      <c r="L385" s="83"/>
      <c r="M385" s="83"/>
    </row>
    <row r="386" spans="1:13" ht="15.75" x14ac:dyDescent="0.2">
      <c r="A386" s="85"/>
      <c r="B386" s="83"/>
      <c r="C386" s="83"/>
      <c r="D386" s="83"/>
      <c r="E386" s="83"/>
      <c r="F386" s="84" t="str">
        <f>"("&amp;CVSSv3!$B$4&amp;":"&amp;IF(G375=CVSSv3!$C$4,CVSSv3!$C$30,IF(G375=CVSSv3!$D$4,CVSSv3!$D$30,IF(G375=CVSSv3!$E$4,CVSSv3!$E$30,IF(G375=CVSSv3!$F$4,CVSSv3!$F$30,""))))&amp;"/"&amp;CVSSv3!$B$5&amp;":"&amp;IF(G376=CVSSv3!$C$5,CVSSv3!$C$31,IF(G376=CVSSv3!$D$5,CVSSv3!$D$31,""))&amp;"/"&amp;CVSSv3!$B$6&amp;":"&amp;IF(G377=CVSSv3!$C$6,CVSSv3!$C$32,IF(G377=CVSSv3!$D$6,CVSSv3!$D$32,IF(G377=CVSSv3!$E$6,CVSSv3!$E$32,"")))&amp;"/"&amp;CVSSv3!$B$7&amp;":"&amp;IF(G378=CVSSv3!$C$7,CVSSv3!$C$33,IF(G378=CVSSv3!$D$7,CVSSv3!$D$33,""))&amp;"/"&amp;CVSSv3!$B$8&amp;":"&amp;IF(G379=CVSSv3!$C$8,CVSSv3!$C$34,IF(G379=CVSSv3!$D$8,CVSSv3!$D$34,""))&amp;"/"&amp;CVSSv3!$B$9&amp;":"&amp;IF(G380=CVSSv3!$C$9,CVSSv3!$C$35,IF(G380=CVSSv3!$D$9,CVSSv3!$D$35,IF(G380=CVSSv3!$E$9,CVSSv3!$E$35,"")))&amp;"/"&amp;CVSSv3!$B$10&amp;":"&amp;IF(G381=CVSSv3!$C$10,CVSSv3!$C$36,IF(G381=CVSSv3!$D$10,CVSSv3!$D$36,IF(G381=CVSSv3!$E$10,CVSSv3!$E$36,"")))&amp;"/"&amp;CVSSv3!$B$11&amp;":"&amp;IF(G382=CVSSv3!$C$11,CVSSv3!$C$37,IF(G382=CVSSv3!$D$11,CVSSv3!$D$37,IF(G382=CVSSv3!$E$11,CVSSv3!$E$37,"")))&amp;"/"&amp;CVSSv3!$B$12&amp;":"&amp;IF(G383=CVSSv3!$C$12,CVSSv3!$C$38,IF(G383=CVSSv3!$D$12,CVSSv3!$D$38,IF(G383=CVSSv3!$E$12,CVSSv3!$E$38,IF(G383=CVSSv3!$F$12,CVSSv3!$F$38,""))))&amp;"/"&amp;CVSSv3!$B$13&amp;":"&amp;IF(G384=CVSSv3!$C$13,CVSSv3!$C$39,IF(G384=CVSSv3!$D$13,CVSSv3!$D$39,IF(G384=CVSSv3!$E$13,CVSSv3!$E$39,IF(G384=CVSSv3!$F$13,CVSSv3!$F$39,""))))&amp;"/"&amp;CVSSv3!$B$14&amp;":"&amp;IF(G385=CVSSv3!$C$14,CVSSv3!$C$40,IF(G385=CVSSv3!$D$14,CVSSv3!$D$40,IF(G385=CVSSv3!$E$14,CVSSv3!$E$40,"")))&amp;")"</f>
        <v>(AV:/AC:/PR:/UI:/S:/C:/I:/A:/E:/RL:/RC:)</v>
      </c>
      <c r="G386" s="84"/>
      <c r="H386" s="86"/>
      <c r="I386" s="87"/>
      <c r="J386" s="87"/>
      <c r="K386" s="83"/>
      <c r="L386" s="83"/>
      <c r="M386" s="83"/>
    </row>
    <row r="387" spans="1:13" ht="15.75" customHeight="1" x14ac:dyDescent="0.25">
      <c r="A387" s="85">
        <v>33</v>
      </c>
      <c r="B387" s="83" t="s">
        <v>63</v>
      </c>
      <c r="C387" s="83" t="s">
        <v>14</v>
      </c>
      <c r="D387" s="83" t="s">
        <v>14</v>
      </c>
      <c r="E387" s="83" t="s">
        <v>14</v>
      </c>
      <c r="F387" s="5" t="str">
        <f>CVSSv3!$A$4</f>
        <v>Attack Vector</v>
      </c>
      <c r="G387" s="6" t="s">
        <v>15</v>
      </c>
      <c r="H387" s="86" t="e">
        <f>ROUNDUP((IF((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lt;=0,0,(IF(G391=CVSSv3!$C$8,ROUNDUP((MIN((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ROUNDUP((MIN(1.08*((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IF(G395=CVSSv3!$C$12,CVSSv3!$C$25,(IF(G395=CVSSv3!$D$12,CVSSv3!$D$25,(IF(G395=CVSSv3!$E$12,CVSSv3!$E$25,(IF(G395=CVSSv3!$F$12,CVSSv3!$F$25,""))))))))*(IF(G396=CVSSv3!$C$13,CVSSv3!$C$26,(IF(G396=CVSSv3!$D$13,CVSSv3!$D$26,(IF(G396=CVSSv3!$E$13,CVSSv3!$E$26,(IF(G396=CVSSv3!$F$13,CVSSv3!$F$26,""))))))))*(IF(G397=CVSSv3!$C$14,CVSSv3!$C$27,(IF(G397=CVSSv3!$D$14,CVSSv3!$D$27,(IF(G397=CVSSv3!$E$14,CVSSv3!$E$27,""))))))),1)</f>
        <v>#VALUE!</v>
      </c>
      <c r="I387" s="87">
        <v>0</v>
      </c>
      <c r="J387" s="87">
        <v>0</v>
      </c>
      <c r="K387" s="83" t="s">
        <v>14</v>
      </c>
      <c r="L387" s="83" t="s">
        <v>14</v>
      </c>
      <c r="M387" s="83" t="s">
        <v>16</v>
      </c>
    </row>
    <row r="388" spans="1:13" ht="15.75" x14ac:dyDescent="0.2">
      <c r="A388" s="85"/>
      <c r="B388" s="83"/>
      <c r="C388" s="83"/>
      <c r="D388" s="83"/>
      <c r="E388" s="83"/>
      <c r="F388" s="7" t="str">
        <f>CVSSv3!$A$5</f>
        <v>Attack Complexity</v>
      </c>
      <c r="G388" s="8" t="s">
        <v>32</v>
      </c>
      <c r="H388" s="86"/>
      <c r="I388" s="87"/>
      <c r="J388" s="87"/>
      <c r="K388" s="83"/>
      <c r="L388" s="83"/>
      <c r="M388" s="83"/>
    </row>
    <row r="389" spans="1:13" ht="15.75" x14ac:dyDescent="0.2">
      <c r="A389" s="85"/>
      <c r="B389" s="83"/>
      <c r="C389" s="83"/>
      <c r="D389" s="83"/>
      <c r="E389" s="83"/>
      <c r="F389" s="7" t="str">
        <f>CVSSv3!$A$6</f>
        <v>Privilege Required</v>
      </c>
      <c r="G389" s="8" t="s">
        <v>33</v>
      </c>
      <c r="H389" s="86"/>
      <c r="I389" s="87"/>
      <c r="J389" s="87"/>
      <c r="K389" s="83"/>
      <c r="L389" s="83"/>
      <c r="M389" s="83"/>
    </row>
    <row r="390" spans="1:13" ht="15.75" x14ac:dyDescent="0.2">
      <c r="A390" s="85"/>
      <c r="B390" s="83"/>
      <c r="C390" s="83"/>
      <c r="D390" s="83"/>
      <c r="E390" s="83"/>
      <c r="F390" s="7" t="str">
        <f>CVSSv3!$A$7</f>
        <v>User Interaction</v>
      </c>
      <c r="G390" s="8" t="s">
        <v>34</v>
      </c>
      <c r="H390" s="86"/>
      <c r="I390" s="87"/>
      <c r="J390" s="87"/>
      <c r="K390" s="83"/>
      <c r="L390" s="83"/>
      <c r="M390" s="83"/>
    </row>
    <row r="391" spans="1:13" ht="15.75" x14ac:dyDescent="0.2">
      <c r="A391" s="85"/>
      <c r="B391" s="83"/>
      <c r="C391" s="83"/>
      <c r="D391" s="83"/>
      <c r="E391" s="83"/>
      <c r="F391" s="7" t="str">
        <f>CVSSv3!$A$8</f>
        <v>Scope</v>
      </c>
      <c r="G391" s="8" t="s">
        <v>35</v>
      </c>
      <c r="H391" s="86"/>
      <c r="I391" s="87"/>
      <c r="J391" s="87"/>
      <c r="K391" s="83"/>
      <c r="L391" s="83"/>
      <c r="M391" s="83"/>
    </row>
    <row r="392" spans="1:13" ht="15.75" x14ac:dyDescent="0.2">
      <c r="A392" s="85"/>
      <c r="B392" s="83"/>
      <c r="C392" s="83"/>
      <c r="D392" s="83"/>
      <c r="E392" s="83"/>
      <c r="F392" s="7" t="str">
        <f>CVSSv3!$A$9</f>
        <v>Confidentiality Impact</v>
      </c>
      <c r="G392" s="8" t="s">
        <v>36</v>
      </c>
      <c r="H392" s="86"/>
      <c r="I392" s="87"/>
      <c r="J392" s="87"/>
      <c r="K392" s="83"/>
      <c r="L392" s="83"/>
      <c r="M392" s="83"/>
    </row>
    <row r="393" spans="1:13" ht="15.75" x14ac:dyDescent="0.2">
      <c r="A393" s="85"/>
      <c r="B393" s="83"/>
      <c r="C393" s="83"/>
      <c r="D393" s="83"/>
      <c r="E393" s="83"/>
      <c r="F393" s="7" t="str">
        <f>CVSSv3!$A$10</f>
        <v>Integrity Impact</v>
      </c>
      <c r="G393" s="8" t="s">
        <v>36</v>
      </c>
      <c r="H393" s="86"/>
      <c r="I393" s="87"/>
      <c r="J393" s="87"/>
      <c r="K393" s="83"/>
      <c r="L393" s="83"/>
      <c r="M393" s="83"/>
    </row>
    <row r="394" spans="1:13" ht="15.75" x14ac:dyDescent="0.2">
      <c r="A394" s="85"/>
      <c r="B394" s="83"/>
      <c r="C394" s="83"/>
      <c r="D394" s="83"/>
      <c r="E394" s="83"/>
      <c r="F394" s="7" t="str">
        <f>CVSSv3!$A$11</f>
        <v>Availability Impact</v>
      </c>
      <c r="G394" s="8" t="s">
        <v>36</v>
      </c>
      <c r="H394" s="86"/>
      <c r="I394" s="87"/>
      <c r="J394" s="87"/>
      <c r="K394" s="83"/>
      <c r="L394" s="83"/>
      <c r="M394" s="83"/>
    </row>
    <row r="395" spans="1:13" ht="15.75" x14ac:dyDescent="0.2">
      <c r="A395" s="85"/>
      <c r="B395" s="83"/>
      <c r="C395" s="83"/>
      <c r="D395" s="83"/>
      <c r="E395" s="83"/>
      <c r="F395" s="7" t="str">
        <f>CVSSv3!$A$12</f>
        <v>Exploit Code Maturity</v>
      </c>
      <c r="G395" s="8" t="s">
        <v>32</v>
      </c>
      <c r="H395" s="86"/>
      <c r="I395" s="87"/>
      <c r="J395" s="87"/>
      <c r="K395" s="83"/>
      <c r="L395" s="83"/>
      <c r="M395" s="83"/>
    </row>
    <row r="396" spans="1:13" ht="15.75" x14ac:dyDescent="0.2">
      <c r="A396" s="85"/>
      <c r="B396" s="83"/>
      <c r="C396" s="83"/>
      <c r="D396" s="83"/>
      <c r="E396" s="83"/>
      <c r="F396" s="7" t="str">
        <f>CVSSv3!$A$13</f>
        <v>Remediation Level</v>
      </c>
      <c r="G396" s="8" t="s">
        <v>37</v>
      </c>
      <c r="H396" s="86"/>
      <c r="I396" s="87"/>
      <c r="J396" s="87"/>
      <c r="K396" s="83"/>
      <c r="L396" s="83"/>
      <c r="M396" s="83"/>
    </row>
    <row r="397" spans="1:13" ht="15.75" x14ac:dyDescent="0.2">
      <c r="A397" s="85"/>
      <c r="B397" s="83"/>
      <c r="C397" s="83"/>
      <c r="D397" s="83"/>
      <c r="E397" s="83"/>
      <c r="F397" s="7" t="str">
        <f>CVSSv3!$A$14</f>
        <v>Report Confidence</v>
      </c>
      <c r="G397" s="8" t="s">
        <v>38</v>
      </c>
      <c r="H397" s="86"/>
      <c r="I397" s="87"/>
      <c r="J397" s="87"/>
      <c r="K397" s="83"/>
      <c r="L397" s="83"/>
      <c r="M397" s="83"/>
    </row>
    <row r="398" spans="1:13" ht="15.75" x14ac:dyDescent="0.2">
      <c r="A398" s="85"/>
      <c r="B398" s="83"/>
      <c r="C398" s="83"/>
      <c r="D398" s="83"/>
      <c r="E398" s="83"/>
      <c r="F398" s="84" t="str">
        <f>"("&amp;CVSSv3!$B$4&amp;":"&amp;IF(G387=CVSSv3!$C$4,CVSSv3!$C$30,IF(G387=CVSSv3!$D$4,CVSSv3!$D$30,IF(G387=CVSSv3!$E$4,CVSSv3!$E$30,IF(G387=CVSSv3!$F$4,CVSSv3!$F$30,""))))&amp;"/"&amp;CVSSv3!$B$5&amp;":"&amp;IF(G388=CVSSv3!$C$5,CVSSv3!$C$31,IF(G388=CVSSv3!$D$5,CVSSv3!$D$31,""))&amp;"/"&amp;CVSSv3!$B$6&amp;":"&amp;IF(G389=CVSSv3!$C$6,CVSSv3!$C$32,IF(G389=CVSSv3!$D$6,CVSSv3!$D$32,IF(G389=CVSSv3!$E$6,CVSSv3!$E$32,"")))&amp;"/"&amp;CVSSv3!$B$7&amp;":"&amp;IF(G390=CVSSv3!$C$7,CVSSv3!$C$33,IF(G390=CVSSv3!$D$7,CVSSv3!$D$33,""))&amp;"/"&amp;CVSSv3!$B$8&amp;":"&amp;IF(G391=CVSSv3!$C$8,CVSSv3!$C$34,IF(G391=CVSSv3!$D$8,CVSSv3!$D$34,""))&amp;"/"&amp;CVSSv3!$B$9&amp;":"&amp;IF(G392=CVSSv3!$C$9,CVSSv3!$C$35,IF(G392=CVSSv3!$D$9,CVSSv3!$D$35,IF(G392=CVSSv3!$E$9,CVSSv3!$E$35,"")))&amp;"/"&amp;CVSSv3!$B$10&amp;":"&amp;IF(G393=CVSSv3!$C$10,CVSSv3!$C$36,IF(G393=CVSSv3!$D$10,CVSSv3!$D$36,IF(G393=CVSSv3!$E$10,CVSSv3!$E$36,"")))&amp;"/"&amp;CVSSv3!$B$11&amp;":"&amp;IF(G394=CVSSv3!$C$11,CVSSv3!$C$37,IF(G394=CVSSv3!$D$11,CVSSv3!$D$37,IF(G394=CVSSv3!$E$11,CVSSv3!$E$37,"")))&amp;"/"&amp;CVSSv3!$B$12&amp;":"&amp;IF(G395=CVSSv3!$C$12,CVSSv3!$C$38,IF(G395=CVSSv3!$D$12,CVSSv3!$D$38,IF(G395=CVSSv3!$E$12,CVSSv3!$E$38,IF(G395=CVSSv3!$F$12,CVSSv3!$F$38,""))))&amp;"/"&amp;CVSSv3!$B$13&amp;":"&amp;IF(G396=CVSSv3!$C$13,CVSSv3!$C$39,IF(G396=CVSSv3!$D$13,CVSSv3!$D$39,IF(G396=CVSSv3!$E$13,CVSSv3!$E$39,IF(G396=CVSSv3!$F$13,CVSSv3!$F$39,""))))&amp;"/"&amp;CVSSv3!$B$14&amp;":"&amp;IF(G397=CVSSv3!$C$14,CVSSv3!$C$40,IF(G397=CVSSv3!$D$14,CVSSv3!$D$40,IF(G397=CVSSv3!$E$14,CVSSv3!$E$40,"")))&amp;")"</f>
        <v>(AV:/AC:/PR:/UI:/S:/C:/I:/A:/E:/RL:/RC:)</v>
      </c>
      <c r="G398" s="84"/>
      <c r="H398" s="86"/>
      <c r="I398" s="87"/>
      <c r="J398" s="87"/>
      <c r="K398" s="83"/>
      <c r="L398" s="83"/>
      <c r="M398" s="83"/>
    </row>
    <row r="399" spans="1:13" ht="15.75" customHeight="1" x14ac:dyDescent="0.25">
      <c r="A399" s="85">
        <v>34</v>
      </c>
      <c r="B399" s="83" t="s">
        <v>64</v>
      </c>
      <c r="C399" s="83" t="s">
        <v>14</v>
      </c>
      <c r="D399" s="83" t="s">
        <v>14</v>
      </c>
      <c r="E399" s="83" t="s">
        <v>14</v>
      </c>
      <c r="F399" s="5" t="str">
        <f>CVSSv3!$A$4</f>
        <v>Attack Vector</v>
      </c>
      <c r="G399" s="6" t="s">
        <v>15</v>
      </c>
      <c r="H399" s="86" t="e">
        <f>ROUNDUP((IF((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lt;=0,0,(IF(G403=CVSSv3!$C$8,ROUNDUP((MIN((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ROUNDUP((MIN(1.08*((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IF(G407=CVSSv3!$C$12,CVSSv3!$C$25,(IF(G407=CVSSv3!$D$12,CVSSv3!$D$25,(IF(G407=CVSSv3!$E$12,CVSSv3!$E$25,(IF(G407=CVSSv3!$F$12,CVSSv3!$F$25,""))))))))*(IF(G408=CVSSv3!$C$13,CVSSv3!$C$26,(IF(G408=CVSSv3!$D$13,CVSSv3!$D$26,(IF(G408=CVSSv3!$E$13,CVSSv3!$E$26,(IF(G408=CVSSv3!$F$13,CVSSv3!$F$26,""))))))))*(IF(G409=CVSSv3!$C$14,CVSSv3!$C$27,(IF(G409=CVSSv3!$D$14,CVSSv3!$D$27,(IF(G409=CVSSv3!$E$14,CVSSv3!$E$27,""))))))),1)</f>
        <v>#VALUE!</v>
      </c>
      <c r="I399" s="87">
        <v>0</v>
      </c>
      <c r="J399" s="87">
        <v>0</v>
      </c>
      <c r="K399" s="83" t="s">
        <v>14</v>
      </c>
      <c r="L399" s="83" t="s">
        <v>14</v>
      </c>
      <c r="M399" s="83" t="s">
        <v>16</v>
      </c>
    </row>
    <row r="400" spans="1:13" ht="15.75" x14ac:dyDescent="0.2">
      <c r="A400" s="85"/>
      <c r="B400" s="83"/>
      <c r="C400" s="83"/>
      <c r="D400" s="83"/>
      <c r="E400" s="83"/>
      <c r="F400" s="7" t="str">
        <f>CVSSv3!$A$5</f>
        <v>Attack Complexity</v>
      </c>
      <c r="G400" s="8" t="s">
        <v>32</v>
      </c>
      <c r="H400" s="86"/>
      <c r="I400" s="87"/>
      <c r="J400" s="87"/>
      <c r="K400" s="83"/>
      <c r="L400" s="83"/>
      <c r="M400" s="83"/>
    </row>
    <row r="401" spans="1:13" ht="15.75" x14ac:dyDescent="0.2">
      <c r="A401" s="85"/>
      <c r="B401" s="83"/>
      <c r="C401" s="83"/>
      <c r="D401" s="83"/>
      <c r="E401" s="83"/>
      <c r="F401" s="7" t="str">
        <f>CVSSv3!$A$6</f>
        <v>Privilege Required</v>
      </c>
      <c r="G401" s="8" t="s">
        <v>33</v>
      </c>
      <c r="H401" s="86"/>
      <c r="I401" s="87"/>
      <c r="J401" s="87"/>
      <c r="K401" s="83"/>
      <c r="L401" s="83"/>
      <c r="M401" s="83"/>
    </row>
    <row r="402" spans="1:13" ht="15.75" x14ac:dyDescent="0.2">
      <c r="A402" s="85"/>
      <c r="B402" s="83"/>
      <c r="C402" s="83"/>
      <c r="D402" s="83"/>
      <c r="E402" s="83"/>
      <c r="F402" s="7" t="str">
        <f>CVSSv3!$A$7</f>
        <v>User Interaction</v>
      </c>
      <c r="G402" s="8" t="s">
        <v>34</v>
      </c>
      <c r="H402" s="86"/>
      <c r="I402" s="87"/>
      <c r="J402" s="87"/>
      <c r="K402" s="83"/>
      <c r="L402" s="83"/>
      <c r="M402" s="83"/>
    </row>
    <row r="403" spans="1:13" ht="15.75" x14ac:dyDescent="0.2">
      <c r="A403" s="85"/>
      <c r="B403" s="83"/>
      <c r="C403" s="83"/>
      <c r="D403" s="83"/>
      <c r="E403" s="83"/>
      <c r="F403" s="7" t="str">
        <f>CVSSv3!$A$8</f>
        <v>Scope</v>
      </c>
      <c r="G403" s="8" t="s">
        <v>35</v>
      </c>
      <c r="H403" s="86"/>
      <c r="I403" s="87"/>
      <c r="J403" s="87"/>
      <c r="K403" s="83"/>
      <c r="L403" s="83"/>
      <c r="M403" s="83"/>
    </row>
    <row r="404" spans="1:13" ht="15.75" x14ac:dyDescent="0.2">
      <c r="A404" s="85"/>
      <c r="B404" s="83"/>
      <c r="C404" s="83"/>
      <c r="D404" s="83"/>
      <c r="E404" s="83"/>
      <c r="F404" s="7" t="str">
        <f>CVSSv3!$A$9</f>
        <v>Confidentiality Impact</v>
      </c>
      <c r="G404" s="8" t="s">
        <v>36</v>
      </c>
      <c r="H404" s="86"/>
      <c r="I404" s="87"/>
      <c r="J404" s="87"/>
      <c r="K404" s="83"/>
      <c r="L404" s="83"/>
      <c r="M404" s="83"/>
    </row>
    <row r="405" spans="1:13" ht="15.75" x14ac:dyDescent="0.2">
      <c r="A405" s="85"/>
      <c r="B405" s="83"/>
      <c r="C405" s="83"/>
      <c r="D405" s="83"/>
      <c r="E405" s="83"/>
      <c r="F405" s="7" t="str">
        <f>CVSSv3!$A$10</f>
        <v>Integrity Impact</v>
      </c>
      <c r="G405" s="8" t="s">
        <v>36</v>
      </c>
      <c r="H405" s="86"/>
      <c r="I405" s="87"/>
      <c r="J405" s="87"/>
      <c r="K405" s="83"/>
      <c r="L405" s="83"/>
      <c r="M405" s="83"/>
    </row>
    <row r="406" spans="1:13" ht="15.75" x14ac:dyDescent="0.2">
      <c r="A406" s="85"/>
      <c r="B406" s="83"/>
      <c r="C406" s="83"/>
      <c r="D406" s="83"/>
      <c r="E406" s="83"/>
      <c r="F406" s="7" t="str">
        <f>CVSSv3!$A$11</f>
        <v>Availability Impact</v>
      </c>
      <c r="G406" s="8" t="s">
        <v>36</v>
      </c>
      <c r="H406" s="86"/>
      <c r="I406" s="87"/>
      <c r="J406" s="87"/>
      <c r="K406" s="83"/>
      <c r="L406" s="83"/>
      <c r="M406" s="83"/>
    </row>
    <row r="407" spans="1:13" ht="15.75" x14ac:dyDescent="0.2">
      <c r="A407" s="85"/>
      <c r="B407" s="83"/>
      <c r="C407" s="83"/>
      <c r="D407" s="83"/>
      <c r="E407" s="83"/>
      <c r="F407" s="7" t="str">
        <f>CVSSv3!$A$12</f>
        <v>Exploit Code Maturity</v>
      </c>
      <c r="G407" s="8" t="s">
        <v>32</v>
      </c>
      <c r="H407" s="86"/>
      <c r="I407" s="87"/>
      <c r="J407" s="87"/>
      <c r="K407" s="83"/>
      <c r="L407" s="83"/>
      <c r="M407" s="83"/>
    </row>
    <row r="408" spans="1:13" ht="15.75" x14ac:dyDescent="0.2">
      <c r="A408" s="85"/>
      <c r="B408" s="83"/>
      <c r="C408" s="83"/>
      <c r="D408" s="83"/>
      <c r="E408" s="83"/>
      <c r="F408" s="7" t="str">
        <f>CVSSv3!$A$13</f>
        <v>Remediation Level</v>
      </c>
      <c r="G408" s="8" t="s">
        <v>37</v>
      </c>
      <c r="H408" s="86"/>
      <c r="I408" s="87"/>
      <c r="J408" s="87"/>
      <c r="K408" s="83"/>
      <c r="L408" s="83"/>
      <c r="M408" s="83"/>
    </row>
    <row r="409" spans="1:13" ht="15.75" x14ac:dyDescent="0.2">
      <c r="A409" s="85"/>
      <c r="B409" s="83"/>
      <c r="C409" s="83"/>
      <c r="D409" s="83"/>
      <c r="E409" s="83"/>
      <c r="F409" s="7" t="str">
        <f>CVSSv3!$A$14</f>
        <v>Report Confidence</v>
      </c>
      <c r="G409" s="8" t="s">
        <v>38</v>
      </c>
      <c r="H409" s="86"/>
      <c r="I409" s="87"/>
      <c r="J409" s="87"/>
      <c r="K409" s="83"/>
      <c r="L409" s="83"/>
      <c r="M409" s="83"/>
    </row>
    <row r="410" spans="1:13" ht="15.75" x14ac:dyDescent="0.2">
      <c r="A410" s="85"/>
      <c r="B410" s="83"/>
      <c r="C410" s="83"/>
      <c r="D410" s="83"/>
      <c r="E410" s="83"/>
      <c r="F410" s="84" t="str">
        <f>"("&amp;CVSSv3!$B$4&amp;":"&amp;IF(G399=CVSSv3!$C$4,CVSSv3!$C$30,IF(G399=CVSSv3!$D$4,CVSSv3!$D$30,IF(G399=CVSSv3!$E$4,CVSSv3!$E$30,IF(G399=CVSSv3!$F$4,CVSSv3!$F$30,""))))&amp;"/"&amp;CVSSv3!$B$5&amp;":"&amp;IF(G400=CVSSv3!$C$5,CVSSv3!$C$31,IF(G400=CVSSv3!$D$5,CVSSv3!$D$31,""))&amp;"/"&amp;CVSSv3!$B$6&amp;":"&amp;IF(G401=CVSSv3!$C$6,CVSSv3!$C$32,IF(G401=CVSSv3!$D$6,CVSSv3!$D$32,IF(G401=CVSSv3!$E$6,CVSSv3!$E$32,"")))&amp;"/"&amp;CVSSv3!$B$7&amp;":"&amp;IF(G402=CVSSv3!$C$7,CVSSv3!$C$33,IF(G402=CVSSv3!$D$7,CVSSv3!$D$33,""))&amp;"/"&amp;CVSSv3!$B$8&amp;":"&amp;IF(G403=CVSSv3!$C$8,CVSSv3!$C$34,IF(G403=CVSSv3!$D$8,CVSSv3!$D$34,""))&amp;"/"&amp;CVSSv3!$B$9&amp;":"&amp;IF(G404=CVSSv3!$C$9,CVSSv3!$C$35,IF(G404=CVSSv3!$D$9,CVSSv3!$D$35,IF(G404=CVSSv3!$E$9,CVSSv3!$E$35,"")))&amp;"/"&amp;CVSSv3!$B$10&amp;":"&amp;IF(G405=CVSSv3!$C$10,CVSSv3!$C$36,IF(G405=CVSSv3!$D$10,CVSSv3!$D$36,IF(G405=CVSSv3!$E$10,CVSSv3!$E$36,"")))&amp;"/"&amp;CVSSv3!$B$11&amp;":"&amp;IF(G406=CVSSv3!$C$11,CVSSv3!$C$37,IF(G406=CVSSv3!$D$11,CVSSv3!$D$37,IF(G406=CVSSv3!$E$11,CVSSv3!$E$37,"")))&amp;"/"&amp;CVSSv3!$B$12&amp;":"&amp;IF(G407=CVSSv3!$C$12,CVSSv3!$C$38,IF(G407=CVSSv3!$D$12,CVSSv3!$D$38,IF(G407=CVSSv3!$E$12,CVSSv3!$E$38,IF(G407=CVSSv3!$F$12,CVSSv3!$F$38,""))))&amp;"/"&amp;CVSSv3!$B$13&amp;":"&amp;IF(G408=CVSSv3!$C$13,CVSSv3!$C$39,IF(G408=CVSSv3!$D$13,CVSSv3!$D$39,IF(G408=CVSSv3!$E$13,CVSSv3!$E$39,IF(G408=CVSSv3!$F$13,CVSSv3!$F$39,""))))&amp;"/"&amp;CVSSv3!$B$14&amp;":"&amp;IF(G409=CVSSv3!$C$14,CVSSv3!$C$40,IF(G409=CVSSv3!$D$14,CVSSv3!$D$40,IF(G409=CVSSv3!$E$14,CVSSv3!$E$40,"")))&amp;")"</f>
        <v>(AV:/AC:/PR:/UI:/S:/C:/I:/A:/E:/RL:/RC:)</v>
      </c>
      <c r="G410" s="84"/>
      <c r="H410" s="86"/>
      <c r="I410" s="87"/>
      <c r="J410" s="87"/>
      <c r="K410" s="83"/>
      <c r="L410" s="83"/>
      <c r="M410" s="83"/>
    </row>
    <row r="411" spans="1:13" ht="15.75" customHeight="1" x14ac:dyDescent="0.25">
      <c r="A411" s="85">
        <v>35</v>
      </c>
      <c r="B411" s="83" t="s">
        <v>65</v>
      </c>
      <c r="C411" s="83" t="s">
        <v>14</v>
      </c>
      <c r="D411" s="83" t="s">
        <v>14</v>
      </c>
      <c r="E411" s="83" t="s">
        <v>14</v>
      </c>
      <c r="F411" s="5" t="str">
        <f>CVSSv3!$A$4</f>
        <v>Attack Vector</v>
      </c>
      <c r="G411" s="6" t="s">
        <v>15</v>
      </c>
      <c r="H411" s="86" t="e">
        <f>ROUNDUP((IF((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lt;=0,0,(IF(G415=CVSSv3!$C$8,ROUNDUP((MIN((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ROUNDUP((MIN(1.08*((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IF(G419=CVSSv3!$C$12,CVSSv3!$C$25,(IF(G419=CVSSv3!$D$12,CVSSv3!$D$25,(IF(G419=CVSSv3!$E$12,CVSSv3!$E$25,(IF(G419=CVSSv3!$F$12,CVSSv3!$F$25,""))))))))*(IF(G420=CVSSv3!$C$13,CVSSv3!$C$26,(IF(G420=CVSSv3!$D$13,CVSSv3!$D$26,(IF(G420=CVSSv3!$E$13,CVSSv3!$E$26,(IF(G420=CVSSv3!$F$13,CVSSv3!$F$26,""))))))))*(IF(G421=CVSSv3!$C$14,CVSSv3!$C$27,(IF(G421=CVSSv3!$D$14,CVSSv3!$D$27,(IF(G421=CVSSv3!$E$14,CVSSv3!$E$27,""))))))),1)</f>
        <v>#VALUE!</v>
      </c>
      <c r="I411" s="87">
        <v>0</v>
      </c>
      <c r="J411" s="87">
        <v>0</v>
      </c>
      <c r="K411" s="83" t="s">
        <v>14</v>
      </c>
      <c r="L411" s="83" t="s">
        <v>14</v>
      </c>
      <c r="M411" s="83" t="s">
        <v>16</v>
      </c>
    </row>
    <row r="412" spans="1:13" ht="15.75" x14ac:dyDescent="0.2">
      <c r="A412" s="85"/>
      <c r="B412" s="83"/>
      <c r="C412" s="83"/>
      <c r="D412" s="83"/>
      <c r="E412" s="83"/>
      <c r="F412" s="7" t="str">
        <f>CVSSv3!$A$5</f>
        <v>Attack Complexity</v>
      </c>
      <c r="G412" s="8" t="s">
        <v>32</v>
      </c>
      <c r="H412" s="86"/>
      <c r="I412" s="87"/>
      <c r="J412" s="87"/>
      <c r="K412" s="83"/>
      <c r="L412" s="83"/>
      <c r="M412" s="83"/>
    </row>
    <row r="413" spans="1:13" ht="15.75" x14ac:dyDescent="0.2">
      <c r="A413" s="85"/>
      <c r="B413" s="83"/>
      <c r="C413" s="83"/>
      <c r="D413" s="83"/>
      <c r="E413" s="83"/>
      <c r="F413" s="7" t="str">
        <f>CVSSv3!$A$6</f>
        <v>Privilege Required</v>
      </c>
      <c r="G413" s="8" t="s">
        <v>33</v>
      </c>
      <c r="H413" s="86"/>
      <c r="I413" s="87"/>
      <c r="J413" s="87"/>
      <c r="K413" s="83"/>
      <c r="L413" s="83"/>
      <c r="M413" s="83"/>
    </row>
    <row r="414" spans="1:13" ht="15.75" x14ac:dyDescent="0.2">
      <c r="A414" s="85"/>
      <c r="B414" s="83"/>
      <c r="C414" s="83"/>
      <c r="D414" s="83"/>
      <c r="E414" s="83"/>
      <c r="F414" s="7" t="str">
        <f>CVSSv3!$A$7</f>
        <v>User Interaction</v>
      </c>
      <c r="G414" s="8" t="s">
        <v>34</v>
      </c>
      <c r="H414" s="86"/>
      <c r="I414" s="87"/>
      <c r="J414" s="87"/>
      <c r="K414" s="83"/>
      <c r="L414" s="83"/>
      <c r="M414" s="83"/>
    </row>
    <row r="415" spans="1:13" ht="15.75" x14ac:dyDescent="0.2">
      <c r="A415" s="85"/>
      <c r="B415" s="83"/>
      <c r="C415" s="83"/>
      <c r="D415" s="83"/>
      <c r="E415" s="83"/>
      <c r="F415" s="7" t="str">
        <f>CVSSv3!$A$8</f>
        <v>Scope</v>
      </c>
      <c r="G415" s="8" t="s">
        <v>35</v>
      </c>
      <c r="H415" s="86"/>
      <c r="I415" s="87"/>
      <c r="J415" s="87"/>
      <c r="K415" s="83"/>
      <c r="L415" s="83"/>
      <c r="M415" s="83"/>
    </row>
    <row r="416" spans="1:13" ht="15.75" x14ac:dyDescent="0.2">
      <c r="A416" s="85"/>
      <c r="B416" s="83"/>
      <c r="C416" s="83"/>
      <c r="D416" s="83"/>
      <c r="E416" s="83"/>
      <c r="F416" s="7" t="str">
        <f>CVSSv3!$A$9</f>
        <v>Confidentiality Impact</v>
      </c>
      <c r="G416" s="8" t="s">
        <v>36</v>
      </c>
      <c r="H416" s="86"/>
      <c r="I416" s="87"/>
      <c r="J416" s="87"/>
      <c r="K416" s="83"/>
      <c r="L416" s="83"/>
      <c r="M416" s="83"/>
    </row>
    <row r="417" spans="1:13" ht="15.75" x14ac:dyDescent="0.2">
      <c r="A417" s="85"/>
      <c r="B417" s="83"/>
      <c r="C417" s="83"/>
      <c r="D417" s="83"/>
      <c r="E417" s="83"/>
      <c r="F417" s="7" t="str">
        <f>CVSSv3!$A$10</f>
        <v>Integrity Impact</v>
      </c>
      <c r="G417" s="8" t="s">
        <v>36</v>
      </c>
      <c r="H417" s="86"/>
      <c r="I417" s="87"/>
      <c r="J417" s="87"/>
      <c r="K417" s="83"/>
      <c r="L417" s="83"/>
      <c r="M417" s="83"/>
    </row>
    <row r="418" spans="1:13" ht="15.75" x14ac:dyDescent="0.2">
      <c r="A418" s="85"/>
      <c r="B418" s="83"/>
      <c r="C418" s="83"/>
      <c r="D418" s="83"/>
      <c r="E418" s="83"/>
      <c r="F418" s="7" t="str">
        <f>CVSSv3!$A$11</f>
        <v>Availability Impact</v>
      </c>
      <c r="G418" s="8" t="s">
        <v>36</v>
      </c>
      <c r="H418" s="86"/>
      <c r="I418" s="87"/>
      <c r="J418" s="87"/>
      <c r="K418" s="83"/>
      <c r="L418" s="83"/>
      <c r="M418" s="83"/>
    </row>
    <row r="419" spans="1:13" ht="15.75" x14ac:dyDescent="0.2">
      <c r="A419" s="85"/>
      <c r="B419" s="83"/>
      <c r="C419" s="83"/>
      <c r="D419" s="83"/>
      <c r="E419" s="83"/>
      <c r="F419" s="7" t="str">
        <f>CVSSv3!$A$12</f>
        <v>Exploit Code Maturity</v>
      </c>
      <c r="G419" s="8" t="s">
        <v>32</v>
      </c>
      <c r="H419" s="86"/>
      <c r="I419" s="87"/>
      <c r="J419" s="87"/>
      <c r="K419" s="83"/>
      <c r="L419" s="83"/>
      <c r="M419" s="83"/>
    </row>
    <row r="420" spans="1:13" ht="15.75" x14ac:dyDescent="0.2">
      <c r="A420" s="85"/>
      <c r="B420" s="83"/>
      <c r="C420" s="83"/>
      <c r="D420" s="83"/>
      <c r="E420" s="83"/>
      <c r="F420" s="7" t="str">
        <f>CVSSv3!$A$13</f>
        <v>Remediation Level</v>
      </c>
      <c r="G420" s="8" t="s">
        <v>37</v>
      </c>
      <c r="H420" s="86"/>
      <c r="I420" s="87"/>
      <c r="J420" s="87"/>
      <c r="K420" s="83"/>
      <c r="L420" s="83"/>
      <c r="M420" s="83"/>
    </row>
    <row r="421" spans="1:13" ht="15.75" x14ac:dyDescent="0.2">
      <c r="A421" s="85"/>
      <c r="B421" s="83"/>
      <c r="C421" s="83"/>
      <c r="D421" s="83"/>
      <c r="E421" s="83"/>
      <c r="F421" s="7" t="str">
        <f>CVSSv3!$A$14</f>
        <v>Report Confidence</v>
      </c>
      <c r="G421" s="8" t="s">
        <v>38</v>
      </c>
      <c r="H421" s="86"/>
      <c r="I421" s="87"/>
      <c r="J421" s="87"/>
      <c r="K421" s="83"/>
      <c r="L421" s="83"/>
      <c r="M421" s="83"/>
    </row>
    <row r="422" spans="1:13" ht="15.75" x14ac:dyDescent="0.2">
      <c r="A422" s="85"/>
      <c r="B422" s="83"/>
      <c r="C422" s="83"/>
      <c r="D422" s="83"/>
      <c r="E422" s="83"/>
      <c r="F422" s="84" t="str">
        <f>"("&amp;CVSSv3!$B$4&amp;":"&amp;IF(G411=CVSSv3!$C$4,CVSSv3!$C$30,IF(G411=CVSSv3!$D$4,CVSSv3!$D$30,IF(G411=CVSSv3!$E$4,CVSSv3!$E$30,IF(G411=CVSSv3!$F$4,CVSSv3!$F$30,""))))&amp;"/"&amp;CVSSv3!$B$5&amp;":"&amp;IF(G412=CVSSv3!$C$5,CVSSv3!$C$31,IF(G412=CVSSv3!$D$5,CVSSv3!$D$31,""))&amp;"/"&amp;CVSSv3!$B$6&amp;":"&amp;IF(G413=CVSSv3!$C$6,CVSSv3!$C$32,IF(G413=CVSSv3!$D$6,CVSSv3!$D$32,IF(G413=CVSSv3!$E$6,CVSSv3!$E$32,"")))&amp;"/"&amp;CVSSv3!$B$7&amp;":"&amp;IF(G414=CVSSv3!$C$7,CVSSv3!$C$33,IF(G414=CVSSv3!$D$7,CVSSv3!$D$33,""))&amp;"/"&amp;CVSSv3!$B$8&amp;":"&amp;IF(G415=CVSSv3!$C$8,CVSSv3!$C$34,IF(G415=CVSSv3!$D$8,CVSSv3!$D$34,""))&amp;"/"&amp;CVSSv3!$B$9&amp;":"&amp;IF(G416=CVSSv3!$C$9,CVSSv3!$C$35,IF(G416=CVSSv3!$D$9,CVSSv3!$D$35,IF(G416=CVSSv3!$E$9,CVSSv3!$E$35,"")))&amp;"/"&amp;CVSSv3!$B$10&amp;":"&amp;IF(G417=CVSSv3!$C$10,CVSSv3!$C$36,IF(G417=CVSSv3!$D$10,CVSSv3!$D$36,IF(G417=CVSSv3!$E$10,CVSSv3!$E$36,"")))&amp;"/"&amp;CVSSv3!$B$11&amp;":"&amp;IF(G418=CVSSv3!$C$11,CVSSv3!$C$37,IF(G418=CVSSv3!$D$11,CVSSv3!$D$37,IF(G418=CVSSv3!$E$11,CVSSv3!$E$37,"")))&amp;"/"&amp;CVSSv3!$B$12&amp;":"&amp;IF(G419=CVSSv3!$C$12,CVSSv3!$C$38,IF(G419=CVSSv3!$D$12,CVSSv3!$D$38,IF(G419=CVSSv3!$E$12,CVSSv3!$E$38,IF(G419=CVSSv3!$F$12,CVSSv3!$F$38,""))))&amp;"/"&amp;CVSSv3!$B$13&amp;":"&amp;IF(G420=CVSSv3!$C$13,CVSSv3!$C$39,IF(G420=CVSSv3!$D$13,CVSSv3!$D$39,IF(G420=CVSSv3!$E$13,CVSSv3!$E$39,IF(G420=CVSSv3!$F$13,CVSSv3!$F$39,""))))&amp;"/"&amp;CVSSv3!$B$14&amp;":"&amp;IF(G421=CVSSv3!$C$14,CVSSv3!$C$40,IF(G421=CVSSv3!$D$14,CVSSv3!$D$40,IF(G421=CVSSv3!$E$14,CVSSv3!$E$40,"")))&amp;")"</f>
        <v>(AV:/AC:/PR:/UI:/S:/C:/I:/A:/E:/RL:/RC:)</v>
      </c>
      <c r="G422" s="84"/>
      <c r="H422" s="86"/>
      <c r="I422" s="87"/>
      <c r="J422" s="87"/>
      <c r="K422" s="83"/>
      <c r="L422" s="83"/>
      <c r="M422" s="83"/>
    </row>
    <row r="423" spans="1:13" ht="15.75" customHeight="1" x14ac:dyDescent="0.25">
      <c r="A423" s="85">
        <v>36</v>
      </c>
      <c r="B423" s="83" t="s">
        <v>66</v>
      </c>
      <c r="C423" s="83" t="s">
        <v>14</v>
      </c>
      <c r="D423" s="83" t="s">
        <v>14</v>
      </c>
      <c r="E423" s="83" t="s">
        <v>14</v>
      </c>
      <c r="F423" s="5" t="str">
        <f>CVSSv3!$A$4</f>
        <v>Attack Vector</v>
      </c>
      <c r="G423" s="6" t="s">
        <v>15</v>
      </c>
      <c r="H423" s="86" t="e">
        <f>ROUNDUP((IF((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lt;=0,0,(IF(G427=CVSSv3!$C$8,ROUNDUP((MIN((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ROUNDUP((MIN(1.08*((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IF(G431=CVSSv3!$C$12,CVSSv3!$C$25,(IF(G431=CVSSv3!$D$12,CVSSv3!$D$25,(IF(G431=CVSSv3!$E$12,CVSSv3!$E$25,(IF(G431=CVSSv3!$F$12,CVSSv3!$F$25,""))))))))*(IF(G432=CVSSv3!$C$13,CVSSv3!$C$26,(IF(G432=CVSSv3!$D$13,CVSSv3!$D$26,(IF(G432=CVSSv3!$E$13,CVSSv3!$E$26,(IF(G432=CVSSv3!$F$13,CVSSv3!$F$26,""))))))))*(IF(G433=CVSSv3!$C$14,CVSSv3!$C$27,(IF(G433=CVSSv3!$D$14,CVSSv3!$D$27,(IF(G433=CVSSv3!$E$14,CVSSv3!$E$27,""))))))),1)</f>
        <v>#VALUE!</v>
      </c>
      <c r="I423" s="87">
        <v>0</v>
      </c>
      <c r="J423" s="87">
        <v>0</v>
      </c>
      <c r="K423" s="83" t="s">
        <v>14</v>
      </c>
      <c r="L423" s="83" t="s">
        <v>14</v>
      </c>
      <c r="M423" s="83" t="s">
        <v>16</v>
      </c>
    </row>
    <row r="424" spans="1:13" ht="15.75" x14ac:dyDescent="0.2">
      <c r="A424" s="85"/>
      <c r="B424" s="83"/>
      <c r="C424" s="83"/>
      <c r="D424" s="83"/>
      <c r="E424" s="83"/>
      <c r="F424" s="7" t="str">
        <f>CVSSv3!$A$5</f>
        <v>Attack Complexity</v>
      </c>
      <c r="G424" s="8" t="s">
        <v>32</v>
      </c>
      <c r="H424" s="86"/>
      <c r="I424" s="87"/>
      <c r="J424" s="87"/>
      <c r="K424" s="83"/>
      <c r="L424" s="83"/>
      <c r="M424" s="83"/>
    </row>
    <row r="425" spans="1:13" ht="15.75" x14ac:dyDescent="0.2">
      <c r="A425" s="85"/>
      <c r="B425" s="83"/>
      <c r="C425" s="83"/>
      <c r="D425" s="83"/>
      <c r="E425" s="83"/>
      <c r="F425" s="7" t="str">
        <f>CVSSv3!$A$6</f>
        <v>Privilege Required</v>
      </c>
      <c r="G425" s="8" t="s">
        <v>33</v>
      </c>
      <c r="H425" s="86"/>
      <c r="I425" s="87"/>
      <c r="J425" s="87"/>
      <c r="K425" s="83"/>
      <c r="L425" s="83"/>
      <c r="M425" s="83"/>
    </row>
    <row r="426" spans="1:13" ht="15.75" x14ac:dyDescent="0.2">
      <c r="A426" s="85"/>
      <c r="B426" s="83"/>
      <c r="C426" s="83"/>
      <c r="D426" s="83"/>
      <c r="E426" s="83"/>
      <c r="F426" s="7" t="str">
        <f>CVSSv3!$A$7</f>
        <v>User Interaction</v>
      </c>
      <c r="G426" s="8" t="s">
        <v>34</v>
      </c>
      <c r="H426" s="86"/>
      <c r="I426" s="87"/>
      <c r="J426" s="87"/>
      <c r="K426" s="83"/>
      <c r="L426" s="83"/>
      <c r="M426" s="83"/>
    </row>
    <row r="427" spans="1:13" ht="15.75" x14ac:dyDescent="0.2">
      <c r="A427" s="85"/>
      <c r="B427" s="83"/>
      <c r="C427" s="83"/>
      <c r="D427" s="83"/>
      <c r="E427" s="83"/>
      <c r="F427" s="7" t="str">
        <f>CVSSv3!$A$8</f>
        <v>Scope</v>
      </c>
      <c r="G427" s="8" t="s">
        <v>35</v>
      </c>
      <c r="H427" s="86"/>
      <c r="I427" s="87"/>
      <c r="J427" s="87"/>
      <c r="K427" s="83"/>
      <c r="L427" s="83"/>
      <c r="M427" s="83"/>
    </row>
    <row r="428" spans="1:13" ht="15.75" x14ac:dyDescent="0.2">
      <c r="A428" s="85"/>
      <c r="B428" s="83"/>
      <c r="C428" s="83"/>
      <c r="D428" s="83"/>
      <c r="E428" s="83"/>
      <c r="F428" s="7" t="str">
        <f>CVSSv3!$A$9</f>
        <v>Confidentiality Impact</v>
      </c>
      <c r="G428" s="8" t="s">
        <v>36</v>
      </c>
      <c r="H428" s="86"/>
      <c r="I428" s="87"/>
      <c r="J428" s="87"/>
      <c r="K428" s="83"/>
      <c r="L428" s="83"/>
      <c r="M428" s="83"/>
    </row>
    <row r="429" spans="1:13" ht="15.75" x14ac:dyDescent="0.2">
      <c r="A429" s="85"/>
      <c r="B429" s="83"/>
      <c r="C429" s="83"/>
      <c r="D429" s="83"/>
      <c r="E429" s="83"/>
      <c r="F429" s="7" t="str">
        <f>CVSSv3!$A$10</f>
        <v>Integrity Impact</v>
      </c>
      <c r="G429" s="8" t="s">
        <v>36</v>
      </c>
      <c r="H429" s="86"/>
      <c r="I429" s="87"/>
      <c r="J429" s="87"/>
      <c r="K429" s="83"/>
      <c r="L429" s="83"/>
      <c r="M429" s="83"/>
    </row>
    <row r="430" spans="1:13" ht="15.75" x14ac:dyDescent="0.2">
      <c r="A430" s="85"/>
      <c r="B430" s="83"/>
      <c r="C430" s="83"/>
      <c r="D430" s="83"/>
      <c r="E430" s="83"/>
      <c r="F430" s="7" t="str">
        <f>CVSSv3!$A$11</f>
        <v>Availability Impact</v>
      </c>
      <c r="G430" s="8" t="s">
        <v>36</v>
      </c>
      <c r="H430" s="86"/>
      <c r="I430" s="87"/>
      <c r="J430" s="87"/>
      <c r="K430" s="83"/>
      <c r="L430" s="83"/>
      <c r="M430" s="83"/>
    </row>
    <row r="431" spans="1:13" ht="15.75" x14ac:dyDescent="0.2">
      <c r="A431" s="85"/>
      <c r="B431" s="83"/>
      <c r="C431" s="83"/>
      <c r="D431" s="83"/>
      <c r="E431" s="83"/>
      <c r="F431" s="7" t="str">
        <f>CVSSv3!$A$12</f>
        <v>Exploit Code Maturity</v>
      </c>
      <c r="G431" s="8" t="s">
        <v>32</v>
      </c>
      <c r="H431" s="86"/>
      <c r="I431" s="87"/>
      <c r="J431" s="87"/>
      <c r="K431" s="83"/>
      <c r="L431" s="83"/>
      <c r="M431" s="83"/>
    </row>
    <row r="432" spans="1:13" ht="15.75" x14ac:dyDescent="0.2">
      <c r="A432" s="85"/>
      <c r="B432" s="83"/>
      <c r="C432" s="83"/>
      <c r="D432" s="83"/>
      <c r="E432" s="83"/>
      <c r="F432" s="7" t="str">
        <f>CVSSv3!$A$13</f>
        <v>Remediation Level</v>
      </c>
      <c r="G432" s="8" t="s">
        <v>37</v>
      </c>
      <c r="H432" s="86"/>
      <c r="I432" s="87"/>
      <c r="J432" s="87"/>
      <c r="K432" s="83"/>
      <c r="L432" s="83"/>
      <c r="M432" s="83"/>
    </row>
    <row r="433" spans="1:13" ht="15.75" x14ac:dyDescent="0.2">
      <c r="A433" s="85"/>
      <c r="B433" s="83"/>
      <c r="C433" s="83"/>
      <c r="D433" s="83"/>
      <c r="E433" s="83"/>
      <c r="F433" s="7" t="str">
        <f>CVSSv3!$A$14</f>
        <v>Report Confidence</v>
      </c>
      <c r="G433" s="8" t="s">
        <v>38</v>
      </c>
      <c r="H433" s="86"/>
      <c r="I433" s="87"/>
      <c r="J433" s="87"/>
      <c r="K433" s="83"/>
      <c r="L433" s="83"/>
      <c r="M433" s="83"/>
    </row>
    <row r="434" spans="1:13" ht="15.75" x14ac:dyDescent="0.2">
      <c r="A434" s="85"/>
      <c r="B434" s="83"/>
      <c r="C434" s="83"/>
      <c r="D434" s="83"/>
      <c r="E434" s="83"/>
      <c r="F434" s="84" t="str">
        <f>"("&amp;CVSSv3!$B$4&amp;":"&amp;IF(G423=CVSSv3!$C$4,CVSSv3!$C$30,IF(G423=CVSSv3!$D$4,CVSSv3!$D$30,IF(G423=CVSSv3!$E$4,CVSSv3!$E$30,IF(G423=CVSSv3!$F$4,CVSSv3!$F$30,""))))&amp;"/"&amp;CVSSv3!$B$5&amp;":"&amp;IF(G424=CVSSv3!$C$5,CVSSv3!$C$31,IF(G424=CVSSv3!$D$5,CVSSv3!$D$31,""))&amp;"/"&amp;CVSSv3!$B$6&amp;":"&amp;IF(G425=CVSSv3!$C$6,CVSSv3!$C$32,IF(G425=CVSSv3!$D$6,CVSSv3!$D$32,IF(G425=CVSSv3!$E$6,CVSSv3!$E$32,"")))&amp;"/"&amp;CVSSv3!$B$7&amp;":"&amp;IF(G426=CVSSv3!$C$7,CVSSv3!$C$33,IF(G426=CVSSv3!$D$7,CVSSv3!$D$33,""))&amp;"/"&amp;CVSSv3!$B$8&amp;":"&amp;IF(G427=CVSSv3!$C$8,CVSSv3!$C$34,IF(G427=CVSSv3!$D$8,CVSSv3!$D$34,""))&amp;"/"&amp;CVSSv3!$B$9&amp;":"&amp;IF(G428=CVSSv3!$C$9,CVSSv3!$C$35,IF(G428=CVSSv3!$D$9,CVSSv3!$D$35,IF(G428=CVSSv3!$E$9,CVSSv3!$E$35,"")))&amp;"/"&amp;CVSSv3!$B$10&amp;":"&amp;IF(G429=CVSSv3!$C$10,CVSSv3!$C$36,IF(G429=CVSSv3!$D$10,CVSSv3!$D$36,IF(G429=CVSSv3!$E$10,CVSSv3!$E$36,"")))&amp;"/"&amp;CVSSv3!$B$11&amp;":"&amp;IF(G430=CVSSv3!$C$11,CVSSv3!$C$37,IF(G430=CVSSv3!$D$11,CVSSv3!$D$37,IF(G430=CVSSv3!$E$11,CVSSv3!$E$37,"")))&amp;"/"&amp;CVSSv3!$B$12&amp;":"&amp;IF(G431=CVSSv3!$C$12,CVSSv3!$C$38,IF(G431=CVSSv3!$D$12,CVSSv3!$D$38,IF(G431=CVSSv3!$E$12,CVSSv3!$E$38,IF(G431=CVSSv3!$F$12,CVSSv3!$F$38,""))))&amp;"/"&amp;CVSSv3!$B$13&amp;":"&amp;IF(G432=CVSSv3!$C$13,CVSSv3!$C$39,IF(G432=CVSSv3!$D$13,CVSSv3!$D$39,IF(G432=CVSSv3!$E$13,CVSSv3!$E$39,IF(G432=CVSSv3!$F$13,CVSSv3!$F$39,""))))&amp;"/"&amp;CVSSv3!$B$14&amp;":"&amp;IF(G433=CVSSv3!$C$14,CVSSv3!$C$40,IF(G433=CVSSv3!$D$14,CVSSv3!$D$40,IF(G433=CVSSv3!$E$14,CVSSv3!$E$40,"")))&amp;")"</f>
        <v>(AV:/AC:/PR:/UI:/S:/C:/I:/A:/E:/RL:/RC:)</v>
      </c>
      <c r="G434" s="84"/>
      <c r="H434" s="86"/>
      <c r="I434" s="87"/>
      <c r="J434" s="87"/>
      <c r="K434" s="83"/>
      <c r="L434" s="83"/>
      <c r="M434" s="83"/>
    </row>
    <row r="435" spans="1:13" ht="15.75" customHeight="1" x14ac:dyDescent="0.25">
      <c r="A435" s="85">
        <v>37</v>
      </c>
      <c r="B435" s="83" t="s">
        <v>67</v>
      </c>
      <c r="C435" s="83" t="s">
        <v>14</v>
      </c>
      <c r="D435" s="83" t="s">
        <v>14</v>
      </c>
      <c r="E435" s="83" t="s">
        <v>14</v>
      </c>
      <c r="F435" s="5" t="str">
        <f>CVSSv3!$A$4</f>
        <v>Attack Vector</v>
      </c>
      <c r="G435" s="6" t="s">
        <v>15</v>
      </c>
      <c r="H435" s="86" t="e">
        <f>ROUNDUP((IF((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lt;=0,0,(IF(G439=CVSSv3!$C$8,ROUNDUP((MIN((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ROUNDUP((MIN(1.08*((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IF(G443=CVSSv3!$C$12,CVSSv3!$C$25,(IF(G443=CVSSv3!$D$12,CVSSv3!$D$25,(IF(G443=CVSSv3!$E$12,CVSSv3!$E$25,(IF(G443=CVSSv3!$F$12,CVSSv3!$F$25,""))))))))*(IF(G444=CVSSv3!$C$13,CVSSv3!$C$26,(IF(G444=CVSSv3!$D$13,CVSSv3!$D$26,(IF(G444=CVSSv3!$E$13,CVSSv3!$E$26,(IF(G444=CVSSv3!$F$13,CVSSv3!$F$26,""))))))))*(IF(G445=CVSSv3!$C$14,CVSSv3!$C$27,(IF(G445=CVSSv3!$D$14,CVSSv3!$D$27,(IF(G445=CVSSv3!$E$14,CVSSv3!$E$27,""))))))),1)</f>
        <v>#VALUE!</v>
      </c>
      <c r="I435" s="87">
        <v>0</v>
      </c>
      <c r="J435" s="87">
        <v>0</v>
      </c>
      <c r="K435" s="83" t="s">
        <v>14</v>
      </c>
      <c r="L435" s="83" t="s">
        <v>14</v>
      </c>
      <c r="M435" s="83" t="s">
        <v>16</v>
      </c>
    </row>
    <row r="436" spans="1:13" ht="15.75" x14ac:dyDescent="0.2">
      <c r="A436" s="85"/>
      <c r="B436" s="83"/>
      <c r="C436" s="83"/>
      <c r="D436" s="83"/>
      <c r="E436" s="83"/>
      <c r="F436" s="7" t="str">
        <f>CVSSv3!$A$5</f>
        <v>Attack Complexity</v>
      </c>
      <c r="G436" s="8" t="s">
        <v>32</v>
      </c>
      <c r="H436" s="86"/>
      <c r="I436" s="87"/>
      <c r="J436" s="87"/>
      <c r="K436" s="83"/>
      <c r="L436" s="83"/>
      <c r="M436" s="83"/>
    </row>
    <row r="437" spans="1:13" ht="15.75" x14ac:dyDescent="0.2">
      <c r="A437" s="85"/>
      <c r="B437" s="83"/>
      <c r="C437" s="83"/>
      <c r="D437" s="83"/>
      <c r="E437" s="83"/>
      <c r="F437" s="7" t="str">
        <f>CVSSv3!$A$6</f>
        <v>Privilege Required</v>
      </c>
      <c r="G437" s="8" t="s">
        <v>33</v>
      </c>
      <c r="H437" s="86"/>
      <c r="I437" s="87"/>
      <c r="J437" s="87"/>
      <c r="K437" s="83"/>
      <c r="L437" s="83"/>
      <c r="M437" s="83"/>
    </row>
    <row r="438" spans="1:13" ht="15.75" x14ac:dyDescent="0.2">
      <c r="A438" s="85"/>
      <c r="B438" s="83"/>
      <c r="C438" s="83"/>
      <c r="D438" s="83"/>
      <c r="E438" s="83"/>
      <c r="F438" s="7" t="str">
        <f>CVSSv3!$A$7</f>
        <v>User Interaction</v>
      </c>
      <c r="G438" s="8" t="s">
        <v>34</v>
      </c>
      <c r="H438" s="86"/>
      <c r="I438" s="87"/>
      <c r="J438" s="87"/>
      <c r="K438" s="83"/>
      <c r="L438" s="83"/>
      <c r="M438" s="83"/>
    </row>
    <row r="439" spans="1:13" ht="15.75" x14ac:dyDescent="0.2">
      <c r="A439" s="85"/>
      <c r="B439" s="83"/>
      <c r="C439" s="83"/>
      <c r="D439" s="83"/>
      <c r="E439" s="83"/>
      <c r="F439" s="7" t="str">
        <f>CVSSv3!$A$8</f>
        <v>Scope</v>
      </c>
      <c r="G439" s="8" t="s">
        <v>35</v>
      </c>
      <c r="H439" s="86"/>
      <c r="I439" s="87"/>
      <c r="J439" s="87"/>
      <c r="K439" s="83"/>
      <c r="L439" s="83"/>
      <c r="M439" s="83"/>
    </row>
    <row r="440" spans="1:13" ht="15.75" x14ac:dyDescent="0.2">
      <c r="A440" s="85"/>
      <c r="B440" s="83"/>
      <c r="C440" s="83"/>
      <c r="D440" s="83"/>
      <c r="E440" s="83"/>
      <c r="F440" s="7" t="str">
        <f>CVSSv3!$A$9</f>
        <v>Confidentiality Impact</v>
      </c>
      <c r="G440" s="8" t="s">
        <v>36</v>
      </c>
      <c r="H440" s="86"/>
      <c r="I440" s="87"/>
      <c r="J440" s="87"/>
      <c r="K440" s="83"/>
      <c r="L440" s="83"/>
      <c r="M440" s="83"/>
    </row>
    <row r="441" spans="1:13" ht="15.75" x14ac:dyDescent="0.2">
      <c r="A441" s="85"/>
      <c r="B441" s="83"/>
      <c r="C441" s="83"/>
      <c r="D441" s="83"/>
      <c r="E441" s="83"/>
      <c r="F441" s="7" t="str">
        <f>CVSSv3!$A$10</f>
        <v>Integrity Impact</v>
      </c>
      <c r="G441" s="8" t="s">
        <v>36</v>
      </c>
      <c r="H441" s="86"/>
      <c r="I441" s="87"/>
      <c r="J441" s="87"/>
      <c r="K441" s="83"/>
      <c r="L441" s="83"/>
      <c r="M441" s="83"/>
    </row>
    <row r="442" spans="1:13" ht="15.75" x14ac:dyDescent="0.2">
      <c r="A442" s="85"/>
      <c r="B442" s="83"/>
      <c r="C442" s="83"/>
      <c r="D442" s="83"/>
      <c r="E442" s="83"/>
      <c r="F442" s="7" t="str">
        <f>CVSSv3!$A$11</f>
        <v>Availability Impact</v>
      </c>
      <c r="G442" s="8" t="s">
        <v>36</v>
      </c>
      <c r="H442" s="86"/>
      <c r="I442" s="87"/>
      <c r="J442" s="87"/>
      <c r="K442" s="83"/>
      <c r="L442" s="83"/>
      <c r="M442" s="83"/>
    </row>
    <row r="443" spans="1:13" ht="15.75" x14ac:dyDescent="0.2">
      <c r="A443" s="85"/>
      <c r="B443" s="83"/>
      <c r="C443" s="83"/>
      <c r="D443" s="83"/>
      <c r="E443" s="83"/>
      <c r="F443" s="7" t="str">
        <f>CVSSv3!$A$12</f>
        <v>Exploit Code Maturity</v>
      </c>
      <c r="G443" s="8" t="s">
        <v>32</v>
      </c>
      <c r="H443" s="86"/>
      <c r="I443" s="87"/>
      <c r="J443" s="87"/>
      <c r="K443" s="83"/>
      <c r="L443" s="83"/>
      <c r="M443" s="83"/>
    </row>
    <row r="444" spans="1:13" ht="15.75" x14ac:dyDescent="0.2">
      <c r="A444" s="85"/>
      <c r="B444" s="83"/>
      <c r="C444" s="83"/>
      <c r="D444" s="83"/>
      <c r="E444" s="83"/>
      <c r="F444" s="7" t="str">
        <f>CVSSv3!$A$13</f>
        <v>Remediation Level</v>
      </c>
      <c r="G444" s="8" t="s">
        <v>37</v>
      </c>
      <c r="H444" s="86"/>
      <c r="I444" s="87"/>
      <c r="J444" s="87"/>
      <c r="K444" s="83"/>
      <c r="L444" s="83"/>
      <c r="M444" s="83"/>
    </row>
    <row r="445" spans="1:13" ht="15.75" x14ac:dyDescent="0.2">
      <c r="A445" s="85"/>
      <c r="B445" s="83"/>
      <c r="C445" s="83"/>
      <c r="D445" s="83"/>
      <c r="E445" s="83"/>
      <c r="F445" s="7" t="str">
        <f>CVSSv3!$A$14</f>
        <v>Report Confidence</v>
      </c>
      <c r="G445" s="8" t="s">
        <v>38</v>
      </c>
      <c r="H445" s="86"/>
      <c r="I445" s="87"/>
      <c r="J445" s="87"/>
      <c r="K445" s="83"/>
      <c r="L445" s="83"/>
      <c r="M445" s="83"/>
    </row>
    <row r="446" spans="1:13" ht="15.75" x14ac:dyDescent="0.2">
      <c r="A446" s="85"/>
      <c r="B446" s="83"/>
      <c r="C446" s="83"/>
      <c r="D446" s="83"/>
      <c r="E446" s="83"/>
      <c r="F446" s="84" t="str">
        <f>"("&amp;CVSSv3!$B$4&amp;":"&amp;IF(G435=CVSSv3!$C$4,CVSSv3!$C$30,IF(G435=CVSSv3!$D$4,CVSSv3!$D$30,IF(G435=CVSSv3!$E$4,CVSSv3!$E$30,IF(G435=CVSSv3!$F$4,CVSSv3!$F$30,""))))&amp;"/"&amp;CVSSv3!$B$5&amp;":"&amp;IF(G436=CVSSv3!$C$5,CVSSv3!$C$31,IF(G436=CVSSv3!$D$5,CVSSv3!$D$31,""))&amp;"/"&amp;CVSSv3!$B$6&amp;":"&amp;IF(G437=CVSSv3!$C$6,CVSSv3!$C$32,IF(G437=CVSSv3!$D$6,CVSSv3!$D$32,IF(G437=CVSSv3!$E$6,CVSSv3!$E$32,"")))&amp;"/"&amp;CVSSv3!$B$7&amp;":"&amp;IF(G438=CVSSv3!$C$7,CVSSv3!$C$33,IF(G438=CVSSv3!$D$7,CVSSv3!$D$33,""))&amp;"/"&amp;CVSSv3!$B$8&amp;":"&amp;IF(G439=CVSSv3!$C$8,CVSSv3!$C$34,IF(G439=CVSSv3!$D$8,CVSSv3!$D$34,""))&amp;"/"&amp;CVSSv3!$B$9&amp;":"&amp;IF(G440=CVSSv3!$C$9,CVSSv3!$C$35,IF(G440=CVSSv3!$D$9,CVSSv3!$D$35,IF(G440=CVSSv3!$E$9,CVSSv3!$E$35,"")))&amp;"/"&amp;CVSSv3!$B$10&amp;":"&amp;IF(G441=CVSSv3!$C$10,CVSSv3!$C$36,IF(G441=CVSSv3!$D$10,CVSSv3!$D$36,IF(G441=CVSSv3!$E$10,CVSSv3!$E$36,"")))&amp;"/"&amp;CVSSv3!$B$11&amp;":"&amp;IF(G442=CVSSv3!$C$11,CVSSv3!$C$37,IF(G442=CVSSv3!$D$11,CVSSv3!$D$37,IF(G442=CVSSv3!$E$11,CVSSv3!$E$37,"")))&amp;"/"&amp;CVSSv3!$B$12&amp;":"&amp;IF(G443=CVSSv3!$C$12,CVSSv3!$C$38,IF(G443=CVSSv3!$D$12,CVSSv3!$D$38,IF(G443=CVSSv3!$E$12,CVSSv3!$E$38,IF(G443=CVSSv3!$F$12,CVSSv3!$F$38,""))))&amp;"/"&amp;CVSSv3!$B$13&amp;":"&amp;IF(G444=CVSSv3!$C$13,CVSSv3!$C$39,IF(G444=CVSSv3!$D$13,CVSSv3!$D$39,IF(G444=CVSSv3!$E$13,CVSSv3!$E$39,IF(G444=CVSSv3!$F$13,CVSSv3!$F$39,""))))&amp;"/"&amp;CVSSv3!$B$14&amp;":"&amp;IF(G445=CVSSv3!$C$14,CVSSv3!$C$40,IF(G445=CVSSv3!$D$14,CVSSv3!$D$40,IF(G445=CVSSv3!$E$14,CVSSv3!$E$40,"")))&amp;")"</f>
        <v>(AV:/AC:/PR:/UI:/S:/C:/I:/A:/E:/RL:/RC:)</v>
      </c>
      <c r="G446" s="84"/>
      <c r="H446" s="86"/>
      <c r="I446" s="87"/>
      <c r="J446" s="87"/>
      <c r="K446" s="83"/>
      <c r="L446" s="83"/>
      <c r="M446" s="83"/>
    </row>
    <row r="447" spans="1:13" ht="15.75" customHeight="1" x14ac:dyDescent="0.25">
      <c r="A447" s="85">
        <v>38</v>
      </c>
      <c r="B447" s="83" t="s">
        <v>68</v>
      </c>
      <c r="C447" s="83" t="s">
        <v>14</v>
      </c>
      <c r="D447" s="83" t="s">
        <v>14</v>
      </c>
      <c r="E447" s="83" t="s">
        <v>14</v>
      </c>
      <c r="F447" s="5" t="str">
        <f>CVSSv3!$A$4</f>
        <v>Attack Vector</v>
      </c>
      <c r="G447" s="6" t="s">
        <v>15</v>
      </c>
      <c r="H447" s="86" t="e">
        <f>ROUNDUP((IF((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lt;=0,0,(IF(G451=CVSSv3!$C$8,ROUNDUP((MIN((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ROUNDUP((MIN(1.08*((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IF(G455=CVSSv3!$C$12,CVSSv3!$C$25,(IF(G455=CVSSv3!$D$12,CVSSv3!$D$25,(IF(G455=CVSSv3!$E$12,CVSSv3!$E$25,(IF(G455=CVSSv3!$F$12,CVSSv3!$F$25,""))))))))*(IF(G456=CVSSv3!$C$13,CVSSv3!$C$26,(IF(G456=CVSSv3!$D$13,CVSSv3!$D$26,(IF(G456=CVSSv3!$E$13,CVSSv3!$E$26,(IF(G456=CVSSv3!$F$13,CVSSv3!$F$26,""))))))))*(IF(G457=CVSSv3!$C$14,CVSSv3!$C$27,(IF(G457=CVSSv3!$D$14,CVSSv3!$D$27,(IF(G457=CVSSv3!$E$14,CVSSv3!$E$27,""))))))),1)</f>
        <v>#VALUE!</v>
      </c>
      <c r="I447" s="87">
        <v>0</v>
      </c>
      <c r="J447" s="87">
        <v>0</v>
      </c>
      <c r="K447" s="83" t="s">
        <v>14</v>
      </c>
      <c r="L447" s="83" t="s">
        <v>14</v>
      </c>
      <c r="M447" s="83" t="s">
        <v>16</v>
      </c>
    </row>
    <row r="448" spans="1:13" ht="15.75" x14ac:dyDescent="0.2">
      <c r="A448" s="85"/>
      <c r="B448" s="83"/>
      <c r="C448" s="83"/>
      <c r="D448" s="83"/>
      <c r="E448" s="83"/>
      <c r="F448" s="7" t="str">
        <f>CVSSv3!$A$5</f>
        <v>Attack Complexity</v>
      </c>
      <c r="G448" s="8" t="s">
        <v>32</v>
      </c>
      <c r="H448" s="86"/>
      <c r="I448" s="87"/>
      <c r="J448" s="87"/>
      <c r="K448" s="83"/>
      <c r="L448" s="83"/>
      <c r="M448" s="83"/>
    </row>
    <row r="449" spans="1:13" ht="15.75" x14ac:dyDescent="0.2">
      <c r="A449" s="85"/>
      <c r="B449" s="83"/>
      <c r="C449" s="83"/>
      <c r="D449" s="83"/>
      <c r="E449" s="83"/>
      <c r="F449" s="7" t="str">
        <f>CVSSv3!$A$6</f>
        <v>Privilege Required</v>
      </c>
      <c r="G449" s="8" t="s">
        <v>33</v>
      </c>
      <c r="H449" s="86"/>
      <c r="I449" s="87"/>
      <c r="J449" s="87"/>
      <c r="K449" s="83"/>
      <c r="L449" s="83"/>
      <c r="M449" s="83"/>
    </row>
    <row r="450" spans="1:13" ht="15.75" x14ac:dyDescent="0.2">
      <c r="A450" s="85"/>
      <c r="B450" s="83"/>
      <c r="C450" s="83"/>
      <c r="D450" s="83"/>
      <c r="E450" s="83"/>
      <c r="F450" s="7" t="str">
        <f>CVSSv3!$A$7</f>
        <v>User Interaction</v>
      </c>
      <c r="G450" s="8" t="s">
        <v>34</v>
      </c>
      <c r="H450" s="86"/>
      <c r="I450" s="87"/>
      <c r="J450" s="87"/>
      <c r="K450" s="83"/>
      <c r="L450" s="83"/>
      <c r="M450" s="83"/>
    </row>
    <row r="451" spans="1:13" ht="15.75" x14ac:dyDescent="0.2">
      <c r="A451" s="85"/>
      <c r="B451" s="83"/>
      <c r="C451" s="83"/>
      <c r="D451" s="83"/>
      <c r="E451" s="83"/>
      <c r="F451" s="7" t="str">
        <f>CVSSv3!$A$8</f>
        <v>Scope</v>
      </c>
      <c r="G451" s="8" t="s">
        <v>35</v>
      </c>
      <c r="H451" s="86"/>
      <c r="I451" s="87"/>
      <c r="J451" s="87"/>
      <c r="K451" s="83"/>
      <c r="L451" s="83"/>
      <c r="M451" s="83"/>
    </row>
    <row r="452" spans="1:13" ht="15.75" x14ac:dyDescent="0.2">
      <c r="A452" s="85"/>
      <c r="B452" s="83"/>
      <c r="C452" s="83"/>
      <c r="D452" s="83"/>
      <c r="E452" s="83"/>
      <c r="F452" s="7" t="str">
        <f>CVSSv3!$A$9</f>
        <v>Confidentiality Impact</v>
      </c>
      <c r="G452" s="8" t="s">
        <v>36</v>
      </c>
      <c r="H452" s="86"/>
      <c r="I452" s="87"/>
      <c r="J452" s="87"/>
      <c r="K452" s="83"/>
      <c r="L452" s="83"/>
      <c r="M452" s="83"/>
    </row>
    <row r="453" spans="1:13" ht="15.75" x14ac:dyDescent="0.2">
      <c r="A453" s="85"/>
      <c r="B453" s="83"/>
      <c r="C453" s="83"/>
      <c r="D453" s="83"/>
      <c r="E453" s="83"/>
      <c r="F453" s="7" t="str">
        <f>CVSSv3!$A$10</f>
        <v>Integrity Impact</v>
      </c>
      <c r="G453" s="8" t="s">
        <v>36</v>
      </c>
      <c r="H453" s="86"/>
      <c r="I453" s="87"/>
      <c r="J453" s="87"/>
      <c r="K453" s="83"/>
      <c r="L453" s="83"/>
      <c r="M453" s="83"/>
    </row>
    <row r="454" spans="1:13" ht="15.75" x14ac:dyDescent="0.2">
      <c r="A454" s="85"/>
      <c r="B454" s="83"/>
      <c r="C454" s="83"/>
      <c r="D454" s="83"/>
      <c r="E454" s="83"/>
      <c r="F454" s="7" t="str">
        <f>CVSSv3!$A$11</f>
        <v>Availability Impact</v>
      </c>
      <c r="G454" s="8" t="s">
        <v>36</v>
      </c>
      <c r="H454" s="86"/>
      <c r="I454" s="87"/>
      <c r="J454" s="87"/>
      <c r="K454" s="83"/>
      <c r="L454" s="83"/>
      <c r="M454" s="83"/>
    </row>
    <row r="455" spans="1:13" ht="15.75" x14ac:dyDescent="0.2">
      <c r="A455" s="85"/>
      <c r="B455" s="83"/>
      <c r="C455" s="83"/>
      <c r="D455" s="83"/>
      <c r="E455" s="83"/>
      <c r="F455" s="7" t="str">
        <f>CVSSv3!$A$12</f>
        <v>Exploit Code Maturity</v>
      </c>
      <c r="G455" s="8" t="s">
        <v>32</v>
      </c>
      <c r="H455" s="86"/>
      <c r="I455" s="87"/>
      <c r="J455" s="87"/>
      <c r="K455" s="83"/>
      <c r="L455" s="83"/>
      <c r="M455" s="83"/>
    </row>
    <row r="456" spans="1:13" ht="15.75" x14ac:dyDescent="0.2">
      <c r="A456" s="85"/>
      <c r="B456" s="83"/>
      <c r="C456" s="83"/>
      <c r="D456" s="83"/>
      <c r="E456" s="83"/>
      <c r="F456" s="7" t="str">
        <f>CVSSv3!$A$13</f>
        <v>Remediation Level</v>
      </c>
      <c r="G456" s="8" t="s">
        <v>37</v>
      </c>
      <c r="H456" s="86"/>
      <c r="I456" s="87"/>
      <c r="J456" s="87"/>
      <c r="K456" s="83"/>
      <c r="L456" s="83"/>
      <c r="M456" s="83"/>
    </row>
    <row r="457" spans="1:13" ht="15.75" x14ac:dyDescent="0.2">
      <c r="A457" s="85"/>
      <c r="B457" s="83"/>
      <c r="C457" s="83"/>
      <c r="D457" s="83"/>
      <c r="E457" s="83"/>
      <c r="F457" s="7" t="str">
        <f>CVSSv3!$A$14</f>
        <v>Report Confidence</v>
      </c>
      <c r="G457" s="8" t="s">
        <v>38</v>
      </c>
      <c r="H457" s="86"/>
      <c r="I457" s="87"/>
      <c r="J457" s="87"/>
      <c r="K457" s="83"/>
      <c r="L457" s="83"/>
      <c r="M457" s="83"/>
    </row>
    <row r="458" spans="1:13" ht="15.75" x14ac:dyDescent="0.2">
      <c r="A458" s="85"/>
      <c r="B458" s="83"/>
      <c r="C458" s="83"/>
      <c r="D458" s="83"/>
      <c r="E458" s="83"/>
      <c r="F458" s="84" t="str">
        <f>"("&amp;CVSSv3!$B$4&amp;":"&amp;IF(G447=CVSSv3!$C$4,CVSSv3!$C$30,IF(G447=CVSSv3!$D$4,CVSSv3!$D$30,IF(G447=CVSSv3!$E$4,CVSSv3!$E$30,IF(G447=CVSSv3!$F$4,CVSSv3!$F$30,""))))&amp;"/"&amp;CVSSv3!$B$5&amp;":"&amp;IF(G448=CVSSv3!$C$5,CVSSv3!$C$31,IF(G448=CVSSv3!$D$5,CVSSv3!$D$31,""))&amp;"/"&amp;CVSSv3!$B$6&amp;":"&amp;IF(G449=CVSSv3!$C$6,CVSSv3!$C$32,IF(G449=CVSSv3!$D$6,CVSSv3!$D$32,IF(G449=CVSSv3!$E$6,CVSSv3!$E$32,"")))&amp;"/"&amp;CVSSv3!$B$7&amp;":"&amp;IF(G450=CVSSv3!$C$7,CVSSv3!$C$33,IF(G450=CVSSv3!$D$7,CVSSv3!$D$33,""))&amp;"/"&amp;CVSSv3!$B$8&amp;":"&amp;IF(G451=CVSSv3!$C$8,CVSSv3!$C$34,IF(G451=CVSSv3!$D$8,CVSSv3!$D$34,""))&amp;"/"&amp;CVSSv3!$B$9&amp;":"&amp;IF(G452=CVSSv3!$C$9,CVSSv3!$C$35,IF(G452=CVSSv3!$D$9,CVSSv3!$D$35,IF(G452=CVSSv3!$E$9,CVSSv3!$E$35,"")))&amp;"/"&amp;CVSSv3!$B$10&amp;":"&amp;IF(G453=CVSSv3!$C$10,CVSSv3!$C$36,IF(G453=CVSSv3!$D$10,CVSSv3!$D$36,IF(G453=CVSSv3!$E$10,CVSSv3!$E$36,"")))&amp;"/"&amp;CVSSv3!$B$11&amp;":"&amp;IF(G454=CVSSv3!$C$11,CVSSv3!$C$37,IF(G454=CVSSv3!$D$11,CVSSv3!$D$37,IF(G454=CVSSv3!$E$11,CVSSv3!$E$37,"")))&amp;"/"&amp;CVSSv3!$B$12&amp;":"&amp;IF(G455=CVSSv3!$C$12,CVSSv3!$C$38,IF(G455=CVSSv3!$D$12,CVSSv3!$D$38,IF(G455=CVSSv3!$E$12,CVSSv3!$E$38,IF(G455=CVSSv3!$F$12,CVSSv3!$F$38,""))))&amp;"/"&amp;CVSSv3!$B$13&amp;":"&amp;IF(G456=CVSSv3!$C$13,CVSSv3!$C$39,IF(G456=CVSSv3!$D$13,CVSSv3!$D$39,IF(G456=CVSSv3!$E$13,CVSSv3!$E$39,IF(G456=CVSSv3!$F$13,CVSSv3!$F$39,""))))&amp;"/"&amp;CVSSv3!$B$14&amp;":"&amp;IF(G457=CVSSv3!$C$14,CVSSv3!$C$40,IF(G457=CVSSv3!$D$14,CVSSv3!$D$40,IF(G457=CVSSv3!$E$14,CVSSv3!$E$40,"")))&amp;")"</f>
        <v>(AV:/AC:/PR:/UI:/S:/C:/I:/A:/E:/RL:/RC:)</v>
      </c>
      <c r="G458" s="84"/>
      <c r="H458" s="86"/>
      <c r="I458" s="87"/>
      <c r="J458" s="87"/>
      <c r="K458" s="83"/>
      <c r="L458" s="83"/>
      <c r="M458" s="83"/>
    </row>
    <row r="459" spans="1:13" ht="15.75" customHeight="1" x14ac:dyDescent="0.25">
      <c r="A459" s="85">
        <v>39</v>
      </c>
      <c r="B459" s="83" t="s">
        <v>69</v>
      </c>
      <c r="C459" s="83" t="s">
        <v>14</v>
      </c>
      <c r="D459" s="83" t="s">
        <v>14</v>
      </c>
      <c r="E459" s="83" t="s">
        <v>14</v>
      </c>
      <c r="F459" s="5" t="str">
        <f>CVSSv3!$A$4</f>
        <v>Attack Vector</v>
      </c>
      <c r="G459" s="6" t="s">
        <v>15</v>
      </c>
      <c r="H459" s="86" t="e">
        <f>ROUNDUP((IF((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lt;=0,0,(IF(G463=CVSSv3!$C$8,ROUNDUP((MIN((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ROUNDUP((MIN(1.08*((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IF(G467=CVSSv3!$C$12,CVSSv3!$C$25,(IF(G467=CVSSv3!$D$12,CVSSv3!$D$25,(IF(G467=CVSSv3!$E$12,CVSSv3!$E$25,(IF(G467=CVSSv3!$F$12,CVSSv3!$F$25,""))))))))*(IF(G468=CVSSv3!$C$13,CVSSv3!$C$26,(IF(G468=CVSSv3!$D$13,CVSSv3!$D$26,(IF(G468=CVSSv3!$E$13,CVSSv3!$E$26,(IF(G468=CVSSv3!$F$13,CVSSv3!$F$26,""))))))))*(IF(G469=CVSSv3!$C$14,CVSSv3!$C$27,(IF(G469=CVSSv3!$D$14,CVSSv3!$D$27,(IF(G469=CVSSv3!$E$14,CVSSv3!$E$27,""))))))),1)</f>
        <v>#VALUE!</v>
      </c>
      <c r="I459" s="87">
        <v>0</v>
      </c>
      <c r="J459" s="87">
        <v>0</v>
      </c>
      <c r="K459" s="83" t="s">
        <v>14</v>
      </c>
      <c r="L459" s="83" t="s">
        <v>14</v>
      </c>
      <c r="M459" s="83" t="s">
        <v>16</v>
      </c>
    </row>
    <row r="460" spans="1:13" ht="15.75" x14ac:dyDescent="0.2">
      <c r="A460" s="85"/>
      <c r="B460" s="83"/>
      <c r="C460" s="83"/>
      <c r="D460" s="83"/>
      <c r="E460" s="83"/>
      <c r="F460" s="7" t="str">
        <f>CVSSv3!$A$5</f>
        <v>Attack Complexity</v>
      </c>
      <c r="G460" s="8" t="s">
        <v>32</v>
      </c>
      <c r="H460" s="86"/>
      <c r="I460" s="87"/>
      <c r="J460" s="87"/>
      <c r="K460" s="83"/>
      <c r="L460" s="83"/>
      <c r="M460" s="83"/>
    </row>
    <row r="461" spans="1:13" ht="15.75" x14ac:dyDescent="0.2">
      <c r="A461" s="85"/>
      <c r="B461" s="83"/>
      <c r="C461" s="83"/>
      <c r="D461" s="83"/>
      <c r="E461" s="83"/>
      <c r="F461" s="7" t="str">
        <f>CVSSv3!$A$6</f>
        <v>Privilege Required</v>
      </c>
      <c r="G461" s="8" t="s">
        <v>33</v>
      </c>
      <c r="H461" s="86"/>
      <c r="I461" s="87"/>
      <c r="J461" s="87"/>
      <c r="K461" s="83"/>
      <c r="L461" s="83"/>
      <c r="M461" s="83"/>
    </row>
    <row r="462" spans="1:13" ht="15.75" x14ac:dyDescent="0.2">
      <c r="A462" s="85"/>
      <c r="B462" s="83"/>
      <c r="C462" s="83"/>
      <c r="D462" s="83"/>
      <c r="E462" s="83"/>
      <c r="F462" s="7" t="str">
        <f>CVSSv3!$A$7</f>
        <v>User Interaction</v>
      </c>
      <c r="G462" s="8" t="s">
        <v>34</v>
      </c>
      <c r="H462" s="86"/>
      <c r="I462" s="87"/>
      <c r="J462" s="87"/>
      <c r="K462" s="83"/>
      <c r="L462" s="83"/>
      <c r="M462" s="83"/>
    </row>
    <row r="463" spans="1:13" ht="15.75" x14ac:dyDescent="0.2">
      <c r="A463" s="85"/>
      <c r="B463" s="83"/>
      <c r="C463" s="83"/>
      <c r="D463" s="83"/>
      <c r="E463" s="83"/>
      <c r="F463" s="7" t="str">
        <f>CVSSv3!$A$8</f>
        <v>Scope</v>
      </c>
      <c r="G463" s="8" t="s">
        <v>35</v>
      </c>
      <c r="H463" s="86"/>
      <c r="I463" s="87"/>
      <c r="J463" s="87"/>
      <c r="K463" s="83"/>
      <c r="L463" s="83"/>
      <c r="M463" s="83"/>
    </row>
    <row r="464" spans="1:13" ht="15.75" x14ac:dyDescent="0.2">
      <c r="A464" s="85"/>
      <c r="B464" s="83"/>
      <c r="C464" s="83"/>
      <c r="D464" s="83"/>
      <c r="E464" s="83"/>
      <c r="F464" s="7" t="str">
        <f>CVSSv3!$A$9</f>
        <v>Confidentiality Impact</v>
      </c>
      <c r="G464" s="8" t="s">
        <v>36</v>
      </c>
      <c r="H464" s="86"/>
      <c r="I464" s="87"/>
      <c r="J464" s="87"/>
      <c r="K464" s="83"/>
      <c r="L464" s="83"/>
      <c r="M464" s="83"/>
    </row>
    <row r="465" spans="1:13" ht="15.75" x14ac:dyDescent="0.2">
      <c r="A465" s="85"/>
      <c r="B465" s="83"/>
      <c r="C465" s="83"/>
      <c r="D465" s="83"/>
      <c r="E465" s="83"/>
      <c r="F465" s="7" t="str">
        <f>CVSSv3!$A$10</f>
        <v>Integrity Impact</v>
      </c>
      <c r="G465" s="8" t="s">
        <v>36</v>
      </c>
      <c r="H465" s="86"/>
      <c r="I465" s="87"/>
      <c r="J465" s="87"/>
      <c r="K465" s="83"/>
      <c r="L465" s="83"/>
      <c r="M465" s="83"/>
    </row>
    <row r="466" spans="1:13" ht="15.75" x14ac:dyDescent="0.2">
      <c r="A466" s="85"/>
      <c r="B466" s="83"/>
      <c r="C466" s="83"/>
      <c r="D466" s="83"/>
      <c r="E466" s="83"/>
      <c r="F466" s="7" t="str">
        <f>CVSSv3!$A$11</f>
        <v>Availability Impact</v>
      </c>
      <c r="G466" s="8" t="s">
        <v>36</v>
      </c>
      <c r="H466" s="86"/>
      <c r="I466" s="87"/>
      <c r="J466" s="87"/>
      <c r="K466" s="83"/>
      <c r="L466" s="83"/>
      <c r="M466" s="83"/>
    </row>
    <row r="467" spans="1:13" ht="15.75" x14ac:dyDescent="0.2">
      <c r="A467" s="85"/>
      <c r="B467" s="83"/>
      <c r="C467" s="83"/>
      <c r="D467" s="83"/>
      <c r="E467" s="83"/>
      <c r="F467" s="7" t="str">
        <f>CVSSv3!$A$12</f>
        <v>Exploit Code Maturity</v>
      </c>
      <c r="G467" s="8" t="s">
        <v>32</v>
      </c>
      <c r="H467" s="86"/>
      <c r="I467" s="87"/>
      <c r="J467" s="87"/>
      <c r="K467" s="83"/>
      <c r="L467" s="83"/>
      <c r="M467" s="83"/>
    </row>
    <row r="468" spans="1:13" ht="15.75" x14ac:dyDescent="0.2">
      <c r="A468" s="85"/>
      <c r="B468" s="83"/>
      <c r="C468" s="83"/>
      <c r="D468" s="83"/>
      <c r="E468" s="83"/>
      <c r="F468" s="7" t="str">
        <f>CVSSv3!$A$13</f>
        <v>Remediation Level</v>
      </c>
      <c r="G468" s="8" t="s">
        <v>37</v>
      </c>
      <c r="H468" s="86"/>
      <c r="I468" s="87"/>
      <c r="J468" s="87"/>
      <c r="K468" s="83"/>
      <c r="L468" s="83"/>
      <c r="M468" s="83"/>
    </row>
    <row r="469" spans="1:13" ht="15.75" x14ac:dyDescent="0.2">
      <c r="A469" s="85"/>
      <c r="B469" s="83"/>
      <c r="C469" s="83"/>
      <c r="D469" s="83"/>
      <c r="E469" s="83"/>
      <c r="F469" s="7" t="str">
        <f>CVSSv3!$A$14</f>
        <v>Report Confidence</v>
      </c>
      <c r="G469" s="8" t="s">
        <v>38</v>
      </c>
      <c r="H469" s="86"/>
      <c r="I469" s="87"/>
      <c r="J469" s="87"/>
      <c r="K469" s="83"/>
      <c r="L469" s="83"/>
      <c r="M469" s="83"/>
    </row>
    <row r="470" spans="1:13" ht="15.75" x14ac:dyDescent="0.2">
      <c r="A470" s="85"/>
      <c r="B470" s="83"/>
      <c r="C470" s="83"/>
      <c r="D470" s="83"/>
      <c r="E470" s="83"/>
      <c r="F470" s="84" t="str">
        <f>"("&amp;CVSSv3!$B$4&amp;":"&amp;IF(G459=CVSSv3!$C$4,CVSSv3!$C$30,IF(G459=CVSSv3!$D$4,CVSSv3!$D$30,IF(G459=CVSSv3!$E$4,CVSSv3!$E$30,IF(G459=CVSSv3!$F$4,CVSSv3!$F$30,""))))&amp;"/"&amp;CVSSv3!$B$5&amp;":"&amp;IF(G460=CVSSv3!$C$5,CVSSv3!$C$31,IF(G460=CVSSv3!$D$5,CVSSv3!$D$31,""))&amp;"/"&amp;CVSSv3!$B$6&amp;":"&amp;IF(G461=CVSSv3!$C$6,CVSSv3!$C$32,IF(G461=CVSSv3!$D$6,CVSSv3!$D$32,IF(G461=CVSSv3!$E$6,CVSSv3!$E$32,"")))&amp;"/"&amp;CVSSv3!$B$7&amp;":"&amp;IF(G462=CVSSv3!$C$7,CVSSv3!$C$33,IF(G462=CVSSv3!$D$7,CVSSv3!$D$33,""))&amp;"/"&amp;CVSSv3!$B$8&amp;":"&amp;IF(G463=CVSSv3!$C$8,CVSSv3!$C$34,IF(G463=CVSSv3!$D$8,CVSSv3!$D$34,""))&amp;"/"&amp;CVSSv3!$B$9&amp;":"&amp;IF(G464=CVSSv3!$C$9,CVSSv3!$C$35,IF(G464=CVSSv3!$D$9,CVSSv3!$D$35,IF(G464=CVSSv3!$E$9,CVSSv3!$E$35,"")))&amp;"/"&amp;CVSSv3!$B$10&amp;":"&amp;IF(G465=CVSSv3!$C$10,CVSSv3!$C$36,IF(G465=CVSSv3!$D$10,CVSSv3!$D$36,IF(G465=CVSSv3!$E$10,CVSSv3!$E$36,"")))&amp;"/"&amp;CVSSv3!$B$11&amp;":"&amp;IF(G466=CVSSv3!$C$11,CVSSv3!$C$37,IF(G466=CVSSv3!$D$11,CVSSv3!$D$37,IF(G466=CVSSv3!$E$11,CVSSv3!$E$37,"")))&amp;"/"&amp;CVSSv3!$B$12&amp;":"&amp;IF(G467=CVSSv3!$C$12,CVSSv3!$C$38,IF(G467=CVSSv3!$D$12,CVSSv3!$D$38,IF(G467=CVSSv3!$E$12,CVSSv3!$E$38,IF(G467=CVSSv3!$F$12,CVSSv3!$F$38,""))))&amp;"/"&amp;CVSSv3!$B$13&amp;":"&amp;IF(G468=CVSSv3!$C$13,CVSSv3!$C$39,IF(G468=CVSSv3!$D$13,CVSSv3!$D$39,IF(G468=CVSSv3!$E$13,CVSSv3!$E$39,IF(G468=CVSSv3!$F$13,CVSSv3!$F$39,""))))&amp;"/"&amp;CVSSv3!$B$14&amp;":"&amp;IF(G469=CVSSv3!$C$14,CVSSv3!$C$40,IF(G469=CVSSv3!$D$14,CVSSv3!$D$40,IF(G469=CVSSv3!$E$14,CVSSv3!$E$40,"")))&amp;")"</f>
        <v>(AV:/AC:/PR:/UI:/S:/C:/I:/A:/E:/RL:/RC:)</v>
      </c>
      <c r="G470" s="84"/>
      <c r="H470" s="86"/>
      <c r="I470" s="87"/>
      <c r="J470" s="87"/>
      <c r="K470" s="83"/>
      <c r="L470" s="83"/>
      <c r="M470" s="83"/>
    </row>
    <row r="471" spans="1:13" ht="15.75" customHeight="1" x14ac:dyDescent="0.25">
      <c r="A471" s="85">
        <v>40</v>
      </c>
      <c r="B471" s="83" t="s">
        <v>70</v>
      </c>
      <c r="C471" s="83" t="s">
        <v>14</v>
      </c>
      <c r="D471" s="83" t="s">
        <v>14</v>
      </c>
      <c r="E471" s="83" t="s">
        <v>14</v>
      </c>
      <c r="F471" s="5" t="str">
        <f>CVSSv3!$A$4</f>
        <v>Attack Vector</v>
      </c>
      <c r="G471" s="6" t="s">
        <v>15</v>
      </c>
      <c r="H471" s="86" t="e">
        <f>ROUNDUP((IF((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lt;=0,0,(IF(G475=CVSSv3!$C$8,ROUNDUP((MIN((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ROUNDUP((MIN(1.08*((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IF(G479=CVSSv3!$C$12,CVSSv3!$C$25,(IF(G479=CVSSv3!$D$12,CVSSv3!$D$25,(IF(G479=CVSSv3!$E$12,CVSSv3!$E$25,(IF(G479=CVSSv3!$F$12,CVSSv3!$F$25,""))))))))*(IF(G480=CVSSv3!$C$13,CVSSv3!$C$26,(IF(G480=CVSSv3!$D$13,CVSSv3!$D$26,(IF(G480=CVSSv3!$E$13,CVSSv3!$E$26,(IF(G480=CVSSv3!$F$13,CVSSv3!$F$26,""))))))))*(IF(G481=CVSSv3!$C$14,CVSSv3!$C$27,(IF(G481=CVSSv3!$D$14,CVSSv3!$D$27,(IF(G481=CVSSv3!$E$14,CVSSv3!$E$27,""))))))),1)</f>
        <v>#VALUE!</v>
      </c>
      <c r="I471" s="87">
        <v>0</v>
      </c>
      <c r="J471" s="87">
        <v>0</v>
      </c>
      <c r="K471" s="83" t="s">
        <v>14</v>
      </c>
      <c r="L471" s="83" t="s">
        <v>14</v>
      </c>
      <c r="M471" s="83" t="s">
        <v>16</v>
      </c>
    </row>
    <row r="472" spans="1:13" ht="15.75" x14ac:dyDescent="0.2">
      <c r="A472" s="85"/>
      <c r="B472" s="83"/>
      <c r="C472" s="83"/>
      <c r="D472" s="83"/>
      <c r="E472" s="83"/>
      <c r="F472" s="7" t="str">
        <f>CVSSv3!$A$5</f>
        <v>Attack Complexity</v>
      </c>
      <c r="G472" s="8" t="s">
        <v>32</v>
      </c>
      <c r="H472" s="86"/>
      <c r="I472" s="87"/>
      <c r="J472" s="87"/>
      <c r="K472" s="83"/>
      <c r="L472" s="83"/>
      <c r="M472" s="83"/>
    </row>
    <row r="473" spans="1:13" ht="15.75" x14ac:dyDescent="0.2">
      <c r="A473" s="85"/>
      <c r="B473" s="83"/>
      <c r="C473" s="83"/>
      <c r="D473" s="83"/>
      <c r="E473" s="83"/>
      <c r="F473" s="7" t="str">
        <f>CVSSv3!$A$6</f>
        <v>Privilege Required</v>
      </c>
      <c r="G473" s="8" t="s">
        <v>33</v>
      </c>
      <c r="H473" s="86"/>
      <c r="I473" s="87"/>
      <c r="J473" s="87"/>
      <c r="K473" s="83"/>
      <c r="L473" s="83"/>
      <c r="M473" s="83"/>
    </row>
    <row r="474" spans="1:13" ht="15.75" x14ac:dyDescent="0.2">
      <c r="A474" s="85"/>
      <c r="B474" s="83"/>
      <c r="C474" s="83"/>
      <c r="D474" s="83"/>
      <c r="E474" s="83"/>
      <c r="F474" s="7" t="str">
        <f>CVSSv3!$A$7</f>
        <v>User Interaction</v>
      </c>
      <c r="G474" s="8" t="s">
        <v>34</v>
      </c>
      <c r="H474" s="86"/>
      <c r="I474" s="87"/>
      <c r="J474" s="87"/>
      <c r="K474" s="83"/>
      <c r="L474" s="83"/>
      <c r="M474" s="83"/>
    </row>
    <row r="475" spans="1:13" ht="15.75" x14ac:dyDescent="0.2">
      <c r="A475" s="85"/>
      <c r="B475" s="83"/>
      <c r="C475" s="83"/>
      <c r="D475" s="83"/>
      <c r="E475" s="83"/>
      <c r="F475" s="7" t="str">
        <f>CVSSv3!$A$8</f>
        <v>Scope</v>
      </c>
      <c r="G475" s="8" t="s">
        <v>35</v>
      </c>
      <c r="H475" s="86"/>
      <c r="I475" s="87"/>
      <c r="J475" s="87"/>
      <c r="K475" s="83"/>
      <c r="L475" s="83"/>
      <c r="M475" s="83"/>
    </row>
    <row r="476" spans="1:13" ht="15.75" x14ac:dyDescent="0.2">
      <c r="A476" s="85"/>
      <c r="B476" s="83"/>
      <c r="C476" s="83"/>
      <c r="D476" s="83"/>
      <c r="E476" s="83"/>
      <c r="F476" s="7" t="str">
        <f>CVSSv3!$A$9</f>
        <v>Confidentiality Impact</v>
      </c>
      <c r="G476" s="8" t="s">
        <v>36</v>
      </c>
      <c r="H476" s="86"/>
      <c r="I476" s="87"/>
      <c r="J476" s="87"/>
      <c r="K476" s="83"/>
      <c r="L476" s="83"/>
      <c r="M476" s="83"/>
    </row>
    <row r="477" spans="1:13" ht="15.75" x14ac:dyDescent="0.2">
      <c r="A477" s="85"/>
      <c r="B477" s="83"/>
      <c r="C477" s="83"/>
      <c r="D477" s="83"/>
      <c r="E477" s="83"/>
      <c r="F477" s="7" t="str">
        <f>CVSSv3!$A$10</f>
        <v>Integrity Impact</v>
      </c>
      <c r="G477" s="8" t="s">
        <v>36</v>
      </c>
      <c r="H477" s="86"/>
      <c r="I477" s="87"/>
      <c r="J477" s="87"/>
      <c r="K477" s="83"/>
      <c r="L477" s="83"/>
      <c r="M477" s="83"/>
    </row>
    <row r="478" spans="1:13" ht="15.75" x14ac:dyDescent="0.2">
      <c r="A478" s="85"/>
      <c r="B478" s="83"/>
      <c r="C478" s="83"/>
      <c r="D478" s="83"/>
      <c r="E478" s="83"/>
      <c r="F478" s="7" t="str">
        <f>CVSSv3!$A$11</f>
        <v>Availability Impact</v>
      </c>
      <c r="G478" s="8" t="s">
        <v>36</v>
      </c>
      <c r="H478" s="86"/>
      <c r="I478" s="87"/>
      <c r="J478" s="87"/>
      <c r="K478" s="83"/>
      <c r="L478" s="83"/>
      <c r="M478" s="83"/>
    </row>
    <row r="479" spans="1:13" ht="15.75" x14ac:dyDescent="0.2">
      <c r="A479" s="85"/>
      <c r="B479" s="83"/>
      <c r="C479" s="83"/>
      <c r="D479" s="83"/>
      <c r="E479" s="83"/>
      <c r="F479" s="7" t="str">
        <f>CVSSv3!$A$12</f>
        <v>Exploit Code Maturity</v>
      </c>
      <c r="G479" s="8" t="s">
        <v>32</v>
      </c>
      <c r="H479" s="86"/>
      <c r="I479" s="87"/>
      <c r="J479" s="87"/>
      <c r="K479" s="83"/>
      <c r="L479" s="83"/>
      <c r="M479" s="83"/>
    </row>
    <row r="480" spans="1:13" ht="15.75" x14ac:dyDescent="0.2">
      <c r="A480" s="85"/>
      <c r="B480" s="83"/>
      <c r="C480" s="83"/>
      <c r="D480" s="83"/>
      <c r="E480" s="83"/>
      <c r="F480" s="7" t="str">
        <f>CVSSv3!$A$13</f>
        <v>Remediation Level</v>
      </c>
      <c r="G480" s="8" t="s">
        <v>37</v>
      </c>
      <c r="H480" s="86"/>
      <c r="I480" s="87"/>
      <c r="J480" s="87"/>
      <c r="K480" s="83"/>
      <c r="L480" s="83"/>
      <c r="M480" s="83"/>
    </row>
    <row r="481" spans="1:13" ht="15.75" x14ac:dyDescent="0.2">
      <c r="A481" s="85"/>
      <c r="B481" s="83"/>
      <c r="C481" s="83"/>
      <c r="D481" s="83"/>
      <c r="E481" s="83"/>
      <c r="F481" s="7" t="str">
        <f>CVSSv3!$A$14</f>
        <v>Report Confidence</v>
      </c>
      <c r="G481" s="8" t="s">
        <v>38</v>
      </c>
      <c r="H481" s="86"/>
      <c r="I481" s="87"/>
      <c r="J481" s="87"/>
      <c r="K481" s="83"/>
      <c r="L481" s="83"/>
      <c r="M481" s="83"/>
    </row>
    <row r="482" spans="1:13" ht="15.75" x14ac:dyDescent="0.2">
      <c r="A482" s="85"/>
      <c r="B482" s="83"/>
      <c r="C482" s="83"/>
      <c r="D482" s="83"/>
      <c r="E482" s="83"/>
      <c r="F482" s="84" t="str">
        <f>"("&amp;CVSSv3!$B$4&amp;":"&amp;IF(G471=CVSSv3!$C$4,CVSSv3!$C$30,IF(G471=CVSSv3!$D$4,CVSSv3!$D$30,IF(G471=CVSSv3!$E$4,CVSSv3!$E$30,IF(G471=CVSSv3!$F$4,CVSSv3!$F$30,""))))&amp;"/"&amp;CVSSv3!$B$5&amp;":"&amp;IF(G472=CVSSv3!$C$5,CVSSv3!$C$31,IF(G472=CVSSv3!$D$5,CVSSv3!$D$31,""))&amp;"/"&amp;CVSSv3!$B$6&amp;":"&amp;IF(G473=CVSSv3!$C$6,CVSSv3!$C$32,IF(G473=CVSSv3!$D$6,CVSSv3!$D$32,IF(G473=CVSSv3!$E$6,CVSSv3!$E$32,"")))&amp;"/"&amp;CVSSv3!$B$7&amp;":"&amp;IF(G474=CVSSv3!$C$7,CVSSv3!$C$33,IF(G474=CVSSv3!$D$7,CVSSv3!$D$33,""))&amp;"/"&amp;CVSSv3!$B$8&amp;":"&amp;IF(G475=CVSSv3!$C$8,CVSSv3!$C$34,IF(G475=CVSSv3!$D$8,CVSSv3!$D$34,""))&amp;"/"&amp;CVSSv3!$B$9&amp;":"&amp;IF(G476=CVSSv3!$C$9,CVSSv3!$C$35,IF(G476=CVSSv3!$D$9,CVSSv3!$D$35,IF(G476=CVSSv3!$E$9,CVSSv3!$E$35,"")))&amp;"/"&amp;CVSSv3!$B$10&amp;":"&amp;IF(G477=CVSSv3!$C$10,CVSSv3!$C$36,IF(G477=CVSSv3!$D$10,CVSSv3!$D$36,IF(G477=CVSSv3!$E$10,CVSSv3!$E$36,"")))&amp;"/"&amp;CVSSv3!$B$11&amp;":"&amp;IF(G478=CVSSv3!$C$11,CVSSv3!$C$37,IF(G478=CVSSv3!$D$11,CVSSv3!$D$37,IF(G478=CVSSv3!$E$11,CVSSv3!$E$37,"")))&amp;"/"&amp;CVSSv3!$B$12&amp;":"&amp;IF(G479=CVSSv3!$C$12,CVSSv3!$C$38,IF(G479=CVSSv3!$D$12,CVSSv3!$D$38,IF(G479=CVSSv3!$E$12,CVSSv3!$E$38,IF(G479=CVSSv3!$F$12,CVSSv3!$F$38,""))))&amp;"/"&amp;CVSSv3!$B$13&amp;":"&amp;IF(G480=CVSSv3!$C$13,CVSSv3!$C$39,IF(G480=CVSSv3!$D$13,CVSSv3!$D$39,IF(G480=CVSSv3!$E$13,CVSSv3!$E$39,IF(G480=CVSSv3!$F$13,CVSSv3!$F$39,""))))&amp;"/"&amp;CVSSv3!$B$14&amp;":"&amp;IF(G481=CVSSv3!$C$14,CVSSv3!$C$40,IF(G481=CVSSv3!$D$14,CVSSv3!$D$40,IF(G481=CVSSv3!$E$14,CVSSv3!$E$40,"")))&amp;")"</f>
        <v>(AV:/AC:/PR:/UI:/S:/C:/I:/A:/E:/RL:/RC:)</v>
      </c>
      <c r="G482" s="84"/>
      <c r="H482" s="86"/>
      <c r="I482" s="87"/>
      <c r="J482" s="87"/>
      <c r="K482" s="83"/>
      <c r="L482" s="83"/>
      <c r="M482" s="83"/>
    </row>
    <row r="483" spans="1:13" ht="15.75" customHeight="1" x14ac:dyDescent="0.25">
      <c r="A483" s="85">
        <v>41</v>
      </c>
      <c r="B483" s="83" t="s">
        <v>71</v>
      </c>
      <c r="C483" s="83" t="s">
        <v>14</v>
      </c>
      <c r="D483" s="83" t="s">
        <v>14</v>
      </c>
      <c r="E483" s="83" t="s">
        <v>14</v>
      </c>
      <c r="F483" s="5" t="str">
        <f>CVSSv3!$A$4</f>
        <v>Attack Vector</v>
      </c>
      <c r="G483" s="6" t="s">
        <v>15</v>
      </c>
      <c r="H483" s="86" t="e">
        <f>ROUNDUP((IF((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lt;=0,0,(IF(G487=CVSSv3!$C$8,ROUNDUP((MIN((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ROUNDUP((MIN(1.08*((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IF(G491=CVSSv3!$C$12,CVSSv3!$C$25,(IF(G491=CVSSv3!$D$12,CVSSv3!$D$25,(IF(G491=CVSSv3!$E$12,CVSSv3!$E$25,(IF(G491=CVSSv3!$F$12,CVSSv3!$F$25,""))))))))*(IF(G492=CVSSv3!$C$13,CVSSv3!$C$26,(IF(G492=CVSSv3!$D$13,CVSSv3!$D$26,(IF(G492=CVSSv3!$E$13,CVSSv3!$E$26,(IF(G492=CVSSv3!$F$13,CVSSv3!$F$26,""))))))))*(IF(G493=CVSSv3!$C$14,CVSSv3!$C$27,(IF(G493=CVSSv3!$D$14,CVSSv3!$D$27,(IF(G493=CVSSv3!$E$14,CVSSv3!$E$27,""))))))),1)</f>
        <v>#VALUE!</v>
      </c>
      <c r="I483" s="87">
        <v>0</v>
      </c>
      <c r="J483" s="87">
        <v>0</v>
      </c>
      <c r="K483" s="83" t="s">
        <v>14</v>
      </c>
      <c r="L483" s="83" t="s">
        <v>14</v>
      </c>
      <c r="M483" s="83" t="s">
        <v>16</v>
      </c>
    </row>
    <row r="484" spans="1:13" ht="15.75" x14ac:dyDescent="0.2">
      <c r="A484" s="85"/>
      <c r="B484" s="83"/>
      <c r="C484" s="83"/>
      <c r="D484" s="83"/>
      <c r="E484" s="83"/>
      <c r="F484" s="7" t="str">
        <f>CVSSv3!$A$5</f>
        <v>Attack Complexity</v>
      </c>
      <c r="G484" s="8" t="s">
        <v>32</v>
      </c>
      <c r="H484" s="86"/>
      <c r="I484" s="87"/>
      <c r="J484" s="87"/>
      <c r="K484" s="83"/>
      <c r="L484" s="83"/>
      <c r="M484" s="83"/>
    </row>
    <row r="485" spans="1:13" ht="15.75" x14ac:dyDescent="0.2">
      <c r="A485" s="85"/>
      <c r="B485" s="83"/>
      <c r="C485" s="83"/>
      <c r="D485" s="83"/>
      <c r="E485" s="83"/>
      <c r="F485" s="7" t="str">
        <f>CVSSv3!$A$6</f>
        <v>Privilege Required</v>
      </c>
      <c r="G485" s="8" t="s">
        <v>33</v>
      </c>
      <c r="H485" s="86"/>
      <c r="I485" s="87"/>
      <c r="J485" s="87"/>
      <c r="K485" s="83"/>
      <c r="L485" s="83"/>
      <c r="M485" s="83"/>
    </row>
    <row r="486" spans="1:13" ht="15.75" x14ac:dyDescent="0.2">
      <c r="A486" s="85"/>
      <c r="B486" s="83"/>
      <c r="C486" s="83"/>
      <c r="D486" s="83"/>
      <c r="E486" s="83"/>
      <c r="F486" s="7" t="str">
        <f>CVSSv3!$A$7</f>
        <v>User Interaction</v>
      </c>
      <c r="G486" s="8" t="s">
        <v>34</v>
      </c>
      <c r="H486" s="86"/>
      <c r="I486" s="87"/>
      <c r="J486" s="87"/>
      <c r="K486" s="83"/>
      <c r="L486" s="83"/>
      <c r="M486" s="83"/>
    </row>
    <row r="487" spans="1:13" ht="15.75" x14ac:dyDescent="0.2">
      <c r="A487" s="85"/>
      <c r="B487" s="83"/>
      <c r="C487" s="83"/>
      <c r="D487" s="83"/>
      <c r="E487" s="83"/>
      <c r="F487" s="7" t="str">
        <f>CVSSv3!$A$8</f>
        <v>Scope</v>
      </c>
      <c r="G487" s="8" t="s">
        <v>35</v>
      </c>
      <c r="H487" s="86"/>
      <c r="I487" s="87"/>
      <c r="J487" s="87"/>
      <c r="K487" s="83"/>
      <c r="L487" s="83"/>
      <c r="M487" s="83"/>
    </row>
    <row r="488" spans="1:13" ht="15.75" x14ac:dyDescent="0.2">
      <c r="A488" s="85"/>
      <c r="B488" s="83"/>
      <c r="C488" s="83"/>
      <c r="D488" s="83"/>
      <c r="E488" s="83"/>
      <c r="F488" s="7" t="str">
        <f>CVSSv3!$A$9</f>
        <v>Confidentiality Impact</v>
      </c>
      <c r="G488" s="8" t="s">
        <v>36</v>
      </c>
      <c r="H488" s="86"/>
      <c r="I488" s="87"/>
      <c r="J488" s="87"/>
      <c r="K488" s="83"/>
      <c r="L488" s="83"/>
      <c r="M488" s="83"/>
    </row>
    <row r="489" spans="1:13" ht="15.75" x14ac:dyDescent="0.2">
      <c r="A489" s="85"/>
      <c r="B489" s="83"/>
      <c r="C489" s="83"/>
      <c r="D489" s="83"/>
      <c r="E489" s="83"/>
      <c r="F489" s="7" t="str">
        <f>CVSSv3!$A$10</f>
        <v>Integrity Impact</v>
      </c>
      <c r="G489" s="8" t="s">
        <v>36</v>
      </c>
      <c r="H489" s="86"/>
      <c r="I489" s="87"/>
      <c r="J489" s="87"/>
      <c r="K489" s="83"/>
      <c r="L489" s="83"/>
      <c r="M489" s="83"/>
    </row>
    <row r="490" spans="1:13" ht="15.75" x14ac:dyDescent="0.2">
      <c r="A490" s="85"/>
      <c r="B490" s="83"/>
      <c r="C490" s="83"/>
      <c r="D490" s="83"/>
      <c r="E490" s="83"/>
      <c r="F490" s="7" t="str">
        <f>CVSSv3!$A$11</f>
        <v>Availability Impact</v>
      </c>
      <c r="G490" s="8" t="s">
        <v>36</v>
      </c>
      <c r="H490" s="86"/>
      <c r="I490" s="87"/>
      <c r="J490" s="87"/>
      <c r="K490" s="83"/>
      <c r="L490" s="83"/>
      <c r="M490" s="83"/>
    </row>
    <row r="491" spans="1:13" ht="15.75" x14ac:dyDescent="0.2">
      <c r="A491" s="85"/>
      <c r="B491" s="83"/>
      <c r="C491" s="83"/>
      <c r="D491" s="83"/>
      <c r="E491" s="83"/>
      <c r="F491" s="7" t="str">
        <f>CVSSv3!$A$12</f>
        <v>Exploit Code Maturity</v>
      </c>
      <c r="G491" s="8" t="s">
        <v>32</v>
      </c>
      <c r="H491" s="86"/>
      <c r="I491" s="87"/>
      <c r="J491" s="87"/>
      <c r="K491" s="83"/>
      <c r="L491" s="83"/>
      <c r="M491" s="83"/>
    </row>
    <row r="492" spans="1:13" ht="15.75" x14ac:dyDescent="0.2">
      <c r="A492" s="85"/>
      <c r="B492" s="83"/>
      <c r="C492" s="83"/>
      <c r="D492" s="83"/>
      <c r="E492" s="83"/>
      <c r="F492" s="7" t="str">
        <f>CVSSv3!$A$13</f>
        <v>Remediation Level</v>
      </c>
      <c r="G492" s="8" t="s">
        <v>37</v>
      </c>
      <c r="H492" s="86"/>
      <c r="I492" s="87"/>
      <c r="J492" s="87"/>
      <c r="K492" s="83"/>
      <c r="L492" s="83"/>
      <c r="M492" s="83"/>
    </row>
    <row r="493" spans="1:13" ht="15.75" x14ac:dyDescent="0.2">
      <c r="A493" s="85"/>
      <c r="B493" s="83"/>
      <c r="C493" s="83"/>
      <c r="D493" s="83"/>
      <c r="E493" s="83"/>
      <c r="F493" s="7" t="str">
        <f>CVSSv3!$A$14</f>
        <v>Report Confidence</v>
      </c>
      <c r="G493" s="8" t="s">
        <v>38</v>
      </c>
      <c r="H493" s="86"/>
      <c r="I493" s="87"/>
      <c r="J493" s="87"/>
      <c r="K493" s="83"/>
      <c r="L493" s="83"/>
      <c r="M493" s="83"/>
    </row>
    <row r="494" spans="1:13" ht="15.75" x14ac:dyDescent="0.2">
      <c r="A494" s="85"/>
      <c r="B494" s="83"/>
      <c r="C494" s="83"/>
      <c r="D494" s="83"/>
      <c r="E494" s="83"/>
      <c r="F494" s="84" t="str">
        <f>"("&amp;CVSSv3!$B$4&amp;":"&amp;IF(G483=CVSSv3!$C$4,CVSSv3!$C$30,IF(G483=CVSSv3!$D$4,CVSSv3!$D$30,IF(G483=CVSSv3!$E$4,CVSSv3!$E$30,IF(G483=CVSSv3!$F$4,CVSSv3!$F$30,""))))&amp;"/"&amp;CVSSv3!$B$5&amp;":"&amp;IF(G484=CVSSv3!$C$5,CVSSv3!$C$31,IF(G484=CVSSv3!$D$5,CVSSv3!$D$31,""))&amp;"/"&amp;CVSSv3!$B$6&amp;":"&amp;IF(G485=CVSSv3!$C$6,CVSSv3!$C$32,IF(G485=CVSSv3!$D$6,CVSSv3!$D$32,IF(G485=CVSSv3!$E$6,CVSSv3!$E$32,"")))&amp;"/"&amp;CVSSv3!$B$7&amp;":"&amp;IF(G486=CVSSv3!$C$7,CVSSv3!$C$33,IF(G486=CVSSv3!$D$7,CVSSv3!$D$33,""))&amp;"/"&amp;CVSSv3!$B$8&amp;":"&amp;IF(G487=CVSSv3!$C$8,CVSSv3!$C$34,IF(G487=CVSSv3!$D$8,CVSSv3!$D$34,""))&amp;"/"&amp;CVSSv3!$B$9&amp;":"&amp;IF(G488=CVSSv3!$C$9,CVSSv3!$C$35,IF(G488=CVSSv3!$D$9,CVSSv3!$D$35,IF(G488=CVSSv3!$E$9,CVSSv3!$E$35,"")))&amp;"/"&amp;CVSSv3!$B$10&amp;":"&amp;IF(G489=CVSSv3!$C$10,CVSSv3!$C$36,IF(G489=CVSSv3!$D$10,CVSSv3!$D$36,IF(G489=CVSSv3!$E$10,CVSSv3!$E$36,"")))&amp;"/"&amp;CVSSv3!$B$11&amp;":"&amp;IF(G490=CVSSv3!$C$11,CVSSv3!$C$37,IF(G490=CVSSv3!$D$11,CVSSv3!$D$37,IF(G490=CVSSv3!$E$11,CVSSv3!$E$37,"")))&amp;"/"&amp;CVSSv3!$B$12&amp;":"&amp;IF(G491=CVSSv3!$C$12,CVSSv3!$C$38,IF(G491=CVSSv3!$D$12,CVSSv3!$D$38,IF(G491=CVSSv3!$E$12,CVSSv3!$E$38,IF(G491=CVSSv3!$F$12,CVSSv3!$F$38,""))))&amp;"/"&amp;CVSSv3!$B$13&amp;":"&amp;IF(G492=CVSSv3!$C$13,CVSSv3!$C$39,IF(G492=CVSSv3!$D$13,CVSSv3!$D$39,IF(G492=CVSSv3!$E$13,CVSSv3!$E$39,IF(G492=CVSSv3!$F$13,CVSSv3!$F$39,""))))&amp;"/"&amp;CVSSv3!$B$14&amp;":"&amp;IF(G493=CVSSv3!$C$14,CVSSv3!$C$40,IF(G493=CVSSv3!$D$14,CVSSv3!$D$40,IF(G493=CVSSv3!$E$14,CVSSv3!$E$40,"")))&amp;")"</f>
        <v>(AV:/AC:/PR:/UI:/S:/C:/I:/A:/E:/RL:/RC:)</v>
      </c>
      <c r="G494" s="84"/>
      <c r="H494" s="86"/>
      <c r="I494" s="87"/>
      <c r="J494" s="87"/>
      <c r="K494" s="83"/>
      <c r="L494" s="83"/>
      <c r="M494" s="83"/>
    </row>
    <row r="495" spans="1:13" ht="15.75" customHeight="1" x14ac:dyDescent="0.25">
      <c r="A495" s="85">
        <v>42</v>
      </c>
      <c r="B495" s="83" t="s">
        <v>72</v>
      </c>
      <c r="C495" s="83" t="s">
        <v>14</v>
      </c>
      <c r="D495" s="83" t="s">
        <v>14</v>
      </c>
      <c r="E495" s="83" t="s">
        <v>14</v>
      </c>
      <c r="F495" s="5" t="str">
        <f>CVSSv3!$A$4</f>
        <v>Attack Vector</v>
      </c>
      <c r="G495" s="6" t="s">
        <v>15</v>
      </c>
      <c r="H495" s="86" t="e">
        <f>ROUNDUP((IF((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lt;=0,0,(IF(G499=CVSSv3!$C$8,ROUNDUP((MIN((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ROUNDUP((MIN(1.08*((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IF(G503=CVSSv3!$C$12,CVSSv3!$C$25,(IF(G503=CVSSv3!$D$12,CVSSv3!$D$25,(IF(G503=CVSSv3!$E$12,CVSSv3!$E$25,(IF(G503=CVSSv3!$F$12,CVSSv3!$F$25,""))))))))*(IF(G504=CVSSv3!$C$13,CVSSv3!$C$26,(IF(G504=CVSSv3!$D$13,CVSSv3!$D$26,(IF(G504=CVSSv3!$E$13,CVSSv3!$E$26,(IF(G504=CVSSv3!$F$13,CVSSv3!$F$26,""))))))))*(IF(G505=CVSSv3!$C$14,CVSSv3!$C$27,(IF(G505=CVSSv3!$D$14,CVSSv3!$D$27,(IF(G505=CVSSv3!$E$14,CVSSv3!$E$27,""))))))),1)</f>
        <v>#VALUE!</v>
      </c>
      <c r="I495" s="87">
        <v>0</v>
      </c>
      <c r="J495" s="87">
        <v>0</v>
      </c>
      <c r="K495" s="83" t="s">
        <v>14</v>
      </c>
      <c r="L495" s="83" t="s">
        <v>14</v>
      </c>
      <c r="M495" s="83" t="s">
        <v>16</v>
      </c>
    </row>
    <row r="496" spans="1:13" ht="15.75" x14ac:dyDescent="0.2">
      <c r="A496" s="85"/>
      <c r="B496" s="83"/>
      <c r="C496" s="83"/>
      <c r="D496" s="83"/>
      <c r="E496" s="83"/>
      <c r="F496" s="7" t="str">
        <f>CVSSv3!$A$5</f>
        <v>Attack Complexity</v>
      </c>
      <c r="G496" s="8" t="s">
        <v>32</v>
      </c>
      <c r="H496" s="86"/>
      <c r="I496" s="87"/>
      <c r="J496" s="87"/>
      <c r="K496" s="83"/>
      <c r="L496" s="83"/>
      <c r="M496" s="83"/>
    </row>
    <row r="497" spans="1:13" ht="15.75" x14ac:dyDescent="0.2">
      <c r="A497" s="85"/>
      <c r="B497" s="83"/>
      <c r="C497" s="83"/>
      <c r="D497" s="83"/>
      <c r="E497" s="83"/>
      <c r="F497" s="7" t="str">
        <f>CVSSv3!$A$6</f>
        <v>Privilege Required</v>
      </c>
      <c r="G497" s="8" t="s">
        <v>33</v>
      </c>
      <c r="H497" s="86"/>
      <c r="I497" s="87"/>
      <c r="J497" s="87"/>
      <c r="K497" s="83"/>
      <c r="L497" s="83"/>
      <c r="M497" s="83"/>
    </row>
    <row r="498" spans="1:13" ht="15.75" x14ac:dyDescent="0.2">
      <c r="A498" s="85"/>
      <c r="B498" s="83"/>
      <c r="C498" s="83"/>
      <c r="D498" s="83"/>
      <c r="E498" s="83"/>
      <c r="F498" s="7" t="str">
        <f>CVSSv3!$A$7</f>
        <v>User Interaction</v>
      </c>
      <c r="G498" s="8" t="s">
        <v>34</v>
      </c>
      <c r="H498" s="86"/>
      <c r="I498" s="87"/>
      <c r="J498" s="87"/>
      <c r="K498" s="83"/>
      <c r="L498" s="83"/>
      <c r="M498" s="83"/>
    </row>
    <row r="499" spans="1:13" ht="15.75" x14ac:dyDescent="0.2">
      <c r="A499" s="85"/>
      <c r="B499" s="83"/>
      <c r="C499" s="83"/>
      <c r="D499" s="83"/>
      <c r="E499" s="83"/>
      <c r="F499" s="7" t="str">
        <f>CVSSv3!$A$8</f>
        <v>Scope</v>
      </c>
      <c r="G499" s="8" t="s">
        <v>35</v>
      </c>
      <c r="H499" s="86"/>
      <c r="I499" s="87"/>
      <c r="J499" s="87"/>
      <c r="K499" s="83"/>
      <c r="L499" s="83"/>
      <c r="M499" s="83"/>
    </row>
    <row r="500" spans="1:13" ht="15.75" x14ac:dyDescent="0.2">
      <c r="A500" s="85"/>
      <c r="B500" s="83"/>
      <c r="C500" s="83"/>
      <c r="D500" s="83"/>
      <c r="E500" s="83"/>
      <c r="F500" s="7" t="str">
        <f>CVSSv3!$A$9</f>
        <v>Confidentiality Impact</v>
      </c>
      <c r="G500" s="8" t="s">
        <v>36</v>
      </c>
      <c r="H500" s="86"/>
      <c r="I500" s="87"/>
      <c r="J500" s="87"/>
      <c r="K500" s="83"/>
      <c r="L500" s="83"/>
      <c r="M500" s="83"/>
    </row>
    <row r="501" spans="1:13" ht="15.75" x14ac:dyDescent="0.2">
      <c r="A501" s="85"/>
      <c r="B501" s="83"/>
      <c r="C501" s="83"/>
      <c r="D501" s="83"/>
      <c r="E501" s="83"/>
      <c r="F501" s="7" t="str">
        <f>CVSSv3!$A$10</f>
        <v>Integrity Impact</v>
      </c>
      <c r="G501" s="8" t="s">
        <v>36</v>
      </c>
      <c r="H501" s="86"/>
      <c r="I501" s="87"/>
      <c r="J501" s="87"/>
      <c r="K501" s="83"/>
      <c r="L501" s="83"/>
      <c r="M501" s="83"/>
    </row>
    <row r="502" spans="1:13" ht="15.75" x14ac:dyDescent="0.2">
      <c r="A502" s="85"/>
      <c r="B502" s="83"/>
      <c r="C502" s="83"/>
      <c r="D502" s="83"/>
      <c r="E502" s="83"/>
      <c r="F502" s="7" t="str">
        <f>CVSSv3!$A$11</f>
        <v>Availability Impact</v>
      </c>
      <c r="G502" s="8" t="s">
        <v>36</v>
      </c>
      <c r="H502" s="86"/>
      <c r="I502" s="87"/>
      <c r="J502" s="87"/>
      <c r="K502" s="83"/>
      <c r="L502" s="83"/>
      <c r="M502" s="83"/>
    </row>
    <row r="503" spans="1:13" ht="15.75" x14ac:dyDescent="0.2">
      <c r="A503" s="85"/>
      <c r="B503" s="83"/>
      <c r="C503" s="83"/>
      <c r="D503" s="83"/>
      <c r="E503" s="83"/>
      <c r="F503" s="7" t="str">
        <f>CVSSv3!$A$12</f>
        <v>Exploit Code Maturity</v>
      </c>
      <c r="G503" s="8" t="s">
        <v>32</v>
      </c>
      <c r="H503" s="86"/>
      <c r="I503" s="87"/>
      <c r="J503" s="87"/>
      <c r="K503" s="83"/>
      <c r="L503" s="83"/>
      <c r="M503" s="83"/>
    </row>
    <row r="504" spans="1:13" ht="15.75" x14ac:dyDescent="0.2">
      <c r="A504" s="85"/>
      <c r="B504" s="83"/>
      <c r="C504" s="83"/>
      <c r="D504" s="83"/>
      <c r="E504" s="83"/>
      <c r="F504" s="7" t="str">
        <f>CVSSv3!$A$13</f>
        <v>Remediation Level</v>
      </c>
      <c r="G504" s="8" t="s">
        <v>37</v>
      </c>
      <c r="H504" s="86"/>
      <c r="I504" s="87"/>
      <c r="J504" s="87"/>
      <c r="K504" s="83"/>
      <c r="L504" s="83"/>
      <c r="M504" s="83"/>
    </row>
    <row r="505" spans="1:13" ht="15.75" x14ac:dyDescent="0.2">
      <c r="A505" s="85"/>
      <c r="B505" s="83"/>
      <c r="C505" s="83"/>
      <c r="D505" s="83"/>
      <c r="E505" s="83"/>
      <c r="F505" s="7" t="str">
        <f>CVSSv3!$A$14</f>
        <v>Report Confidence</v>
      </c>
      <c r="G505" s="8" t="s">
        <v>38</v>
      </c>
      <c r="H505" s="86"/>
      <c r="I505" s="87"/>
      <c r="J505" s="87"/>
      <c r="K505" s="83"/>
      <c r="L505" s="83"/>
      <c r="M505" s="83"/>
    </row>
    <row r="506" spans="1:13" ht="15.75" x14ac:dyDescent="0.2">
      <c r="A506" s="85"/>
      <c r="B506" s="83"/>
      <c r="C506" s="83"/>
      <c r="D506" s="83"/>
      <c r="E506" s="83"/>
      <c r="F506" s="84" t="str">
        <f>"("&amp;CVSSv3!$B$4&amp;":"&amp;IF(G495=CVSSv3!$C$4,CVSSv3!$C$30,IF(G495=CVSSv3!$D$4,CVSSv3!$D$30,IF(G495=CVSSv3!$E$4,CVSSv3!$E$30,IF(G495=CVSSv3!$F$4,CVSSv3!$F$30,""))))&amp;"/"&amp;CVSSv3!$B$5&amp;":"&amp;IF(G496=CVSSv3!$C$5,CVSSv3!$C$31,IF(G496=CVSSv3!$D$5,CVSSv3!$D$31,""))&amp;"/"&amp;CVSSv3!$B$6&amp;":"&amp;IF(G497=CVSSv3!$C$6,CVSSv3!$C$32,IF(G497=CVSSv3!$D$6,CVSSv3!$D$32,IF(G497=CVSSv3!$E$6,CVSSv3!$E$32,"")))&amp;"/"&amp;CVSSv3!$B$7&amp;":"&amp;IF(G498=CVSSv3!$C$7,CVSSv3!$C$33,IF(G498=CVSSv3!$D$7,CVSSv3!$D$33,""))&amp;"/"&amp;CVSSv3!$B$8&amp;":"&amp;IF(G499=CVSSv3!$C$8,CVSSv3!$C$34,IF(G499=CVSSv3!$D$8,CVSSv3!$D$34,""))&amp;"/"&amp;CVSSv3!$B$9&amp;":"&amp;IF(G500=CVSSv3!$C$9,CVSSv3!$C$35,IF(G500=CVSSv3!$D$9,CVSSv3!$D$35,IF(G500=CVSSv3!$E$9,CVSSv3!$E$35,"")))&amp;"/"&amp;CVSSv3!$B$10&amp;":"&amp;IF(G501=CVSSv3!$C$10,CVSSv3!$C$36,IF(G501=CVSSv3!$D$10,CVSSv3!$D$36,IF(G501=CVSSv3!$E$10,CVSSv3!$E$36,"")))&amp;"/"&amp;CVSSv3!$B$11&amp;":"&amp;IF(G502=CVSSv3!$C$11,CVSSv3!$C$37,IF(G502=CVSSv3!$D$11,CVSSv3!$D$37,IF(G502=CVSSv3!$E$11,CVSSv3!$E$37,"")))&amp;"/"&amp;CVSSv3!$B$12&amp;":"&amp;IF(G503=CVSSv3!$C$12,CVSSv3!$C$38,IF(G503=CVSSv3!$D$12,CVSSv3!$D$38,IF(G503=CVSSv3!$E$12,CVSSv3!$E$38,IF(G503=CVSSv3!$F$12,CVSSv3!$F$38,""))))&amp;"/"&amp;CVSSv3!$B$13&amp;":"&amp;IF(G504=CVSSv3!$C$13,CVSSv3!$C$39,IF(G504=CVSSv3!$D$13,CVSSv3!$D$39,IF(G504=CVSSv3!$E$13,CVSSv3!$E$39,IF(G504=CVSSv3!$F$13,CVSSv3!$F$39,""))))&amp;"/"&amp;CVSSv3!$B$14&amp;":"&amp;IF(G505=CVSSv3!$C$14,CVSSv3!$C$40,IF(G505=CVSSv3!$D$14,CVSSv3!$D$40,IF(G505=CVSSv3!$E$14,CVSSv3!$E$40,"")))&amp;")"</f>
        <v>(AV:/AC:/PR:/UI:/S:/C:/I:/A:/E:/RL:/RC:)</v>
      </c>
      <c r="G506" s="84"/>
      <c r="H506" s="86"/>
      <c r="I506" s="87"/>
      <c r="J506" s="87"/>
      <c r="K506" s="83"/>
      <c r="L506" s="83"/>
      <c r="M506" s="83"/>
    </row>
    <row r="507" spans="1:13" ht="15.75" customHeight="1" x14ac:dyDescent="0.25">
      <c r="A507" s="85">
        <v>43</v>
      </c>
      <c r="B507" s="83" t="s">
        <v>73</v>
      </c>
      <c r="C507" s="83" t="s">
        <v>14</v>
      </c>
      <c r="D507" s="83" t="s">
        <v>14</v>
      </c>
      <c r="E507" s="83" t="s">
        <v>14</v>
      </c>
      <c r="F507" s="5" t="str">
        <f>CVSSv3!$A$4</f>
        <v>Attack Vector</v>
      </c>
      <c r="G507" s="6" t="s">
        <v>15</v>
      </c>
      <c r="H507" s="86" t="e">
        <f>ROUNDUP((IF((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lt;=0,0,(IF(G511=CVSSv3!$C$8,ROUNDUP((MIN((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ROUNDUP((MIN(1.08*((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IF(G515=CVSSv3!$C$12,CVSSv3!$C$25,(IF(G515=CVSSv3!$D$12,CVSSv3!$D$25,(IF(G515=CVSSv3!$E$12,CVSSv3!$E$25,(IF(G515=CVSSv3!$F$12,CVSSv3!$F$25,""))))))))*(IF(G516=CVSSv3!$C$13,CVSSv3!$C$26,(IF(G516=CVSSv3!$D$13,CVSSv3!$D$26,(IF(G516=CVSSv3!$E$13,CVSSv3!$E$26,(IF(G516=CVSSv3!$F$13,CVSSv3!$F$26,""))))))))*(IF(G517=CVSSv3!$C$14,CVSSv3!$C$27,(IF(G517=CVSSv3!$D$14,CVSSv3!$D$27,(IF(G517=CVSSv3!$E$14,CVSSv3!$E$27,""))))))),1)</f>
        <v>#VALUE!</v>
      </c>
      <c r="I507" s="87">
        <v>0</v>
      </c>
      <c r="J507" s="87">
        <v>0</v>
      </c>
      <c r="K507" s="83" t="s">
        <v>14</v>
      </c>
      <c r="L507" s="83" t="s">
        <v>14</v>
      </c>
      <c r="M507" s="83" t="s">
        <v>16</v>
      </c>
    </row>
    <row r="508" spans="1:13" ht="15.75" x14ac:dyDescent="0.2">
      <c r="A508" s="85"/>
      <c r="B508" s="83"/>
      <c r="C508" s="83"/>
      <c r="D508" s="83"/>
      <c r="E508" s="83"/>
      <c r="F508" s="7" t="str">
        <f>CVSSv3!$A$5</f>
        <v>Attack Complexity</v>
      </c>
      <c r="G508" s="8" t="s">
        <v>32</v>
      </c>
      <c r="H508" s="86"/>
      <c r="I508" s="87"/>
      <c r="J508" s="87"/>
      <c r="K508" s="83"/>
      <c r="L508" s="83"/>
      <c r="M508" s="83"/>
    </row>
    <row r="509" spans="1:13" ht="15.75" x14ac:dyDescent="0.2">
      <c r="A509" s="85"/>
      <c r="B509" s="83"/>
      <c r="C509" s="83"/>
      <c r="D509" s="83"/>
      <c r="E509" s="83"/>
      <c r="F509" s="7" t="str">
        <f>CVSSv3!$A$6</f>
        <v>Privilege Required</v>
      </c>
      <c r="G509" s="8" t="s">
        <v>33</v>
      </c>
      <c r="H509" s="86"/>
      <c r="I509" s="87"/>
      <c r="J509" s="87"/>
      <c r="K509" s="83"/>
      <c r="L509" s="83"/>
      <c r="M509" s="83"/>
    </row>
    <row r="510" spans="1:13" ht="15.75" x14ac:dyDescent="0.2">
      <c r="A510" s="85"/>
      <c r="B510" s="83"/>
      <c r="C510" s="83"/>
      <c r="D510" s="83"/>
      <c r="E510" s="83"/>
      <c r="F510" s="7" t="str">
        <f>CVSSv3!$A$7</f>
        <v>User Interaction</v>
      </c>
      <c r="G510" s="8" t="s">
        <v>34</v>
      </c>
      <c r="H510" s="86"/>
      <c r="I510" s="87"/>
      <c r="J510" s="87"/>
      <c r="K510" s="83"/>
      <c r="L510" s="83"/>
      <c r="M510" s="83"/>
    </row>
    <row r="511" spans="1:13" ht="15.75" x14ac:dyDescent="0.2">
      <c r="A511" s="85"/>
      <c r="B511" s="83"/>
      <c r="C511" s="83"/>
      <c r="D511" s="83"/>
      <c r="E511" s="83"/>
      <c r="F511" s="7" t="str">
        <f>CVSSv3!$A$8</f>
        <v>Scope</v>
      </c>
      <c r="G511" s="8" t="s">
        <v>35</v>
      </c>
      <c r="H511" s="86"/>
      <c r="I511" s="87"/>
      <c r="J511" s="87"/>
      <c r="K511" s="83"/>
      <c r="L511" s="83"/>
      <c r="M511" s="83"/>
    </row>
    <row r="512" spans="1:13" ht="15.75" x14ac:dyDescent="0.2">
      <c r="A512" s="85"/>
      <c r="B512" s="83"/>
      <c r="C512" s="83"/>
      <c r="D512" s="83"/>
      <c r="E512" s="83"/>
      <c r="F512" s="7" t="str">
        <f>CVSSv3!$A$9</f>
        <v>Confidentiality Impact</v>
      </c>
      <c r="G512" s="8" t="s">
        <v>36</v>
      </c>
      <c r="H512" s="86"/>
      <c r="I512" s="87"/>
      <c r="J512" s="87"/>
      <c r="K512" s="83"/>
      <c r="L512" s="83"/>
      <c r="M512" s="83"/>
    </row>
    <row r="513" spans="1:13" ht="15.75" x14ac:dyDescent="0.2">
      <c r="A513" s="85"/>
      <c r="B513" s="83"/>
      <c r="C513" s="83"/>
      <c r="D513" s="83"/>
      <c r="E513" s="83"/>
      <c r="F513" s="7" t="str">
        <f>CVSSv3!$A$10</f>
        <v>Integrity Impact</v>
      </c>
      <c r="G513" s="8" t="s">
        <v>36</v>
      </c>
      <c r="H513" s="86"/>
      <c r="I513" s="87"/>
      <c r="J513" s="87"/>
      <c r="K513" s="83"/>
      <c r="L513" s="83"/>
      <c r="M513" s="83"/>
    </row>
    <row r="514" spans="1:13" ht="15.75" x14ac:dyDescent="0.2">
      <c r="A514" s="85"/>
      <c r="B514" s="83"/>
      <c r="C514" s="83"/>
      <c r="D514" s="83"/>
      <c r="E514" s="83"/>
      <c r="F514" s="7" t="str">
        <f>CVSSv3!$A$11</f>
        <v>Availability Impact</v>
      </c>
      <c r="G514" s="8" t="s">
        <v>36</v>
      </c>
      <c r="H514" s="86"/>
      <c r="I514" s="87"/>
      <c r="J514" s="87"/>
      <c r="K514" s="83"/>
      <c r="L514" s="83"/>
      <c r="M514" s="83"/>
    </row>
    <row r="515" spans="1:13" ht="15.75" x14ac:dyDescent="0.2">
      <c r="A515" s="85"/>
      <c r="B515" s="83"/>
      <c r="C515" s="83"/>
      <c r="D515" s="83"/>
      <c r="E515" s="83"/>
      <c r="F515" s="7" t="str">
        <f>CVSSv3!$A$12</f>
        <v>Exploit Code Maturity</v>
      </c>
      <c r="G515" s="8" t="s">
        <v>32</v>
      </c>
      <c r="H515" s="86"/>
      <c r="I515" s="87"/>
      <c r="J515" s="87"/>
      <c r="K515" s="83"/>
      <c r="L515" s="83"/>
      <c r="M515" s="83"/>
    </row>
    <row r="516" spans="1:13" ht="15.75" x14ac:dyDescent="0.2">
      <c r="A516" s="85"/>
      <c r="B516" s="83"/>
      <c r="C516" s="83"/>
      <c r="D516" s="83"/>
      <c r="E516" s="83"/>
      <c r="F516" s="7" t="str">
        <f>CVSSv3!$A$13</f>
        <v>Remediation Level</v>
      </c>
      <c r="G516" s="8" t="s">
        <v>37</v>
      </c>
      <c r="H516" s="86"/>
      <c r="I516" s="87"/>
      <c r="J516" s="87"/>
      <c r="K516" s="83"/>
      <c r="L516" s="83"/>
      <c r="M516" s="83"/>
    </row>
    <row r="517" spans="1:13" ht="15.75" x14ac:dyDescent="0.2">
      <c r="A517" s="85"/>
      <c r="B517" s="83"/>
      <c r="C517" s="83"/>
      <c r="D517" s="83"/>
      <c r="E517" s="83"/>
      <c r="F517" s="7" t="str">
        <f>CVSSv3!$A$14</f>
        <v>Report Confidence</v>
      </c>
      <c r="G517" s="8" t="s">
        <v>38</v>
      </c>
      <c r="H517" s="86"/>
      <c r="I517" s="87"/>
      <c r="J517" s="87"/>
      <c r="K517" s="83"/>
      <c r="L517" s="83"/>
      <c r="M517" s="83"/>
    </row>
    <row r="518" spans="1:13" ht="15.75" x14ac:dyDescent="0.2">
      <c r="A518" s="85"/>
      <c r="B518" s="83"/>
      <c r="C518" s="83"/>
      <c r="D518" s="83"/>
      <c r="E518" s="83"/>
      <c r="F518" s="84" t="str">
        <f>"("&amp;CVSSv3!$B$4&amp;":"&amp;IF(G507=CVSSv3!$C$4,CVSSv3!$C$30,IF(G507=CVSSv3!$D$4,CVSSv3!$D$30,IF(G507=CVSSv3!$E$4,CVSSv3!$E$30,IF(G507=CVSSv3!$F$4,CVSSv3!$F$30,""))))&amp;"/"&amp;CVSSv3!$B$5&amp;":"&amp;IF(G508=CVSSv3!$C$5,CVSSv3!$C$31,IF(G508=CVSSv3!$D$5,CVSSv3!$D$31,""))&amp;"/"&amp;CVSSv3!$B$6&amp;":"&amp;IF(G509=CVSSv3!$C$6,CVSSv3!$C$32,IF(G509=CVSSv3!$D$6,CVSSv3!$D$32,IF(G509=CVSSv3!$E$6,CVSSv3!$E$32,"")))&amp;"/"&amp;CVSSv3!$B$7&amp;":"&amp;IF(G510=CVSSv3!$C$7,CVSSv3!$C$33,IF(G510=CVSSv3!$D$7,CVSSv3!$D$33,""))&amp;"/"&amp;CVSSv3!$B$8&amp;":"&amp;IF(G511=CVSSv3!$C$8,CVSSv3!$C$34,IF(G511=CVSSv3!$D$8,CVSSv3!$D$34,""))&amp;"/"&amp;CVSSv3!$B$9&amp;":"&amp;IF(G512=CVSSv3!$C$9,CVSSv3!$C$35,IF(G512=CVSSv3!$D$9,CVSSv3!$D$35,IF(G512=CVSSv3!$E$9,CVSSv3!$E$35,"")))&amp;"/"&amp;CVSSv3!$B$10&amp;":"&amp;IF(G513=CVSSv3!$C$10,CVSSv3!$C$36,IF(G513=CVSSv3!$D$10,CVSSv3!$D$36,IF(G513=CVSSv3!$E$10,CVSSv3!$E$36,"")))&amp;"/"&amp;CVSSv3!$B$11&amp;":"&amp;IF(G514=CVSSv3!$C$11,CVSSv3!$C$37,IF(G514=CVSSv3!$D$11,CVSSv3!$D$37,IF(G514=CVSSv3!$E$11,CVSSv3!$E$37,"")))&amp;"/"&amp;CVSSv3!$B$12&amp;":"&amp;IF(G515=CVSSv3!$C$12,CVSSv3!$C$38,IF(G515=CVSSv3!$D$12,CVSSv3!$D$38,IF(G515=CVSSv3!$E$12,CVSSv3!$E$38,IF(G515=CVSSv3!$F$12,CVSSv3!$F$38,""))))&amp;"/"&amp;CVSSv3!$B$13&amp;":"&amp;IF(G516=CVSSv3!$C$13,CVSSv3!$C$39,IF(G516=CVSSv3!$D$13,CVSSv3!$D$39,IF(G516=CVSSv3!$E$13,CVSSv3!$E$39,IF(G516=CVSSv3!$F$13,CVSSv3!$F$39,""))))&amp;"/"&amp;CVSSv3!$B$14&amp;":"&amp;IF(G517=CVSSv3!$C$14,CVSSv3!$C$40,IF(G517=CVSSv3!$D$14,CVSSv3!$D$40,IF(G517=CVSSv3!$E$14,CVSSv3!$E$40,"")))&amp;")"</f>
        <v>(AV:/AC:/PR:/UI:/S:/C:/I:/A:/E:/RL:/RC:)</v>
      </c>
      <c r="G518" s="84"/>
      <c r="H518" s="86"/>
      <c r="I518" s="87"/>
      <c r="J518" s="87"/>
      <c r="K518" s="83"/>
      <c r="L518" s="83"/>
      <c r="M518" s="83"/>
    </row>
    <row r="519" spans="1:13" ht="15.75" customHeight="1" x14ac:dyDescent="0.25">
      <c r="A519" s="85">
        <v>44</v>
      </c>
      <c r="B519" s="83" t="s">
        <v>74</v>
      </c>
      <c r="C519" s="83" t="s">
        <v>14</v>
      </c>
      <c r="D519" s="83" t="s">
        <v>14</v>
      </c>
      <c r="E519" s="83" t="s">
        <v>14</v>
      </c>
      <c r="F519" s="5" t="str">
        <f>CVSSv3!$A$4</f>
        <v>Attack Vector</v>
      </c>
      <c r="G519" s="6" t="s">
        <v>15</v>
      </c>
      <c r="H519" s="86" t="e">
        <f>ROUNDUP((IF((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lt;=0,0,(IF(G523=CVSSv3!$C$8,ROUNDUP((MIN((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ROUNDUP((MIN(1.08*((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IF(G527=CVSSv3!$C$12,CVSSv3!$C$25,(IF(G527=CVSSv3!$D$12,CVSSv3!$D$25,(IF(G527=CVSSv3!$E$12,CVSSv3!$E$25,(IF(G527=CVSSv3!$F$12,CVSSv3!$F$25,""))))))))*(IF(G528=CVSSv3!$C$13,CVSSv3!$C$26,(IF(G528=CVSSv3!$D$13,CVSSv3!$D$26,(IF(G528=CVSSv3!$E$13,CVSSv3!$E$26,(IF(G528=CVSSv3!$F$13,CVSSv3!$F$26,""))))))))*(IF(G529=CVSSv3!$C$14,CVSSv3!$C$27,(IF(G529=CVSSv3!$D$14,CVSSv3!$D$27,(IF(G529=CVSSv3!$E$14,CVSSv3!$E$27,""))))))),1)</f>
        <v>#VALUE!</v>
      </c>
      <c r="I519" s="87">
        <v>0</v>
      </c>
      <c r="J519" s="87">
        <v>0</v>
      </c>
      <c r="K519" s="83" t="s">
        <v>14</v>
      </c>
      <c r="L519" s="83" t="s">
        <v>14</v>
      </c>
      <c r="M519" s="83" t="s">
        <v>16</v>
      </c>
    </row>
    <row r="520" spans="1:13" ht="15.75" x14ac:dyDescent="0.2">
      <c r="A520" s="85"/>
      <c r="B520" s="83"/>
      <c r="C520" s="83"/>
      <c r="D520" s="83"/>
      <c r="E520" s="83"/>
      <c r="F520" s="7" t="str">
        <f>CVSSv3!$A$5</f>
        <v>Attack Complexity</v>
      </c>
      <c r="G520" s="8" t="s">
        <v>32</v>
      </c>
      <c r="H520" s="86"/>
      <c r="I520" s="87"/>
      <c r="J520" s="87"/>
      <c r="K520" s="83"/>
      <c r="L520" s="83"/>
      <c r="M520" s="83"/>
    </row>
    <row r="521" spans="1:13" ht="15.75" x14ac:dyDescent="0.2">
      <c r="A521" s="85"/>
      <c r="B521" s="83"/>
      <c r="C521" s="83"/>
      <c r="D521" s="83"/>
      <c r="E521" s="83"/>
      <c r="F521" s="7" t="str">
        <f>CVSSv3!$A$6</f>
        <v>Privilege Required</v>
      </c>
      <c r="G521" s="8" t="s">
        <v>33</v>
      </c>
      <c r="H521" s="86"/>
      <c r="I521" s="87"/>
      <c r="J521" s="87"/>
      <c r="K521" s="83"/>
      <c r="L521" s="83"/>
      <c r="M521" s="83"/>
    </row>
    <row r="522" spans="1:13" ht="15.75" x14ac:dyDescent="0.2">
      <c r="A522" s="85"/>
      <c r="B522" s="83"/>
      <c r="C522" s="83"/>
      <c r="D522" s="83"/>
      <c r="E522" s="83"/>
      <c r="F522" s="7" t="str">
        <f>CVSSv3!$A$7</f>
        <v>User Interaction</v>
      </c>
      <c r="G522" s="8" t="s">
        <v>34</v>
      </c>
      <c r="H522" s="86"/>
      <c r="I522" s="87"/>
      <c r="J522" s="87"/>
      <c r="K522" s="83"/>
      <c r="L522" s="83"/>
      <c r="M522" s="83"/>
    </row>
    <row r="523" spans="1:13" ht="15.75" x14ac:dyDescent="0.2">
      <c r="A523" s="85"/>
      <c r="B523" s="83"/>
      <c r="C523" s="83"/>
      <c r="D523" s="83"/>
      <c r="E523" s="83"/>
      <c r="F523" s="7" t="str">
        <f>CVSSv3!$A$8</f>
        <v>Scope</v>
      </c>
      <c r="G523" s="8" t="s">
        <v>35</v>
      </c>
      <c r="H523" s="86"/>
      <c r="I523" s="87"/>
      <c r="J523" s="87"/>
      <c r="K523" s="83"/>
      <c r="L523" s="83"/>
      <c r="M523" s="83"/>
    </row>
    <row r="524" spans="1:13" ht="15.75" x14ac:dyDescent="0.2">
      <c r="A524" s="85"/>
      <c r="B524" s="83"/>
      <c r="C524" s="83"/>
      <c r="D524" s="83"/>
      <c r="E524" s="83"/>
      <c r="F524" s="7" t="str">
        <f>CVSSv3!$A$9</f>
        <v>Confidentiality Impact</v>
      </c>
      <c r="G524" s="8" t="s">
        <v>36</v>
      </c>
      <c r="H524" s="86"/>
      <c r="I524" s="87"/>
      <c r="J524" s="87"/>
      <c r="K524" s="83"/>
      <c r="L524" s="83"/>
      <c r="M524" s="83"/>
    </row>
    <row r="525" spans="1:13" ht="15.75" x14ac:dyDescent="0.2">
      <c r="A525" s="85"/>
      <c r="B525" s="83"/>
      <c r="C525" s="83"/>
      <c r="D525" s="83"/>
      <c r="E525" s="83"/>
      <c r="F525" s="7" t="str">
        <f>CVSSv3!$A$10</f>
        <v>Integrity Impact</v>
      </c>
      <c r="G525" s="8" t="s">
        <v>36</v>
      </c>
      <c r="H525" s="86"/>
      <c r="I525" s="87"/>
      <c r="J525" s="87"/>
      <c r="K525" s="83"/>
      <c r="L525" s="83"/>
      <c r="M525" s="83"/>
    </row>
    <row r="526" spans="1:13" ht="15.75" x14ac:dyDescent="0.2">
      <c r="A526" s="85"/>
      <c r="B526" s="83"/>
      <c r="C526" s="83"/>
      <c r="D526" s="83"/>
      <c r="E526" s="83"/>
      <c r="F526" s="7" t="str">
        <f>CVSSv3!$A$11</f>
        <v>Availability Impact</v>
      </c>
      <c r="G526" s="8" t="s">
        <v>36</v>
      </c>
      <c r="H526" s="86"/>
      <c r="I526" s="87"/>
      <c r="J526" s="87"/>
      <c r="K526" s="83"/>
      <c r="L526" s="83"/>
      <c r="M526" s="83"/>
    </row>
    <row r="527" spans="1:13" ht="15.75" x14ac:dyDescent="0.2">
      <c r="A527" s="85"/>
      <c r="B527" s="83"/>
      <c r="C527" s="83"/>
      <c r="D527" s="83"/>
      <c r="E527" s="83"/>
      <c r="F527" s="7" t="str">
        <f>CVSSv3!$A$12</f>
        <v>Exploit Code Maturity</v>
      </c>
      <c r="G527" s="8" t="s">
        <v>32</v>
      </c>
      <c r="H527" s="86"/>
      <c r="I527" s="87"/>
      <c r="J527" s="87"/>
      <c r="K527" s="83"/>
      <c r="L527" s="83"/>
      <c r="M527" s="83"/>
    </row>
    <row r="528" spans="1:13" ht="15.75" x14ac:dyDescent="0.2">
      <c r="A528" s="85"/>
      <c r="B528" s="83"/>
      <c r="C528" s="83"/>
      <c r="D528" s="83"/>
      <c r="E528" s="83"/>
      <c r="F528" s="7" t="str">
        <f>CVSSv3!$A$13</f>
        <v>Remediation Level</v>
      </c>
      <c r="G528" s="8" t="s">
        <v>37</v>
      </c>
      <c r="H528" s="86"/>
      <c r="I528" s="87"/>
      <c r="J528" s="87"/>
      <c r="K528" s="83"/>
      <c r="L528" s="83"/>
      <c r="M528" s="83"/>
    </row>
    <row r="529" spans="1:13" ht="15.75" x14ac:dyDescent="0.2">
      <c r="A529" s="85"/>
      <c r="B529" s="83"/>
      <c r="C529" s="83"/>
      <c r="D529" s="83"/>
      <c r="E529" s="83"/>
      <c r="F529" s="7" t="str">
        <f>CVSSv3!$A$14</f>
        <v>Report Confidence</v>
      </c>
      <c r="G529" s="8" t="s">
        <v>38</v>
      </c>
      <c r="H529" s="86"/>
      <c r="I529" s="87"/>
      <c r="J529" s="87"/>
      <c r="K529" s="83"/>
      <c r="L529" s="83"/>
      <c r="M529" s="83"/>
    </row>
    <row r="530" spans="1:13" ht="15.75" x14ac:dyDescent="0.2">
      <c r="A530" s="85"/>
      <c r="B530" s="83"/>
      <c r="C530" s="83"/>
      <c r="D530" s="83"/>
      <c r="E530" s="83"/>
      <c r="F530" s="84" t="str">
        <f>"("&amp;CVSSv3!$B$4&amp;":"&amp;IF(G519=CVSSv3!$C$4,CVSSv3!$C$30,IF(G519=CVSSv3!$D$4,CVSSv3!$D$30,IF(G519=CVSSv3!$E$4,CVSSv3!$E$30,IF(G519=CVSSv3!$F$4,CVSSv3!$F$30,""))))&amp;"/"&amp;CVSSv3!$B$5&amp;":"&amp;IF(G520=CVSSv3!$C$5,CVSSv3!$C$31,IF(G520=CVSSv3!$D$5,CVSSv3!$D$31,""))&amp;"/"&amp;CVSSv3!$B$6&amp;":"&amp;IF(G521=CVSSv3!$C$6,CVSSv3!$C$32,IF(G521=CVSSv3!$D$6,CVSSv3!$D$32,IF(G521=CVSSv3!$E$6,CVSSv3!$E$32,"")))&amp;"/"&amp;CVSSv3!$B$7&amp;":"&amp;IF(G522=CVSSv3!$C$7,CVSSv3!$C$33,IF(G522=CVSSv3!$D$7,CVSSv3!$D$33,""))&amp;"/"&amp;CVSSv3!$B$8&amp;":"&amp;IF(G523=CVSSv3!$C$8,CVSSv3!$C$34,IF(G523=CVSSv3!$D$8,CVSSv3!$D$34,""))&amp;"/"&amp;CVSSv3!$B$9&amp;":"&amp;IF(G524=CVSSv3!$C$9,CVSSv3!$C$35,IF(G524=CVSSv3!$D$9,CVSSv3!$D$35,IF(G524=CVSSv3!$E$9,CVSSv3!$E$35,"")))&amp;"/"&amp;CVSSv3!$B$10&amp;":"&amp;IF(G525=CVSSv3!$C$10,CVSSv3!$C$36,IF(G525=CVSSv3!$D$10,CVSSv3!$D$36,IF(G525=CVSSv3!$E$10,CVSSv3!$E$36,"")))&amp;"/"&amp;CVSSv3!$B$11&amp;":"&amp;IF(G526=CVSSv3!$C$11,CVSSv3!$C$37,IF(G526=CVSSv3!$D$11,CVSSv3!$D$37,IF(G526=CVSSv3!$E$11,CVSSv3!$E$37,"")))&amp;"/"&amp;CVSSv3!$B$12&amp;":"&amp;IF(G527=CVSSv3!$C$12,CVSSv3!$C$38,IF(G527=CVSSv3!$D$12,CVSSv3!$D$38,IF(G527=CVSSv3!$E$12,CVSSv3!$E$38,IF(G527=CVSSv3!$F$12,CVSSv3!$F$38,""))))&amp;"/"&amp;CVSSv3!$B$13&amp;":"&amp;IF(G528=CVSSv3!$C$13,CVSSv3!$C$39,IF(G528=CVSSv3!$D$13,CVSSv3!$D$39,IF(G528=CVSSv3!$E$13,CVSSv3!$E$39,IF(G528=CVSSv3!$F$13,CVSSv3!$F$39,""))))&amp;"/"&amp;CVSSv3!$B$14&amp;":"&amp;IF(G529=CVSSv3!$C$14,CVSSv3!$C$40,IF(G529=CVSSv3!$D$14,CVSSv3!$D$40,IF(G529=CVSSv3!$E$14,CVSSv3!$E$40,"")))&amp;")"</f>
        <v>(AV:/AC:/PR:/UI:/S:/C:/I:/A:/E:/RL:/RC:)</v>
      </c>
      <c r="G530" s="84"/>
      <c r="H530" s="86"/>
      <c r="I530" s="87"/>
      <c r="J530" s="87"/>
      <c r="K530" s="83"/>
      <c r="L530" s="83"/>
      <c r="M530" s="83"/>
    </row>
    <row r="531" spans="1:13" ht="15.75" customHeight="1" x14ac:dyDescent="0.25">
      <c r="A531" s="85">
        <v>45</v>
      </c>
      <c r="B531" s="83" t="s">
        <v>75</v>
      </c>
      <c r="C531" s="83" t="s">
        <v>14</v>
      </c>
      <c r="D531" s="83" t="s">
        <v>14</v>
      </c>
      <c r="E531" s="83" t="s">
        <v>14</v>
      </c>
      <c r="F531" s="5" t="str">
        <f>CVSSv3!$A$4</f>
        <v>Attack Vector</v>
      </c>
      <c r="G531" s="6" t="s">
        <v>15</v>
      </c>
      <c r="H531" s="86" t="e">
        <f>ROUNDUP((IF((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lt;=0,0,(IF(G535=CVSSv3!$C$8,ROUNDUP((MIN((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ROUNDUP((MIN(1.08*((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IF(G539=CVSSv3!$C$12,CVSSv3!$C$25,(IF(G539=CVSSv3!$D$12,CVSSv3!$D$25,(IF(G539=CVSSv3!$E$12,CVSSv3!$E$25,(IF(G539=CVSSv3!$F$12,CVSSv3!$F$25,""))))))))*(IF(G540=CVSSv3!$C$13,CVSSv3!$C$26,(IF(G540=CVSSv3!$D$13,CVSSv3!$D$26,(IF(G540=CVSSv3!$E$13,CVSSv3!$E$26,(IF(G540=CVSSv3!$F$13,CVSSv3!$F$26,""))))))))*(IF(G541=CVSSv3!$C$14,CVSSv3!$C$27,(IF(G541=CVSSv3!$D$14,CVSSv3!$D$27,(IF(G541=CVSSv3!$E$14,CVSSv3!$E$27,""))))))),1)</f>
        <v>#VALUE!</v>
      </c>
      <c r="I531" s="87">
        <v>0</v>
      </c>
      <c r="J531" s="87">
        <v>0</v>
      </c>
      <c r="K531" s="83" t="s">
        <v>14</v>
      </c>
      <c r="L531" s="83" t="s">
        <v>14</v>
      </c>
      <c r="M531" s="83" t="s">
        <v>16</v>
      </c>
    </row>
    <row r="532" spans="1:13" ht="15.75" x14ac:dyDescent="0.2">
      <c r="A532" s="85"/>
      <c r="B532" s="83"/>
      <c r="C532" s="83"/>
      <c r="D532" s="83"/>
      <c r="E532" s="83"/>
      <c r="F532" s="7" t="str">
        <f>CVSSv3!$A$5</f>
        <v>Attack Complexity</v>
      </c>
      <c r="G532" s="8" t="s">
        <v>32</v>
      </c>
      <c r="H532" s="86"/>
      <c r="I532" s="87"/>
      <c r="J532" s="87"/>
      <c r="K532" s="83"/>
      <c r="L532" s="83"/>
      <c r="M532" s="83"/>
    </row>
    <row r="533" spans="1:13" ht="15.75" x14ac:dyDescent="0.2">
      <c r="A533" s="85"/>
      <c r="B533" s="83"/>
      <c r="C533" s="83"/>
      <c r="D533" s="83"/>
      <c r="E533" s="83"/>
      <c r="F533" s="7" t="str">
        <f>CVSSv3!$A$6</f>
        <v>Privilege Required</v>
      </c>
      <c r="G533" s="8" t="s">
        <v>33</v>
      </c>
      <c r="H533" s="86"/>
      <c r="I533" s="87"/>
      <c r="J533" s="87"/>
      <c r="K533" s="83"/>
      <c r="L533" s="83"/>
      <c r="M533" s="83"/>
    </row>
    <row r="534" spans="1:13" ht="15.75" x14ac:dyDescent="0.2">
      <c r="A534" s="85"/>
      <c r="B534" s="83"/>
      <c r="C534" s="83"/>
      <c r="D534" s="83"/>
      <c r="E534" s="83"/>
      <c r="F534" s="7" t="str">
        <f>CVSSv3!$A$7</f>
        <v>User Interaction</v>
      </c>
      <c r="G534" s="8" t="s">
        <v>34</v>
      </c>
      <c r="H534" s="86"/>
      <c r="I534" s="87"/>
      <c r="J534" s="87"/>
      <c r="K534" s="83"/>
      <c r="L534" s="83"/>
      <c r="M534" s="83"/>
    </row>
    <row r="535" spans="1:13" ht="15.75" x14ac:dyDescent="0.2">
      <c r="A535" s="85"/>
      <c r="B535" s="83"/>
      <c r="C535" s="83"/>
      <c r="D535" s="83"/>
      <c r="E535" s="83"/>
      <c r="F535" s="7" t="str">
        <f>CVSSv3!$A$8</f>
        <v>Scope</v>
      </c>
      <c r="G535" s="8" t="s">
        <v>35</v>
      </c>
      <c r="H535" s="86"/>
      <c r="I535" s="87"/>
      <c r="J535" s="87"/>
      <c r="K535" s="83"/>
      <c r="L535" s="83"/>
      <c r="M535" s="83"/>
    </row>
    <row r="536" spans="1:13" ht="15.75" x14ac:dyDescent="0.2">
      <c r="A536" s="85"/>
      <c r="B536" s="83"/>
      <c r="C536" s="83"/>
      <c r="D536" s="83"/>
      <c r="E536" s="83"/>
      <c r="F536" s="7" t="str">
        <f>CVSSv3!$A$9</f>
        <v>Confidentiality Impact</v>
      </c>
      <c r="G536" s="8" t="s">
        <v>36</v>
      </c>
      <c r="H536" s="86"/>
      <c r="I536" s="87"/>
      <c r="J536" s="87"/>
      <c r="K536" s="83"/>
      <c r="L536" s="83"/>
      <c r="M536" s="83"/>
    </row>
    <row r="537" spans="1:13" ht="15.75" x14ac:dyDescent="0.2">
      <c r="A537" s="85"/>
      <c r="B537" s="83"/>
      <c r="C537" s="83"/>
      <c r="D537" s="83"/>
      <c r="E537" s="83"/>
      <c r="F537" s="7" t="str">
        <f>CVSSv3!$A$10</f>
        <v>Integrity Impact</v>
      </c>
      <c r="G537" s="8" t="s">
        <v>36</v>
      </c>
      <c r="H537" s="86"/>
      <c r="I537" s="87"/>
      <c r="J537" s="87"/>
      <c r="K537" s="83"/>
      <c r="L537" s="83"/>
      <c r="M537" s="83"/>
    </row>
    <row r="538" spans="1:13" ht="15.75" x14ac:dyDescent="0.2">
      <c r="A538" s="85"/>
      <c r="B538" s="83"/>
      <c r="C538" s="83"/>
      <c r="D538" s="83"/>
      <c r="E538" s="83"/>
      <c r="F538" s="7" t="str">
        <f>CVSSv3!$A$11</f>
        <v>Availability Impact</v>
      </c>
      <c r="G538" s="8" t="s">
        <v>36</v>
      </c>
      <c r="H538" s="86"/>
      <c r="I538" s="87"/>
      <c r="J538" s="87"/>
      <c r="K538" s="83"/>
      <c r="L538" s="83"/>
      <c r="M538" s="83"/>
    </row>
    <row r="539" spans="1:13" ht="15.75" x14ac:dyDescent="0.2">
      <c r="A539" s="85"/>
      <c r="B539" s="83"/>
      <c r="C539" s="83"/>
      <c r="D539" s="83"/>
      <c r="E539" s="83"/>
      <c r="F539" s="7" t="str">
        <f>CVSSv3!$A$12</f>
        <v>Exploit Code Maturity</v>
      </c>
      <c r="G539" s="8" t="s">
        <v>32</v>
      </c>
      <c r="H539" s="86"/>
      <c r="I539" s="87"/>
      <c r="J539" s="87"/>
      <c r="K539" s="83"/>
      <c r="L539" s="83"/>
      <c r="M539" s="83"/>
    </row>
    <row r="540" spans="1:13" ht="15.75" x14ac:dyDescent="0.2">
      <c r="A540" s="85"/>
      <c r="B540" s="83"/>
      <c r="C540" s="83"/>
      <c r="D540" s="83"/>
      <c r="E540" s="83"/>
      <c r="F540" s="7" t="str">
        <f>CVSSv3!$A$13</f>
        <v>Remediation Level</v>
      </c>
      <c r="G540" s="8" t="s">
        <v>37</v>
      </c>
      <c r="H540" s="86"/>
      <c r="I540" s="87"/>
      <c r="J540" s="87"/>
      <c r="K540" s="83"/>
      <c r="L540" s="83"/>
      <c r="M540" s="83"/>
    </row>
    <row r="541" spans="1:13" ht="15.75" x14ac:dyDescent="0.2">
      <c r="A541" s="85"/>
      <c r="B541" s="83"/>
      <c r="C541" s="83"/>
      <c r="D541" s="83"/>
      <c r="E541" s="83"/>
      <c r="F541" s="7" t="str">
        <f>CVSSv3!$A$14</f>
        <v>Report Confidence</v>
      </c>
      <c r="G541" s="8" t="s">
        <v>38</v>
      </c>
      <c r="H541" s="86"/>
      <c r="I541" s="87"/>
      <c r="J541" s="87"/>
      <c r="K541" s="83"/>
      <c r="L541" s="83"/>
      <c r="M541" s="83"/>
    </row>
    <row r="542" spans="1:13" ht="15.75" x14ac:dyDescent="0.2">
      <c r="A542" s="85"/>
      <c r="B542" s="83"/>
      <c r="C542" s="83"/>
      <c r="D542" s="83"/>
      <c r="E542" s="83"/>
      <c r="F542" s="84" t="str">
        <f>"("&amp;CVSSv3!$B$4&amp;":"&amp;IF(G531=CVSSv3!$C$4,CVSSv3!$C$30,IF(G531=CVSSv3!$D$4,CVSSv3!$D$30,IF(G531=CVSSv3!$E$4,CVSSv3!$E$30,IF(G531=CVSSv3!$F$4,CVSSv3!$F$30,""))))&amp;"/"&amp;CVSSv3!$B$5&amp;":"&amp;IF(G532=CVSSv3!$C$5,CVSSv3!$C$31,IF(G532=CVSSv3!$D$5,CVSSv3!$D$31,""))&amp;"/"&amp;CVSSv3!$B$6&amp;":"&amp;IF(G533=CVSSv3!$C$6,CVSSv3!$C$32,IF(G533=CVSSv3!$D$6,CVSSv3!$D$32,IF(G533=CVSSv3!$E$6,CVSSv3!$E$32,"")))&amp;"/"&amp;CVSSv3!$B$7&amp;":"&amp;IF(G534=CVSSv3!$C$7,CVSSv3!$C$33,IF(G534=CVSSv3!$D$7,CVSSv3!$D$33,""))&amp;"/"&amp;CVSSv3!$B$8&amp;":"&amp;IF(G535=CVSSv3!$C$8,CVSSv3!$C$34,IF(G535=CVSSv3!$D$8,CVSSv3!$D$34,""))&amp;"/"&amp;CVSSv3!$B$9&amp;":"&amp;IF(G536=CVSSv3!$C$9,CVSSv3!$C$35,IF(G536=CVSSv3!$D$9,CVSSv3!$D$35,IF(G536=CVSSv3!$E$9,CVSSv3!$E$35,"")))&amp;"/"&amp;CVSSv3!$B$10&amp;":"&amp;IF(G537=CVSSv3!$C$10,CVSSv3!$C$36,IF(G537=CVSSv3!$D$10,CVSSv3!$D$36,IF(G537=CVSSv3!$E$10,CVSSv3!$E$36,"")))&amp;"/"&amp;CVSSv3!$B$11&amp;":"&amp;IF(G538=CVSSv3!$C$11,CVSSv3!$C$37,IF(G538=CVSSv3!$D$11,CVSSv3!$D$37,IF(G538=CVSSv3!$E$11,CVSSv3!$E$37,"")))&amp;"/"&amp;CVSSv3!$B$12&amp;":"&amp;IF(G539=CVSSv3!$C$12,CVSSv3!$C$38,IF(G539=CVSSv3!$D$12,CVSSv3!$D$38,IF(G539=CVSSv3!$E$12,CVSSv3!$E$38,IF(G539=CVSSv3!$F$12,CVSSv3!$F$38,""))))&amp;"/"&amp;CVSSv3!$B$13&amp;":"&amp;IF(G540=CVSSv3!$C$13,CVSSv3!$C$39,IF(G540=CVSSv3!$D$13,CVSSv3!$D$39,IF(G540=CVSSv3!$E$13,CVSSv3!$E$39,IF(G540=CVSSv3!$F$13,CVSSv3!$F$39,""))))&amp;"/"&amp;CVSSv3!$B$14&amp;":"&amp;IF(G541=CVSSv3!$C$14,CVSSv3!$C$40,IF(G541=CVSSv3!$D$14,CVSSv3!$D$40,IF(G541=CVSSv3!$E$14,CVSSv3!$E$40,"")))&amp;")"</f>
        <v>(AV:/AC:/PR:/UI:/S:/C:/I:/A:/E:/RL:/RC:)</v>
      </c>
      <c r="G542" s="84"/>
      <c r="H542" s="86"/>
      <c r="I542" s="87"/>
      <c r="J542" s="87"/>
      <c r="K542" s="83"/>
      <c r="L542" s="83"/>
      <c r="M542" s="83"/>
    </row>
    <row r="543" spans="1:13" ht="15.75" customHeight="1" x14ac:dyDescent="0.25">
      <c r="A543" s="85">
        <v>46</v>
      </c>
      <c r="B543" s="83" t="s">
        <v>76</v>
      </c>
      <c r="C543" s="83" t="s">
        <v>14</v>
      </c>
      <c r="D543" s="83" t="s">
        <v>14</v>
      </c>
      <c r="E543" s="83" t="s">
        <v>14</v>
      </c>
      <c r="F543" s="5" t="str">
        <f>CVSSv3!$A$4</f>
        <v>Attack Vector</v>
      </c>
      <c r="G543" s="6" t="s">
        <v>15</v>
      </c>
      <c r="H543" s="86" t="e">
        <f>ROUNDUP((IF((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lt;=0,0,(IF(G547=CVSSv3!$C$8,ROUNDUP((MIN((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ROUNDUP((MIN(1.08*((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IF(G551=CVSSv3!$C$12,CVSSv3!$C$25,(IF(G551=CVSSv3!$D$12,CVSSv3!$D$25,(IF(G551=CVSSv3!$E$12,CVSSv3!$E$25,(IF(G551=CVSSv3!$F$12,CVSSv3!$F$25,""))))))))*(IF(G552=CVSSv3!$C$13,CVSSv3!$C$26,(IF(G552=CVSSv3!$D$13,CVSSv3!$D$26,(IF(G552=CVSSv3!$E$13,CVSSv3!$E$26,(IF(G552=CVSSv3!$F$13,CVSSv3!$F$26,""))))))))*(IF(G553=CVSSv3!$C$14,CVSSv3!$C$27,(IF(G553=CVSSv3!$D$14,CVSSv3!$D$27,(IF(G553=CVSSv3!$E$14,CVSSv3!$E$27,""))))))),1)</f>
        <v>#VALUE!</v>
      </c>
      <c r="I543" s="87">
        <v>0</v>
      </c>
      <c r="J543" s="87">
        <v>0</v>
      </c>
      <c r="K543" s="83" t="s">
        <v>14</v>
      </c>
      <c r="L543" s="83" t="s">
        <v>14</v>
      </c>
      <c r="M543" s="83" t="s">
        <v>16</v>
      </c>
    </row>
    <row r="544" spans="1:13" ht="15.75" x14ac:dyDescent="0.2">
      <c r="A544" s="85"/>
      <c r="B544" s="83"/>
      <c r="C544" s="83"/>
      <c r="D544" s="83"/>
      <c r="E544" s="83"/>
      <c r="F544" s="7" t="str">
        <f>CVSSv3!$A$5</f>
        <v>Attack Complexity</v>
      </c>
      <c r="G544" s="8" t="s">
        <v>32</v>
      </c>
      <c r="H544" s="86"/>
      <c r="I544" s="87"/>
      <c r="J544" s="87"/>
      <c r="K544" s="83"/>
      <c r="L544" s="83"/>
      <c r="M544" s="83"/>
    </row>
    <row r="545" spans="1:13" ht="15.75" x14ac:dyDescent="0.2">
      <c r="A545" s="85"/>
      <c r="B545" s="83"/>
      <c r="C545" s="83"/>
      <c r="D545" s="83"/>
      <c r="E545" s="83"/>
      <c r="F545" s="7" t="str">
        <f>CVSSv3!$A$6</f>
        <v>Privilege Required</v>
      </c>
      <c r="G545" s="8" t="s">
        <v>33</v>
      </c>
      <c r="H545" s="86"/>
      <c r="I545" s="87"/>
      <c r="J545" s="87"/>
      <c r="K545" s="83"/>
      <c r="L545" s="83"/>
      <c r="M545" s="83"/>
    </row>
    <row r="546" spans="1:13" ht="15.75" x14ac:dyDescent="0.2">
      <c r="A546" s="85"/>
      <c r="B546" s="83"/>
      <c r="C546" s="83"/>
      <c r="D546" s="83"/>
      <c r="E546" s="83"/>
      <c r="F546" s="7" t="str">
        <f>CVSSv3!$A$7</f>
        <v>User Interaction</v>
      </c>
      <c r="G546" s="8" t="s">
        <v>34</v>
      </c>
      <c r="H546" s="86"/>
      <c r="I546" s="87"/>
      <c r="J546" s="87"/>
      <c r="K546" s="83"/>
      <c r="L546" s="83"/>
      <c r="M546" s="83"/>
    </row>
    <row r="547" spans="1:13" ht="15.75" x14ac:dyDescent="0.2">
      <c r="A547" s="85"/>
      <c r="B547" s="83"/>
      <c r="C547" s="83"/>
      <c r="D547" s="83"/>
      <c r="E547" s="83"/>
      <c r="F547" s="7" t="str">
        <f>CVSSv3!$A$8</f>
        <v>Scope</v>
      </c>
      <c r="G547" s="8" t="s">
        <v>35</v>
      </c>
      <c r="H547" s="86"/>
      <c r="I547" s="87"/>
      <c r="J547" s="87"/>
      <c r="K547" s="83"/>
      <c r="L547" s="83"/>
      <c r="M547" s="83"/>
    </row>
    <row r="548" spans="1:13" ht="15.75" x14ac:dyDescent="0.2">
      <c r="A548" s="85"/>
      <c r="B548" s="83"/>
      <c r="C548" s="83"/>
      <c r="D548" s="83"/>
      <c r="E548" s="83"/>
      <c r="F548" s="7" t="str">
        <f>CVSSv3!$A$9</f>
        <v>Confidentiality Impact</v>
      </c>
      <c r="G548" s="8" t="s">
        <v>36</v>
      </c>
      <c r="H548" s="86"/>
      <c r="I548" s="87"/>
      <c r="J548" s="87"/>
      <c r="K548" s="83"/>
      <c r="L548" s="83"/>
      <c r="M548" s="83"/>
    </row>
    <row r="549" spans="1:13" ht="15.75" x14ac:dyDescent="0.2">
      <c r="A549" s="85"/>
      <c r="B549" s="83"/>
      <c r="C549" s="83"/>
      <c r="D549" s="83"/>
      <c r="E549" s="83"/>
      <c r="F549" s="7" t="str">
        <f>CVSSv3!$A$10</f>
        <v>Integrity Impact</v>
      </c>
      <c r="G549" s="8" t="s">
        <v>36</v>
      </c>
      <c r="H549" s="86"/>
      <c r="I549" s="87"/>
      <c r="J549" s="87"/>
      <c r="K549" s="83"/>
      <c r="L549" s="83"/>
      <c r="M549" s="83"/>
    </row>
    <row r="550" spans="1:13" ht="15.75" x14ac:dyDescent="0.2">
      <c r="A550" s="85"/>
      <c r="B550" s="83"/>
      <c r="C550" s="83"/>
      <c r="D550" s="83"/>
      <c r="E550" s="83"/>
      <c r="F550" s="7" t="str">
        <f>CVSSv3!$A$11</f>
        <v>Availability Impact</v>
      </c>
      <c r="G550" s="8" t="s">
        <v>36</v>
      </c>
      <c r="H550" s="86"/>
      <c r="I550" s="87"/>
      <c r="J550" s="87"/>
      <c r="K550" s="83"/>
      <c r="L550" s="83"/>
      <c r="M550" s="83"/>
    </row>
    <row r="551" spans="1:13" ht="15.75" x14ac:dyDescent="0.2">
      <c r="A551" s="85"/>
      <c r="B551" s="83"/>
      <c r="C551" s="83"/>
      <c r="D551" s="83"/>
      <c r="E551" s="83"/>
      <c r="F551" s="7" t="str">
        <f>CVSSv3!$A$12</f>
        <v>Exploit Code Maturity</v>
      </c>
      <c r="G551" s="8" t="s">
        <v>32</v>
      </c>
      <c r="H551" s="86"/>
      <c r="I551" s="87"/>
      <c r="J551" s="87"/>
      <c r="K551" s="83"/>
      <c r="L551" s="83"/>
      <c r="M551" s="83"/>
    </row>
    <row r="552" spans="1:13" ht="15.75" x14ac:dyDescent="0.2">
      <c r="A552" s="85"/>
      <c r="B552" s="83"/>
      <c r="C552" s="83"/>
      <c r="D552" s="83"/>
      <c r="E552" s="83"/>
      <c r="F552" s="7" t="str">
        <f>CVSSv3!$A$13</f>
        <v>Remediation Level</v>
      </c>
      <c r="G552" s="8" t="s">
        <v>37</v>
      </c>
      <c r="H552" s="86"/>
      <c r="I552" s="87"/>
      <c r="J552" s="87"/>
      <c r="K552" s="83"/>
      <c r="L552" s="83"/>
      <c r="M552" s="83"/>
    </row>
    <row r="553" spans="1:13" ht="15.75" x14ac:dyDescent="0.2">
      <c r="A553" s="85"/>
      <c r="B553" s="83"/>
      <c r="C553" s="83"/>
      <c r="D553" s="83"/>
      <c r="E553" s="83"/>
      <c r="F553" s="7" t="str">
        <f>CVSSv3!$A$14</f>
        <v>Report Confidence</v>
      </c>
      <c r="G553" s="8" t="s">
        <v>38</v>
      </c>
      <c r="H553" s="86"/>
      <c r="I553" s="87"/>
      <c r="J553" s="87"/>
      <c r="K553" s="83"/>
      <c r="L553" s="83"/>
      <c r="M553" s="83"/>
    </row>
    <row r="554" spans="1:13" ht="15.75" x14ac:dyDescent="0.2">
      <c r="A554" s="85"/>
      <c r="B554" s="83"/>
      <c r="C554" s="83"/>
      <c r="D554" s="83"/>
      <c r="E554" s="83"/>
      <c r="F554" s="84" t="str">
        <f>"("&amp;CVSSv3!$B$4&amp;":"&amp;IF(G543=CVSSv3!$C$4,CVSSv3!$C$30,IF(G543=CVSSv3!$D$4,CVSSv3!$D$30,IF(G543=CVSSv3!$E$4,CVSSv3!$E$30,IF(G543=CVSSv3!$F$4,CVSSv3!$F$30,""))))&amp;"/"&amp;CVSSv3!$B$5&amp;":"&amp;IF(G544=CVSSv3!$C$5,CVSSv3!$C$31,IF(G544=CVSSv3!$D$5,CVSSv3!$D$31,""))&amp;"/"&amp;CVSSv3!$B$6&amp;":"&amp;IF(G545=CVSSv3!$C$6,CVSSv3!$C$32,IF(G545=CVSSv3!$D$6,CVSSv3!$D$32,IF(G545=CVSSv3!$E$6,CVSSv3!$E$32,"")))&amp;"/"&amp;CVSSv3!$B$7&amp;":"&amp;IF(G546=CVSSv3!$C$7,CVSSv3!$C$33,IF(G546=CVSSv3!$D$7,CVSSv3!$D$33,""))&amp;"/"&amp;CVSSv3!$B$8&amp;":"&amp;IF(G547=CVSSv3!$C$8,CVSSv3!$C$34,IF(G547=CVSSv3!$D$8,CVSSv3!$D$34,""))&amp;"/"&amp;CVSSv3!$B$9&amp;":"&amp;IF(G548=CVSSv3!$C$9,CVSSv3!$C$35,IF(G548=CVSSv3!$D$9,CVSSv3!$D$35,IF(G548=CVSSv3!$E$9,CVSSv3!$E$35,"")))&amp;"/"&amp;CVSSv3!$B$10&amp;":"&amp;IF(G549=CVSSv3!$C$10,CVSSv3!$C$36,IF(G549=CVSSv3!$D$10,CVSSv3!$D$36,IF(G549=CVSSv3!$E$10,CVSSv3!$E$36,"")))&amp;"/"&amp;CVSSv3!$B$11&amp;":"&amp;IF(G550=CVSSv3!$C$11,CVSSv3!$C$37,IF(G550=CVSSv3!$D$11,CVSSv3!$D$37,IF(G550=CVSSv3!$E$11,CVSSv3!$E$37,"")))&amp;"/"&amp;CVSSv3!$B$12&amp;":"&amp;IF(G551=CVSSv3!$C$12,CVSSv3!$C$38,IF(G551=CVSSv3!$D$12,CVSSv3!$D$38,IF(G551=CVSSv3!$E$12,CVSSv3!$E$38,IF(G551=CVSSv3!$F$12,CVSSv3!$F$38,""))))&amp;"/"&amp;CVSSv3!$B$13&amp;":"&amp;IF(G552=CVSSv3!$C$13,CVSSv3!$C$39,IF(G552=CVSSv3!$D$13,CVSSv3!$D$39,IF(G552=CVSSv3!$E$13,CVSSv3!$E$39,IF(G552=CVSSv3!$F$13,CVSSv3!$F$39,""))))&amp;"/"&amp;CVSSv3!$B$14&amp;":"&amp;IF(G553=CVSSv3!$C$14,CVSSv3!$C$40,IF(G553=CVSSv3!$D$14,CVSSv3!$D$40,IF(G553=CVSSv3!$E$14,CVSSv3!$E$40,"")))&amp;")"</f>
        <v>(AV:/AC:/PR:/UI:/S:/C:/I:/A:/E:/RL:/RC:)</v>
      </c>
      <c r="G554" s="84"/>
      <c r="H554" s="86"/>
      <c r="I554" s="87"/>
      <c r="J554" s="87"/>
      <c r="K554" s="83"/>
      <c r="L554" s="83"/>
      <c r="M554" s="83"/>
    </row>
    <row r="555" spans="1:13" ht="15.75" customHeight="1" x14ac:dyDescent="0.25">
      <c r="A555" s="85">
        <v>47</v>
      </c>
      <c r="B555" s="83" t="s">
        <v>77</v>
      </c>
      <c r="C555" s="83" t="s">
        <v>14</v>
      </c>
      <c r="D555" s="83" t="s">
        <v>14</v>
      </c>
      <c r="E555" s="83" t="s">
        <v>14</v>
      </c>
      <c r="F555" s="5" t="str">
        <f>CVSSv3!$A$4</f>
        <v>Attack Vector</v>
      </c>
      <c r="G555" s="6" t="s">
        <v>15</v>
      </c>
      <c r="H555" s="86" t="e">
        <f>ROUNDUP((IF((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lt;=0,0,(IF(G559=CVSSv3!$C$8,ROUNDUP((MIN((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ROUNDUP((MIN(1.08*((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IF(G563=CVSSv3!$C$12,CVSSv3!$C$25,(IF(G563=CVSSv3!$D$12,CVSSv3!$D$25,(IF(G563=CVSSv3!$E$12,CVSSv3!$E$25,(IF(G563=CVSSv3!$F$12,CVSSv3!$F$25,""))))))))*(IF(G564=CVSSv3!$C$13,CVSSv3!$C$26,(IF(G564=CVSSv3!$D$13,CVSSv3!$D$26,(IF(G564=CVSSv3!$E$13,CVSSv3!$E$26,(IF(G564=CVSSv3!$F$13,CVSSv3!$F$26,""))))))))*(IF(G565=CVSSv3!$C$14,CVSSv3!$C$27,(IF(G565=CVSSv3!$D$14,CVSSv3!$D$27,(IF(G565=CVSSv3!$E$14,CVSSv3!$E$27,""))))))),1)</f>
        <v>#VALUE!</v>
      </c>
      <c r="I555" s="87">
        <v>0</v>
      </c>
      <c r="J555" s="87">
        <v>0</v>
      </c>
      <c r="K555" s="83" t="s">
        <v>14</v>
      </c>
      <c r="L555" s="83" t="s">
        <v>14</v>
      </c>
      <c r="M555" s="83" t="s">
        <v>16</v>
      </c>
    </row>
    <row r="556" spans="1:13" ht="15.75" x14ac:dyDescent="0.2">
      <c r="A556" s="85"/>
      <c r="B556" s="83"/>
      <c r="C556" s="83"/>
      <c r="D556" s="83"/>
      <c r="E556" s="83"/>
      <c r="F556" s="7" t="str">
        <f>CVSSv3!$A$5</f>
        <v>Attack Complexity</v>
      </c>
      <c r="G556" s="8" t="s">
        <v>32</v>
      </c>
      <c r="H556" s="86"/>
      <c r="I556" s="87"/>
      <c r="J556" s="87"/>
      <c r="K556" s="83"/>
      <c r="L556" s="83"/>
      <c r="M556" s="83"/>
    </row>
    <row r="557" spans="1:13" ht="15.75" x14ac:dyDescent="0.2">
      <c r="A557" s="85"/>
      <c r="B557" s="83"/>
      <c r="C557" s="83"/>
      <c r="D557" s="83"/>
      <c r="E557" s="83"/>
      <c r="F557" s="7" t="str">
        <f>CVSSv3!$A$6</f>
        <v>Privilege Required</v>
      </c>
      <c r="G557" s="8" t="s">
        <v>33</v>
      </c>
      <c r="H557" s="86"/>
      <c r="I557" s="87"/>
      <c r="J557" s="87"/>
      <c r="K557" s="83"/>
      <c r="L557" s="83"/>
      <c r="M557" s="83"/>
    </row>
    <row r="558" spans="1:13" ht="15.75" x14ac:dyDescent="0.2">
      <c r="A558" s="85"/>
      <c r="B558" s="83"/>
      <c r="C558" s="83"/>
      <c r="D558" s="83"/>
      <c r="E558" s="83"/>
      <c r="F558" s="7" t="str">
        <f>CVSSv3!$A$7</f>
        <v>User Interaction</v>
      </c>
      <c r="G558" s="8" t="s">
        <v>34</v>
      </c>
      <c r="H558" s="86"/>
      <c r="I558" s="87"/>
      <c r="J558" s="87"/>
      <c r="K558" s="83"/>
      <c r="L558" s="83"/>
      <c r="M558" s="83"/>
    </row>
    <row r="559" spans="1:13" ht="15.75" x14ac:dyDescent="0.2">
      <c r="A559" s="85"/>
      <c r="B559" s="83"/>
      <c r="C559" s="83"/>
      <c r="D559" s="83"/>
      <c r="E559" s="83"/>
      <c r="F559" s="7" t="str">
        <f>CVSSv3!$A$8</f>
        <v>Scope</v>
      </c>
      <c r="G559" s="8" t="s">
        <v>35</v>
      </c>
      <c r="H559" s="86"/>
      <c r="I559" s="87"/>
      <c r="J559" s="87"/>
      <c r="K559" s="83"/>
      <c r="L559" s="83"/>
      <c r="M559" s="83"/>
    </row>
    <row r="560" spans="1:13" ht="15.75" x14ac:dyDescent="0.2">
      <c r="A560" s="85"/>
      <c r="B560" s="83"/>
      <c r="C560" s="83"/>
      <c r="D560" s="83"/>
      <c r="E560" s="83"/>
      <c r="F560" s="7" t="str">
        <f>CVSSv3!$A$9</f>
        <v>Confidentiality Impact</v>
      </c>
      <c r="G560" s="8" t="s">
        <v>36</v>
      </c>
      <c r="H560" s="86"/>
      <c r="I560" s="87"/>
      <c r="J560" s="87"/>
      <c r="K560" s="83"/>
      <c r="L560" s="83"/>
      <c r="M560" s="83"/>
    </row>
    <row r="561" spans="1:13" ht="15.75" x14ac:dyDescent="0.2">
      <c r="A561" s="85"/>
      <c r="B561" s="83"/>
      <c r="C561" s="83"/>
      <c r="D561" s="83"/>
      <c r="E561" s="83"/>
      <c r="F561" s="7" t="str">
        <f>CVSSv3!$A$10</f>
        <v>Integrity Impact</v>
      </c>
      <c r="G561" s="8" t="s">
        <v>36</v>
      </c>
      <c r="H561" s="86"/>
      <c r="I561" s="87"/>
      <c r="J561" s="87"/>
      <c r="K561" s="83"/>
      <c r="L561" s="83"/>
      <c r="M561" s="83"/>
    </row>
    <row r="562" spans="1:13" ht="15.75" x14ac:dyDescent="0.2">
      <c r="A562" s="85"/>
      <c r="B562" s="83"/>
      <c r="C562" s="83"/>
      <c r="D562" s="83"/>
      <c r="E562" s="83"/>
      <c r="F562" s="7" t="str">
        <f>CVSSv3!$A$11</f>
        <v>Availability Impact</v>
      </c>
      <c r="G562" s="8" t="s">
        <v>36</v>
      </c>
      <c r="H562" s="86"/>
      <c r="I562" s="87"/>
      <c r="J562" s="87"/>
      <c r="K562" s="83"/>
      <c r="L562" s="83"/>
      <c r="M562" s="83"/>
    </row>
    <row r="563" spans="1:13" ht="15.75" x14ac:dyDescent="0.2">
      <c r="A563" s="85"/>
      <c r="B563" s="83"/>
      <c r="C563" s="83"/>
      <c r="D563" s="83"/>
      <c r="E563" s="83"/>
      <c r="F563" s="7" t="str">
        <f>CVSSv3!$A$12</f>
        <v>Exploit Code Maturity</v>
      </c>
      <c r="G563" s="8" t="s">
        <v>32</v>
      </c>
      <c r="H563" s="86"/>
      <c r="I563" s="87"/>
      <c r="J563" s="87"/>
      <c r="K563" s="83"/>
      <c r="L563" s="83"/>
      <c r="M563" s="83"/>
    </row>
    <row r="564" spans="1:13" ht="15.75" x14ac:dyDescent="0.2">
      <c r="A564" s="85"/>
      <c r="B564" s="83"/>
      <c r="C564" s="83"/>
      <c r="D564" s="83"/>
      <c r="E564" s="83"/>
      <c r="F564" s="7" t="str">
        <f>CVSSv3!$A$13</f>
        <v>Remediation Level</v>
      </c>
      <c r="G564" s="8" t="s">
        <v>37</v>
      </c>
      <c r="H564" s="86"/>
      <c r="I564" s="87"/>
      <c r="J564" s="87"/>
      <c r="K564" s="83"/>
      <c r="L564" s="83"/>
      <c r="M564" s="83"/>
    </row>
    <row r="565" spans="1:13" ht="15.75" x14ac:dyDescent="0.2">
      <c r="A565" s="85"/>
      <c r="B565" s="83"/>
      <c r="C565" s="83"/>
      <c r="D565" s="83"/>
      <c r="E565" s="83"/>
      <c r="F565" s="7" t="str">
        <f>CVSSv3!$A$14</f>
        <v>Report Confidence</v>
      </c>
      <c r="G565" s="8" t="s">
        <v>38</v>
      </c>
      <c r="H565" s="86"/>
      <c r="I565" s="87"/>
      <c r="J565" s="87"/>
      <c r="K565" s="83"/>
      <c r="L565" s="83"/>
      <c r="M565" s="83"/>
    </row>
    <row r="566" spans="1:13" ht="15.75" x14ac:dyDescent="0.2">
      <c r="A566" s="85"/>
      <c r="B566" s="83"/>
      <c r="C566" s="83"/>
      <c r="D566" s="83"/>
      <c r="E566" s="83"/>
      <c r="F566" s="84" t="str">
        <f>"("&amp;CVSSv3!$B$4&amp;":"&amp;IF(G555=CVSSv3!$C$4,CVSSv3!$C$30,IF(G555=CVSSv3!$D$4,CVSSv3!$D$30,IF(G555=CVSSv3!$E$4,CVSSv3!$E$30,IF(G555=CVSSv3!$F$4,CVSSv3!$F$30,""))))&amp;"/"&amp;CVSSv3!$B$5&amp;":"&amp;IF(G556=CVSSv3!$C$5,CVSSv3!$C$31,IF(G556=CVSSv3!$D$5,CVSSv3!$D$31,""))&amp;"/"&amp;CVSSv3!$B$6&amp;":"&amp;IF(G557=CVSSv3!$C$6,CVSSv3!$C$32,IF(G557=CVSSv3!$D$6,CVSSv3!$D$32,IF(G557=CVSSv3!$E$6,CVSSv3!$E$32,"")))&amp;"/"&amp;CVSSv3!$B$7&amp;":"&amp;IF(G558=CVSSv3!$C$7,CVSSv3!$C$33,IF(G558=CVSSv3!$D$7,CVSSv3!$D$33,""))&amp;"/"&amp;CVSSv3!$B$8&amp;":"&amp;IF(G559=CVSSv3!$C$8,CVSSv3!$C$34,IF(G559=CVSSv3!$D$8,CVSSv3!$D$34,""))&amp;"/"&amp;CVSSv3!$B$9&amp;":"&amp;IF(G560=CVSSv3!$C$9,CVSSv3!$C$35,IF(G560=CVSSv3!$D$9,CVSSv3!$D$35,IF(G560=CVSSv3!$E$9,CVSSv3!$E$35,"")))&amp;"/"&amp;CVSSv3!$B$10&amp;":"&amp;IF(G561=CVSSv3!$C$10,CVSSv3!$C$36,IF(G561=CVSSv3!$D$10,CVSSv3!$D$36,IF(G561=CVSSv3!$E$10,CVSSv3!$E$36,"")))&amp;"/"&amp;CVSSv3!$B$11&amp;":"&amp;IF(G562=CVSSv3!$C$11,CVSSv3!$C$37,IF(G562=CVSSv3!$D$11,CVSSv3!$D$37,IF(G562=CVSSv3!$E$11,CVSSv3!$E$37,"")))&amp;"/"&amp;CVSSv3!$B$12&amp;":"&amp;IF(G563=CVSSv3!$C$12,CVSSv3!$C$38,IF(G563=CVSSv3!$D$12,CVSSv3!$D$38,IF(G563=CVSSv3!$E$12,CVSSv3!$E$38,IF(G563=CVSSv3!$F$12,CVSSv3!$F$38,""))))&amp;"/"&amp;CVSSv3!$B$13&amp;":"&amp;IF(G564=CVSSv3!$C$13,CVSSv3!$C$39,IF(G564=CVSSv3!$D$13,CVSSv3!$D$39,IF(G564=CVSSv3!$E$13,CVSSv3!$E$39,IF(G564=CVSSv3!$F$13,CVSSv3!$F$39,""))))&amp;"/"&amp;CVSSv3!$B$14&amp;":"&amp;IF(G565=CVSSv3!$C$14,CVSSv3!$C$40,IF(G565=CVSSv3!$D$14,CVSSv3!$D$40,IF(G565=CVSSv3!$E$14,CVSSv3!$E$40,"")))&amp;")"</f>
        <v>(AV:/AC:/PR:/UI:/S:/C:/I:/A:/E:/RL:/RC:)</v>
      </c>
      <c r="G566" s="84"/>
      <c r="H566" s="86"/>
      <c r="I566" s="87"/>
      <c r="J566" s="87"/>
      <c r="K566" s="83"/>
      <c r="L566" s="83"/>
      <c r="M566" s="83"/>
    </row>
    <row r="567" spans="1:13" ht="15.75" customHeight="1" x14ac:dyDescent="0.25">
      <c r="A567" s="85">
        <v>48</v>
      </c>
      <c r="B567" s="83" t="s">
        <v>78</v>
      </c>
      <c r="C567" s="83" t="s">
        <v>14</v>
      </c>
      <c r="D567" s="83" t="s">
        <v>14</v>
      </c>
      <c r="E567" s="83" t="s">
        <v>14</v>
      </c>
      <c r="F567" s="5" t="str">
        <f>CVSSv3!$A$4</f>
        <v>Attack Vector</v>
      </c>
      <c r="G567" s="6" t="s">
        <v>15</v>
      </c>
      <c r="H567" s="86" t="e">
        <f>ROUNDUP((IF((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lt;=0,0,(IF(G571=CVSSv3!$C$8,ROUNDUP((MIN((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ROUNDUP((MIN(1.08*((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IF(G575=CVSSv3!$C$12,CVSSv3!$C$25,(IF(G575=CVSSv3!$D$12,CVSSv3!$D$25,(IF(G575=CVSSv3!$E$12,CVSSv3!$E$25,(IF(G575=CVSSv3!$F$12,CVSSv3!$F$25,""))))))))*(IF(G576=CVSSv3!$C$13,CVSSv3!$C$26,(IF(G576=CVSSv3!$D$13,CVSSv3!$D$26,(IF(G576=CVSSv3!$E$13,CVSSv3!$E$26,(IF(G576=CVSSv3!$F$13,CVSSv3!$F$26,""))))))))*(IF(G577=CVSSv3!$C$14,CVSSv3!$C$27,(IF(G577=CVSSv3!$D$14,CVSSv3!$D$27,(IF(G577=CVSSv3!$E$14,CVSSv3!$E$27,""))))))),1)</f>
        <v>#VALUE!</v>
      </c>
      <c r="I567" s="87">
        <v>0</v>
      </c>
      <c r="J567" s="87">
        <v>0</v>
      </c>
      <c r="K567" s="83" t="s">
        <v>14</v>
      </c>
      <c r="L567" s="83" t="s">
        <v>14</v>
      </c>
      <c r="M567" s="83" t="s">
        <v>16</v>
      </c>
    </row>
    <row r="568" spans="1:13" ht="15.75" x14ac:dyDescent="0.2">
      <c r="A568" s="85"/>
      <c r="B568" s="83"/>
      <c r="C568" s="83"/>
      <c r="D568" s="83"/>
      <c r="E568" s="83"/>
      <c r="F568" s="7" t="str">
        <f>CVSSv3!$A$5</f>
        <v>Attack Complexity</v>
      </c>
      <c r="G568" s="8" t="s">
        <v>32</v>
      </c>
      <c r="H568" s="86"/>
      <c r="I568" s="87"/>
      <c r="J568" s="87"/>
      <c r="K568" s="83"/>
      <c r="L568" s="83"/>
      <c r="M568" s="83"/>
    </row>
    <row r="569" spans="1:13" ht="15.75" x14ac:dyDescent="0.2">
      <c r="A569" s="85"/>
      <c r="B569" s="83"/>
      <c r="C569" s="83"/>
      <c r="D569" s="83"/>
      <c r="E569" s="83"/>
      <c r="F569" s="7" t="str">
        <f>CVSSv3!$A$6</f>
        <v>Privilege Required</v>
      </c>
      <c r="G569" s="8" t="s">
        <v>33</v>
      </c>
      <c r="H569" s="86"/>
      <c r="I569" s="87"/>
      <c r="J569" s="87"/>
      <c r="K569" s="83"/>
      <c r="L569" s="83"/>
      <c r="M569" s="83"/>
    </row>
    <row r="570" spans="1:13" ht="15.75" x14ac:dyDescent="0.2">
      <c r="A570" s="85"/>
      <c r="B570" s="83"/>
      <c r="C570" s="83"/>
      <c r="D570" s="83"/>
      <c r="E570" s="83"/>
      <c r="F570" s="7" t="str">
        <f>CVSSv3!$A$7</f>
        <v>User Interaction</v>
      </c>
      <c r="G570" s="8" t="s">
        <v>34</v>
      </c>
      <c r="H570" s="86"/>
      <c r="I570" s="87"/>
      <c r="J570" s="87"/>
      <c r="K570" s="83"/>
      <c r="L570" s="83"/>
      <c r="M570" s="83"/>
    </row>
    <row r="571" spans="1:13" ht="15.75" x14ac:dyDescent="0.2">
      <c r="A571" s="85"/>
      <c r="B571" s="83"/>
      <c r="C571" s="83"/>
      <c r="D571" s="83"/>
      <c r="E571" s="83"/>
      <c r="F571" s="7" t="str">
        <f>CVSSv3!$A$8</f>
        <v>Scope</v>
      </c>
      <c r="G571" s="8" t="s">
        <v>35</v>
      </c>
      <c r="H571" s="86"/>
      <c r="I571" s="87"/>
      <c r="J571" s="87"/>
      <c r="K571" s="83"/>
      <c r="L571" s="83"/>
      <c r="M571" s="83"/>
    </row>
    <row r="572" spans="1:13" ht="15.75" x14ac:dyDescent="0.2">
      <c r="A572" s="85"/>
      <c r="B572" s="83"/>
      <c r="C572" s="83"/>
      <c r="D572" s="83"/>
      <c r="E572" s="83"/>
      <c r="F572" s="7" t="str">
        <f>CVSSv3!$A$9</f>
        <v>Confidentiality Impact</v>
      </c>
      <c r="G572" s="8" t="s">
        <v>36</v>
      </c>
      <c r="H572" s="86"/>
      <c r="I572" s="87"/>
      <c r="J572" s="87"/>
      <c r="K572" s="83"/>
      <c r="L572" s="83"/>
      <c r="M572" s="83"/>
    </row>
    <row r="573" spans="1:13" ht="15.75" x14ac:dyDescent="0.2">
      <c r="A573" s="85"/>
      <c r="B573" s="83"/>
      <c r="C573" s="83"/>
      <c r="D573" s="83"/>
      <c r="E573" s="83"/>
      <c r="F573" s="7" t="str">
        <f>CVSSv3!$A$10</f>
        <v>Integrity Impact</v>
      </c>
      <c r="G573" s="8" t="s">
        <v>36</v>
      </c>
      <c r="H573" s="86"/>
      <c r="I573" s="87"/>
      <c r="J573" s="87"/>
      <c r="K573" s="83"/>
      <c r="L573" s="83"/>
      <c r="M573" s="83"/>
    </row>
    <row r="574" spans="1:13" ht="15.75" x14ac:dyDescent="0.2">
      <c r="A574" s="85"/>
      <c r="B574" s="83"/>
      <c r="C574" s="83"/>
      <c r="D574" s="83"/>
      <c r="E574" s="83"/>
      <c r="F574" s="7" t="str">
        <f>CVSSv3!$A$11</f>
        <v>Availability Impact</v>
      </c>
      <c r="G574" s="8" t="s">
        <v>36</v>
      </c>
      <c r="H574" s="86"/>
      <c r="I574" s="87"/>
      <c r="J574" s="87"/>
      <c r="K574" s="83"/>
      <c r="L574" s="83"/>
      <c r="M574" s="83"/>
    </row>
    <row r="575" spans="1:13" ht="15.75" x14ac:dyDescent="0.2">
      <c r="A575" s="85"/>
      <c r="B575" s="83"/>
      <c r="C575" s="83"/>
      <c r="D575" s="83"/>
      <c r="E575" s="83"/>
      <c r="F575" s="7" t="str">
        <f>CVSSv3!$A$12</f>
        <v>Exploit Code Maturity</v>
      </c>
      <c r="G575" s="8" t="s">
        <v>32</v>
      </c>
      <c r="H575" s="86"/>
      <c r="I575" s="87"/>
      <c r="J575" s="87"/>
      <c r="K575" s="83"/>
      <c r="L575" s="83"/>
      <c r="M575" s="83"/>
    </row>
    <row r="576" spans="1:13" ht="15.75" x14ac:dyDescent="0.2">
      <c r="A576" s="85"/>
      <c r="B576" s="83"/>
      <c r="C576" s="83"/>
      <c r="D576" s="83"/>
      <c r="E576" s="83"/>
      <c r="F576" s="7" t="str">
        <f>CVSSv3!$A$13</f>
        <v>Remediation Level</v>
      </c>
      <c r="G576" s="8" t="s">
        <v>37</v>
      </c>
      <c r="H576" s="86"/>
      <c r="I576" s="87"/>
      <c r="J576" s="87"/>
      <c r="K576" s="83"/>
      <c r="L576" s="83"/>
      <c r="M576" s="83"/>
    </row>
    <row r="577" spans="1:13" ht="15.75" x14ac:dyDescent="0.2">
      <c r="A577" s="85"/>
      <c r="B577" s="83"/>
      <c r="C577" s="83"/>
      <c r="D577" s="83"/>
      <c r="E577" s="83"/>
      <c r="F577" s="7" t="str">
        <f>CVSSv3!$A$14</f>
        <v>Report Confidence</v>
      </c>
      <c r="G577" s="8" t="s">
        <v>38</v>
      </c>
      <c r="H577" s="86"/>
      <c r="I577" s="87"/>
      <c r="J577" s="87"/>
      <c r="K577" s="83"/>
      <c r="L577" s="83"/>
      <c r="M577" s="83"/>
    </row>
    <row r="578" spans="1:13" ht="15.75" x14ac:dyDescent="0.2">
      <c r="A578" s="85"/>
      <c r="B578" s="83"/>
      <c r="C578" s="83"/>
      <c r="D578" s="83"/>
      <c r="E578" s="83"/>
      <c r="F578" s="84" t="str">
        <f>"("&amp;CVSSv3!$B$4&amp;":"&amp;IF(G567=CVSSv3!$C$4,CVSSv3!$C$30,IF(G567=CVSSv3!$D$4,CVSSv3!$D$30,IF(G567=CVSSv3!$E$4,CVSSv3!$E$30,IF(G567=CVSSv3!$F$4,CVSSv3!$F$30,""))))&amp;"/"&amp;CVSSv3!$B$5&amp;":"&amp;IF(G568=CVSSv3!$C$5,CVSSv3!$C$31,IF(G568=CVSSv3!$D$5,CVSSv3!$D$31,""))&amp;"/"&amp;CVSSv3!$B$6&amp;":"&amp;IF(G569=CVSSv3!$C$6,CVSSv3!$C$32,IF(G569=CVSSv3!$D$6,CVSSv3!$D$32,IF(G569=CVSSv3!$E$6,CVSSv3!$E$32,"")))&amp;"/"&amp;CVSSv3!$B$7&amp;":"&amp;IF(G570=CVSSv3!$C$7,CVSSv3!$C$33,IF(G570=CVSSv3!$D$7,CVSSv3!$D$33,""))&amp;"/"&amp;CVSSv3!$B$8&amp;":"&amp;IF(G571=CVSSv3!$C$8,CVSSv3!$C$34,IF(G571=CVSSv3!$D$8,CVSSv3!$D$34,""))&amp;"/"&amp;CVSSv3!$B$9&amp;":"&amp;IF(G572=CVSSv3!$C$9,CVSSv3!$C$35,IF(G572=CVSSv3!$D$9,CVSSv3!$D$35,IF(G572=CVSSv3!$E$9,CVSSv3!$E$35,"")))&amp;"/"&amp;CVSSv3!$B$10&amp;":"&amp;IF(G573=CVSSv3!$C$10,CVSSv3!$C$36,IF(G573=CVSSv3!$D$10,CVSSv3!$D$36,IF(G573=CVSSv3!$E$10,CVSSv3!$E$36,"")))&amp;"/"&amp;CVSSv3!$B$11&amp;":"&amp;IF(G574=CVSSv3!$C$11,CVSSv3!$C$37,IF(G574=CVSSv3!$D$11,CVSSv3!$D$37,IF(G574=CVSSv3!$E$11,CVSSv3!$E$37,"")))&amp;"/"&amp;CVSSv3!$B$12&amp;":"&amp;IF(G575=CVSSv3!$C$12,CVSSv3!$C$38,IF(G575=CVSSv3!$D$12,CVSSv3!$D$38,IF(G575=CVSSv3!$E$12,CVSSv3!$E$38,IF(G575=CVSSv3!$F$12,CVSSv3!$F$38,""))))&amp;"/"&amp;CVSSv3!$B$13&amp;":"&amp;IF(G576=CVSSv3!$C$13,CVSSv3!$C$39,IF(G576=CVSSv3!$D$13,CVSSv3!$D$39,IF(G576=CVSSv3!$E$13,CVSSv3!$E$39,IF(G576=CVSSv3!$F$13,CVSSv3!$F$39,""))))&amp;"/"&amp;CVSSv3!$B$14&amp;":"&amp;IF(G577=CVSSv3!$C$14,CVSSv3!$C$40,IF(G577=CVSSv3!$D$14,CVSSv3!$D$40,IF(G577=CVSSv3!$E$14,CVSSv3!$E$40,"")))&amp;")"</f>
        <v>(AV:/AC:/PR:/UI:/S:/C:/I:/A:/E:/RL:/RC:)</v>
      </c>
      <c r="G578" s="84"/>
      <c r="H578" s="86"/>
      <c r="I578" s="87"/>
      <c r="J578" s="87"/>
      <c r="K578" s="83"/>
      <c r="L578" s="83"/>
      <c r="M578" s="83"/>
    </row>
    <row r="579" spans="1:13" ht="15.75" customHeight="1" x14ac:dyDescent="0.25">
      <c r="A579" s="85">
        <v>49</v>
      </c>
      <c r="B579" s="83" t="s">
        <v>79</v>
      </c>
      <c r="C579" s="83" t="s">
        <v>14</v>
      </c>
      <c r="D579" s="83" t="s">
        <v>14</v>
      </c>
      <c r="E579" s="83" t="s">
        <v>14</v>
      </c>
      <c r="F579" s="5" t="str">
        <f>CVSSv3!$A$4</f>
        <v>Attack Vector</v>
      </c>
      <c r="G579" s="6" t="s">
        <v>15</v>
      </c>
      <c r="H579" s="86" t="e">
        <f>ROUNDUP((IF((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lt;=0,0,(IF(G583=CVSSv3!$C$8,ROUNDUP((MIN((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ROUNDUP((MIN(1.08*((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IF(G587=CVSSv3!$C$12,CVSSv3!$C$25,(IF(G587=CVSSv3!$D$12,CVSSv3!$D$25,(IF(G587=CVSSv3!$E$12,CVSSv3!$E$25,(IF(G587=CVSSv3!$F$12,CVSSv3!$F$25,""))))))))*(IF(G588=CVSSv3!$C$13,CVSSv3!$C$26,(IF(G588=CVSSv3!$D$13,CVSSv3!$D$26,(IF(G588=CVSSv3!$E$13,CVSSv3!$E$26,(IF(G588=CVSSv3!$F$13,CVSSv3!$F$26,""))))))))*(IF(G589=CVSSv3!$C$14,CVSSv3!$C$27,(IF(G589=CVSSv3!$D$14,CVSSv3!$D$27,(IF(G589=CVSSv3!$E$14,CVSSv3!$E$27,""))))))),1)</f>
        <v>#VALUE!</v>
      </c>
      <c r="I579" s="87">
        <v>0</v>
      </c>
      <c r="J579" s="87">
        <v>0</v>
      </c>
      <c r="K579" s="83" t="s">
        <v>14</v>
      </c>
      <c r="L579" s="83" t="s">
        <v>14</v>
      </c>
      <c r="M579" s="83" t="s">
        <v>16</v>
      </c>
    </row>
    <row r="580" spans="1:13" ht="15.75" x14ac:dyDescent="0.2">
      <c r="A580" s="85"/>
      <c r="B580" s="83"/>
      <c r="C580" s="83"/>
      <c r="D580" s="83"/>
      <c r="E580" s="83"/>
      <c r="F580" s="7" t="str">
        <f>CVSSv3!$A$5</f>
        <v>Attack Complexity</v>
      </c>
      <c r="G580" s="8" t="s">
        <v>32</v>
      </c>
      <c r="H580" s="86"/>
      <c r="I580" s="87"/>
      <c r="J580" s="87"/>
      <c r="K580" s="83"/>
      <c r="L580" s="83"/>
      <c r="M580" s="83"/>
    </row>
    <row r="581" spans="1:13" ht="15.75" x14ac:dyDescent="0.2">
      <c r="A581" s="85"/>
      <c r="B581" s="83"/>
      <c r="C581" s="83"/>
      <c r="D581" s="83"/>
      <c r="E581" s="83"/>
      <c r="F581" s="7" t="str">
        <f>CVSSv3!$A$6</f>
        <v>Privilege Required</v>
      </c>
      <c r="G581" s="8" t="s">
        <v>33</v>
      </c>
      <c r="H581" s="86"/>
      <c r="I581" s="87"/>
      <c r="J581" s="87"/>
      <c r="K581" s="83"/>
      <c r="L581" s="83"/>
      <c r="M581" s="83"/>
    </row>
    <row r="582" spans="1:13" ht="15.75" x14ac:dyDescent="0.2">
      <c r="A582" s="85"/>
      <c r="B582" s="83"/>
      <c r="C582" s="83"/>
      <c r="D582" s="83"/>
      <c r="E582" s="83"/>
      <c r="F582" s="7" t="str">
        <f>CVSSv3!$A$7</f>
        <v>User Interaction</v>
      </c>
      <c r="G582" s="8" t="s">
        <v>34</v>
      </c>
      <c r="H582" s="86"/>
      <c r="I582" s="87"/>
      <c r="J582" s="87"/>
      <c r="K582" s="83"/>
      <c r="L582" s="83"/>
      <c r="M582" s="83"/>
    </row>
    <row r="583" spans="1:13" ht="15.75" x14ac:dyDescent="0.2">
      <c r="A583" s="85"/>
      <c r="B583" s="83"/>
      <c r="C583" s="83"/>
      <c r="D583" s="83"/>
      <c r="E583" s="83"/>
      <c r="F583" s="7" t="str">
        <f>CVSSv3!$A$8</f>
        <v>Scope</v>
      </c>
      <c r="G583" s="8" t="s">
        <v>35</v>
      </c>
      <c r="H583" s="86"/>
      <c r="I583" s="87"/>
      <c r="J583" s="87"/>
      <c r="K583" s="83"/>
      <c r="L583" s="83"/>
      <c r="M583" s="83"/>
    </row>
    <row r="584" spans="1:13" ht="15.75" x14ac:dyDescent="0.2">
      <c r="A584" s="85"/>
      <c r="B584" s="83"/>
      <c r="C584" s="83"/>
      <c r="D584" s="83"/>
      <c r="E584" s="83"/>
      <c r="F584" s="7" t="str">
        <f>CVSSv3!$A$9</f>
        <v>Confidentiality Impact</v>
      </c>
      <c r="G584" s="8" t="s">
        <v>36</v>
      </c>
      <c r="H584" s="86"/>
      <c r="I584" s="87"/>
      <c r="J584" s="87"/>
      <c r="K584" s="83"/>
      <c r="L584" s="83"/>
      <c r="M584" s="83"/>
    </row>
    <row r="585" spans="1:13" ht="15.75" x14ac:dyDescent="0.2">
      <c r="A585" s="85"/>
      <c r="B585" s="83"/>
      <c r="C585" s="83"/>
      <c r="D585" s="83"/>
      <c r="E585" s="83"/>
      <c r="F585" s="7" t="str">
        <f>CVSSv3!$A$10</f>
        <v>Integrity Impact</v>
      </c>
      <c r="G585" s="8" t="s">
        <v>36</v>
      </c>
      <c r="H585" s="86"/>
      <c r="I585" s="87"/>
      <c r="J585" s="87"/>
      <c r="K585" s="83"/>
      <c r="L585" s="83"/>
      <c r="M585" s="83"/>
    </row>
    <row r="586" spans="1:13" ht="15.75" x14ac:dyDescent="0.2">
      <c r="A586" s="85"/>
      <c r="B586" s="83"/>
      <c r="C586" s="83"/>
      <c r="D586" s="83"/>
      <c r="E586" s="83"/>
      <c r="F586" s="7" t="str">
        <f>CVSSv3!$A$11</f>
        <v>Availability Impact</v>
      </c>
      <c r="G586" s="8" t="s">
        <v>36</v>
      </c>
      <c r="H586" s="86"/>
      <c r="I586" s="87"/>
      <c r="J586" s="87"/>
      <c r="K586" s="83"/>
      <c r="L586" s="83"/>
      <c r="M586" s="83"/>
    </row>
    <row r="587" spans="1:13" ht="15.75" x14ac:dyDescent="0.2">
      <c r="A587" s="85"/>
      <c r="B587" s="83"/>
      <c r="C587" s="83"/>
      <c r="D587" s="83"/>
      <c r="E587" s="83"/>
      <c r="F587" s="7" t="str">
        <f>CVSSv3!$A$12</f>
        <v>Exploit Code Maturity</v>
      </c>
      <c r="G587" s="8" t="s">
        <v>32</v>
      </c>
      <c r="H587" s="86"/>
      <c r="I587" s="87"/>
      <c r="J587" s="87"/>
      <c r="K587" s="83"/>
      <c r="L587" s="83"/>
      <c r="M587" s="83"/>
    </row>
    <row r="588" spans="1:13" ht="15.75" x14ac:dyDescent="0.2">
      <c r="A588" s="85"/>
      <c r="B588" s="83"/>
      <c r="C588" s="83"/>
      <c r="D588" s="83"/>
      <c r="E588" s="83"/>
      <c r="F588" s="7" t="str">
        <f>CVSSv3!$A$13</f>
        <v>Remediation Level</v>
      </c>
      <c r="G588" s="8" t="s">
        <v>37</v>
      </c>
      <c r="H588" s="86"/>
      <c r="I588" s="87"/>
      <c r="J588" s="87"/>
      <c r="K588" s="83"/>
      <c r="L588" s="83"/>
      <c r="M588" s="83"/>
    </row>
    <row r="589" spans="1:13" ht="15.75" x14ac:dyDescent="0.2">
      <c r="A589" s="85"/>
      <c r="B589" s="83"/>
      <c r="C589" s="83"/>
      <c r="D589" s="83"/>
      <c r="E589" s="83"/>
      <c r="F589" s="7" t="str">
        <f>CVSSv3!$A$14</f>
        <v>Report Confidence</v>
      </c>
      <c r="G589" s="8" t="s">
        <v>38</v>
      </c>
      <c r="H589" s="86"/>
      <c r="I589" s="87"/>
      <c r="J589" s="87"/>
      <c r="K589" s="83"/>
      <c r="L589" s="83"/>
      <c r="M589" s="83"/>
    </row>
    <row r="590" spans="1:13" ht="15.75" x14ac:dyDescent="0.2">
      <c r="A590" s="85"/>
      <c r="B590" s="83"/>
      <c r="C590" s="83"/>
      <c r="D590" s="83"/>
      <c r="E590" s="83"/>
      <c r="F590" s="84" t="str">
        <f>"("&amp;CVSSv3!$B$4&amp;":"&amp;IF(G579=CVSSv3!$C$4,CVSSv3!$C$30,IF(G579=CVSSv3!$D$4,CVSSv3!$D$30,IF(G579=CVSSv3!$E$4,CVSSv3!$E$30,IF(G579=CVSSv3!$F$4,CVSSv3!$F$30,""))))&amp;"/"&amp;CVSSv3!$B$5&amp;":"&amp;IF(G580=CVSSv3!$C$5,CVSSv3!$C$31,IF(G580=CVSSv3!$D$5,CVSSv3!$D$31,""))&amp;"/"&amp;CVSSv3!$B$6&amp;":"&amp;IF(G581=CVSSv3!$C$6,CVSSv3!$C$32,IF(G581=CVSSv3!$D$6,CVSSv3!$D$32,IF(G581=CVSSv3!$E$6,CVSSv3!$E$32,"")))&amp;"/"&amp;CVSSv3!$B$7&amp;":"&amp;IF(G582=CVSSv3!$C$7,CVSSv3!$C$33,IF(G582=CVSSv3!$D$7,CVSSv3!$D$33,""))&amp;"/"&amp;CVSSv3!$B$8&amp;":"&amp;IF(G583=CVSSv3!$C$8,CVSSv3!$C$34,IF(G583=CVSSv3!$D$8,CVSSv3!$D$34,""))&amp;"/"&amp;CVSSv3!$B$9&amp;":"&amp;IF(G584=CVSSv3!$C$9,CVSSv3!$C$35,IF(G584=CVSSv3!$D$9,CVSSv3!$D$35,IF(G584=CVSSv3!$E$9,CVSSv3!$E$35,"")))&amp;"/"&amp;CVSSv3!$B$10&amp;":"&amp;IF(G585=CVSSv3!$C$10,CVSSv3!$C$36,IF(G585=CVSSv3!$D$10,CVSSv3!$D$36,IF(G585=CVSSv3!$E$10,CVSSv3!$E$36,"")))&amp;"/"&amp;CVSSv3!$B$11&amp;":"&amp;IF(G586=CVSSv3!$C$11,CVSSv3!$C$37,IF(G586=CVSSv3!$D$11,CVSSv3!$D$37,IF(G586=CVSSv3!$E$11,CVSSv3!$E$37,"")))&amp;"/"&amp;CVSSv3!$B$12&amp;":"&amp;IF(G587=CVSSv3!$C$12,CVSSv3!$C$38,IF(G587=CVSSv3!$D$12,CVSSv3!$D$38,IF(G587=CVSSv3!$E$12,CVSSv3!$E$38,IF(G587=CVSSv3!$F$12,CVSSv3!$F$38,""))))&amp;"/"&amp;CVSSv3!$B$13&amp;":"&amp;IF(G588=CVSSv3!$C$13,CVSSv3!$C$39,IF(G588=CVSSv3!$D$13,CVSSv3!$D$39,IF(G588=CVSSv3!$E$13,CVSSv3!$E$39,IF(G588=CVSSv3!$F$13,CVSSv3!$F$39,""))))&amp;"/"&amp;CVSSv3!$B$14&amp;":"&amp;IF(G589=CVSSv3!$C$14,CVSSv3!$C$40,IF(G589=CVSSv3!$D$14,CVSSv3!$D$40,IF(G589=CVSSv3!$E$14,CVSSv3!$E$40,"")))&amp;")"</f>
        <v>(AV:/AC:/PR:/UI:/S:/C:/I:/A:/E:/RL:/RC:)</v>
      </c>
      <c r="G590" s="84"/>
      <c r="H590" s="86"/>
      <c r="I590" s="87"/>
      <c r="J590" s="87"/>
      <c r="K590" s="83"/>
      <c r="L590" s="83"/>
      <c r="M590" s="83"/>
    </row>
    <row r="591" spans="1:13" ht="15.75" customHeight="1" x14ac:dyDescent="0.25">
      <c r="A591" s="85">
        <v>50</v>
      </c>
      <c r="B591" s="83" t="s">
        <v>80</v>
      </c>
      <c r="C591" s="83" t="s">
        <v>14</v>
      </c>
      <c r="D591" s="83" t="s">
        <v>14</v>
      </c>
      <c r="E591" s="83" t="s">
        <v>14</v>
      </c>
      <c r="F591" s="5" t="str">
        <f>CVSSv3!$A$4</f>
        <v>Attack Vector</v>
      </c>
      <c r="G591" s="6" t="s">
        <v>15</v>
      </c>
      <c r="H591" s="86" t="e">
        <f>ROUNDUP((IF((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lt;=0,0,(IF(G595=CVSSv3!$C$8,ROUNDUP((MIN((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ROUNDUP((MIN(1.08*((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IF(G599=CVSSv3!$C$12,CVSSv3!$C$25,(IF(G599=CVSSv3!$D$12,CVSSv3!$D$25,(IF(G599=CVSSv3!$E$12,CVSSv3!$E$25,(IF(G599=CVSSv3!$F$12,CVSSv3!$F$25,""))))))))*(IF(G600=CVSSv3!$C$13,CVSSv3!$C$26,(IF(G600=CVSSv3!$D$13,CVSSv3!$D$26,(IF(G600=CVSSv3!$E$13,CVSSv3!$E$26,(IF(G600=CVSSv3!$F$13,CVSSv3!$F$26,""))))))))*(IF(G601=CVSSv3!$C$14,CVSSv3!$C$27,(IF(G601=CVSSv3!$D$14,CVSSv3!$D$27,(IF(G601=CVSSv3!$E$14,CVSSv3!$E$27,""))))))),1)</f>
        <v>#VALUE!</v>
      </c>
      <c r="I591" s="87">
        <v>0</v>
      </c>
      <c r="J591" s="87">
        <v>0</v>
      </c>
      <c r="K591" s="83" t="s">
        <v>14</v>
      </c>
      <c r="L591" s="83" t="s">
        <v>14</v>
      </c>
      <c r="M591" s="83" t="s">
        <v>16</v>
      </c>
    </row>
    <row r="592" spans="1:13" ht="15.75" x14ac:dyDescent="0.2">
      <c r="A592" s="85"/>
      <c r="B592" s="83"/>
      <c r="C592" s="83"/>
      <c r="D592" s="83"/>
      <c r="E592" s="83"/>
      <c r="F592" s="7" t="str">
        <f>CVSSv3!$A$5</f>
        <v>Attack Complexity</v>
      </c>
      <c r="G592" s="8" t="s">
        <v>32</v>
      </c>
      <c r="H592" s="86"/>
      <c r="I592" s="87"/>
      <c r="J592" s="87"/>
      <c r="K592" s="83"/>
      <c r="L592" s="83"/>
      <c r="M592" s="83"/>
    </row>
    <row r="593" spans="1:13" ht="15.75" x14ac:dyDescent="0.2">
      <c r="A593" s="85"/>
      <c r="B593" s="83"/>
      <c r="C593" s="83"/>
      <c r="D593" s="83"/>
      <c r="E593" s="83"/>
      <c r="F593" s="7" t="str">
        <f>CVSSv3!$A$6</f>
        <v>Privilege Required</v>
      </c>
      <c r="G593" s="8" t="s">
        <v>33</v>
      </c>
      <c r="H593" s="86"/>
      <c r="I593" s="87"/>
      <c r="J593" s="87"/>
      <c r="K593" s="83"/>
      <c r="L593" s="83"/>
      <c r="M593" s="83"/>
    </row>
    <row r="594" spans="1:13" ht="15.75" x14ac:dyDescent="0.2">
      <c r="A594" s="85"/>
      <c r="B594" s="83"/>
      <c r="C594" s="83"/>
      <c r="D594" s="83"/>
      <c r="E594" s="83"/>
      <c r="F594" s="7" t="str">
        <f>CVSSv3!$A$7</f>
        <v>User Interaction</v>
      </c>
      <c r="G594" s="8" t="s">
        <v>34</v>
      </c>
      <c r="H594" s="86"/>
      <c r="I594" s="87"/>
      <c r="J594" s="87"/>
      <c r="K594" s="83"/>
      <c r="L594" s="83"/>
      <c r="M594" s="83"/>
    </row>
    <row r="595" spans="1:13" ht="15.75" x14ac:dyDescent="0.2">
      <c r="A595" s="85"/>
      <c r="B595" s="83"/>
      <c r="C595" s="83"/>
      <c r="D595" s="83"/>
      <c r="E595" s="83"/>
      <c r="F595" s="7" t="str">
        <f>CVSSv3!$A$8</f>
        <v>Scope</v>
      </c>
      <c r="G595" s="8" t="s">
        <v>35</v>
      </c>
      <c r="H595" s="86"/>
      <c r="I595" s="87"/>
      <c r="J595" s="87"/>
      <c r="K595" s="83"/>
      <c r="L595" s="83"/>
      <c r="M595" s="83"/>
    </row>
    <row r="596" spans="1:13" ht="15.75" x14ac:dyDescent="0.2">
      <c r="A596" s="85"/>
      <c r="B596" s="83"/>
      <c r="C596" s="83"/>
      <c r="D596" s="83"/>
      <c r="E596" s="83"/>
      <c r="F596" s="7" t="str">
        <f>CVSSv3!$A$9</f>
        <v>Confidentiality Impact</v>
      </c>
      <c r="G596" s="8" t="s">
        <v>36</v>
      </c>
      <c r="H596" s="86"/>
      <c r="I596" s="87"/>
      <c r="J596" s="87"/>
      <c r="K596" s="83"/>
      <c r="L596" s="83"/>
      <c r="M596" s="83"/>
    </row>
    <row r="597" spans="1:13" ht="15.75" x14ac:dyDescent="0.2">
      <c r="A597" s="85"/>
      <c r="B597" s="83"/>
      <c r="C597" s="83"/>
      <c r="D597" s="83"/>
      <c r="E597" s="83"/>
      <c r="F597" s="7" t="str">
        <f>CVSSv3!$A$10</f>
        <v>Integrity Impact</v>
      </c>
      <c r="G597" s="8" t="s">
        <v>36</v>
      </c>
      <c r="H597" s="86"/>
      <c r="I597" s="87"/>
      <c r="J597" s="87"/>
      <c r="K597" s="83"/>
      <c r="L597" s="83"/>
      <c r="M597" s="83"/>
    </row>
    <row r="598" spans="1:13" ht="15.75" x14ac:dyDescent="0.2">
      <c r="A598" s="85"/>
      <c r="B598" s="83"/>
      <c r="C598" s="83"/>
      <c r="D598" s="83"/>
      <c r="E598" s="83"/>
      <c r="F598" s="7" t="str">
        <f>CVSSv3!$A$11</f>
        <v>Availability Impact</v>
      </c>
      <c r="G598" s="8" t="s">
        <v>36</v>
      </c>
      <c r="H598" s="86"/>
      <c r="I598" s="87"/>
      <c r="J598" s="87"/>
      <c r="K598" s="83"/>
      <c r="L598" s="83"/>
      <c r="M598" s="83"/>
    </row>
    <row r="599" spans="1:13" ht="15.75" x14ac:dyDescent="0.2">
      <c r="A599" s="85"/>
      <c r="B599" s="83"/>
      <c r="C599" s="83"/>
      <c r="D599" s="83"/>
      <c r="E599" s="83"/>
      <c r="F599" s="7" t="str">
        <f>CVSSv3!$A$12</f>
        <v>Exploit Code Maturity</v>
      </c>
      <c r="G599" s="8" t="s">
        <v>32</v>
      </c>
      <c r="H599" s="86"/>
      <c r="I599" s="87"/>
      <c r="J599" s="87"/>
      <c r="K599" s="83"/>
      <c r="L599" s="83"/>
      <c r="M599" s="83"/>
    </row>
    <row r="600" spans="1:13" ht="15.75" x14ac:dyDescent="0.2">
      <c r="A600" s="85"/>
      <c r="B600" s="83"/>
      <c r="C600" s="83"/>
      <c r="D600" s="83"/>
      <c r="E600" s="83"/>
      <c r="F600" s="7" t="str">
        <f>CVSSv3!$A$13</f>
        <v>Remediation Level</v>
      </c>
      <c r="G600" s="8" t="s">
        <v>37</v>
      </c>
      <c r="H600" s="86"/>
      <c r="I600" s="87"/>
      <c r="J600" s="87"/>
      <c r="K600" s="83"/>
      <c r="L600" s="83"/>
      <c r="M600" s="83"/>
    </row>
    <row r="601" spans="1:13" ht="15.75" x14ac:dyDescent="0.2">
      <c r="A601" s="85"/>
      <c r="B601" s="83"/>
      <c r="C601" s="83"/>
      <c r="D601" s="83"/>
      <c r="E601" s="83"/>
      <c r="F601" s="7" t="str">
        <f>CVSSv3!$A$14</f>
        <v>Report Confidence</v>
      </c>
      <c r="G601" s="8" t="s">
        <v>38</v>
      </c>
      <c r="H601" s="86"/>
      <c r="I601" s="87"/>
      <c r="J601" s="87"/>
      <c r="K601" s="83"/>
      <c r="L601" s="83"/>
      <c r="M601" s="83"/>
    </row>
    <row r="602" spans="1:13" ht="15.75" x14ac:dyDescent="0.2">
      <c r="A602" s="85"/>
      <c r="B602" s="83"/>
      <c r="C602" s="83"/>
      <c r="D602" s="83"/>
      <c r="E602" s="83"/>
      <c r="F602" s="84" t="str">
        <f>"("&amp;CVSSv3!$B$4&amp;":"&amp;IF(G591=CVSSv3!$C$4,CVSSv3!$C$30,IF(G591=CVSSv3!$D$4,CVSSv3!$D$30,IF(G591=CVSSv3!$E$4,CVSSv3!$E$30,IF(G591=CVSSv3!$F$4,CVSSv3!$F$30,""))))&amp;"/"&amp;CVSSv3!$B$5&amp;":"&amp;IF(G592=CVSSv3!$C$5,CVSSv3!$C$31,IF(G592=CVSSv3!$D$5,CVSSv3!$D$31,""))&amp;"/"&amp;CVSSv3!$B$6&amp;":"&amp;IF(G593=CVSSv3!$C$6,CVSSv3!$C$32,IF(G593=CVSSv3!$D$6,CVSSv3!$D$32,IF(G593=CVSSv3!$E$6,CVSSv3!$E$32,"")))&amp;"/"&amp;CVSSv3!$B$7&amp;":"&amp;IF(G594=CVSSv3!$C$7,CVSSv3!$C$33,IF(G594=CVSSv3!$D$7,CVSSv3!$D$33,""))&amp;"/"&amp;CVSSv3!$B$8&amp;":"&amp;IF(G595=CVSSv3!$C$8,CVSSv3!$C$34,IF(G595=CVSSv3!$D$8,CVSSv3!$D$34,""))&amp;"/"&amp;CVSSv3!$B$9&amp;":"&amp;IF(G596=CVSSv3!$C$9,CVSSv3!$C$35,IF(G596=CVSSv3!$D$9,CVSSv3!$D$35,IF(G596=CVSSv3!$E$9,CVSSv3!$E$35,"")))&amp;"/"&amp;CVSSv3!$B$10&amp;":"&amp;IF(G597=CVSSv3!$C$10,CVSSv3!$C$36,IF(G597=CVSSv3!$D$10,CVSSv3!$D$36,IF(G597=CVSSv3!$E$10,CVSSv3!$E$36,"")))&amp;"/"&amp;CVSSv3!$B$11&amp;":"&amp;IF(G598=CVSSv3!$C$11,CVSSv3!$C$37,IF(G598=CVSSv3!$D$11,CVSSv3!$D$37,IF(G598=CVSSv3!$E$11,CVSSv3!$E$37,"")))&amp;"/"&amp;CVSSv3!$B$12&amp;":"&amp;IF(G599=CVSSv3!$C$12,CVSSv3!$C$38,IF(G599=CVSSv3!$D$12,CVSSv3!$D$38,IF(G599=CVSSv3!$E$12,CVSSv3!$E$38,IF(G599=CVSSv3!$F$12,CVSSv3!$F$38,""))))&amp;"/"&amp;CVSSv3!$B$13&amp;":"&amp;IF(G600=CVSSv3!$C$13,CVSSv3!$C$39,IF(G600=CVSSv3!$D$13,CVSSv3!$D$39,IF(G600=CVSSv3!$E$13,CVSSv3!$E$39,IF(G600=CVSSv3!$F$13,CVSSv3!$F$39,""))))&amp;"/"&amp;CVSSv3!$B$14&amp;":"&amp;IF(G601=CVSSv3!$C$14,CVSSv3!$C$40,IF(G601=CVSSv3!$D$14,CVSSv3!$D$40,IF(G601=CVSSv3!$E$14,CVSSv3!$E$40,"")))&amp;")"</f>
        <v>(AV:/AC:/PR:/UI:/S:/C:/I:/A:/E:/RL:/RC:)</v>
      </c>
      <c r="G602" s="84"/>
      <c r="H602" s="86"/>
      <c r="I602" s="87"/>
      <c r="J602" s="87"/>
      <c r="K602" s="83"/>
      <c r="L602" s="83"/>
      <c r="M602" s="83"/>
    </row>
    <row r="603" spans="1:13" ht="15.75" customHeight="1" x14ac:dyDescent="0.25">
      <c r="A603" s="85">
        <v>51</v>
      </c>
      <c r="B603" s="83" t="s">
        <v>81</v>
      </c>
      <c r="C603" s="83" t="s">
        <v>14</v>
      </c>
      <c r="D603" s="83" t="s">
        <v>14</v>
      </c>
      <c r="E603" s="83" t="s">
        <v>14</v>
      </c>
      <c r="F603" s="5" t="str">
        <f>CVSSv3!$A$4</f>
        <v>Attack Vector</v>
      </c>
      <c r="G603" s="6" t="s">
        <v>15</v>
      </c>
      <c r="H603" s="86" t="e">
        <f>ROUNDUP((IF((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lt;=0,0,(IF(G607=CVSSv3!$C$8,ROUNDUP((MIN((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(8.22*(IF(G603=CVSSv3!$C$4,CVSSv3!$C$17,(IF(G603=CVSSv3!$D$4,CVSSv3!$D$17,(IF(G603=CVSSv3!$E$4,CVSSv3!$E$17,(IF(G603=CVSSv3!$F$4,CVSSv3!$F$17,""))))))))*(IF(G604=CVSSv3!$C$5,CVSSv3!$C$18,(IF(G604=CVSSv3!$D$5,CVSSv3!$D$18,""))))*(IF(G605=CVSSv3!$C$6,CVSSv3!$C$19,(IF(G605=CVSSv3!$D$6,(IF(G607=CVSSv3!$D$8,0.68,CVSSv3!$D$19)),(IF(G605=CVSSv3!$E$6,(IF(G607=CVSSv3!$D$8,0.5,CVSSv3!$E$19))))))))*(IF(G606=CVSSv3!$C$7,CVSSv3!$C$20,(IF(G606=CVSSv3!$D$7,CVSSv3!$D$20,""))))),10)),1),ROUNDUP((MIN(1.08*((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(8.22*(IF(G603=CVSSv3!$C$4,CVSSv3!$C$17,(IF(G603=CVSSv3!$D$4,CVSSv3!$D$17,(IF(G603=CVSSv3!$E$4,CVSSv3!$E$17,(IF(G603=CVSSv3!$F$4,CVSSv3!$F$17,""))))))))*(IF(G604=CVSSv3!$C$5,CVSSv3!$C$18,(IF(G604=CVSSv3!$D$5,CVSSv3!$D$18,""))))*(IF(G605=CVSSv3!$C$6,CVSSv3!$C$19,(IF(G605=CVSSv3!$D$6,(IF(G607=CVSSv3!$D$8,0.68,CVSSv3!$D$19)),(IF(G605=CVSSv3!$E$6,(IF(G607=CVSSv3!$D$8,0.5,CVSSv3!$E$19))))))))*(IF(G606=CVSSv3!$C$7,CVSSv3!$C$20,(IF(G606=CVSSv3!$D$7,CVSSv3!$D$20,"")))))),10)),1))))*(IF(G611=CVSSv3!$C$12,CVSSv3!$C$25,(IF(G611=CVSSv3!$D$12,CVSSv3!$D$25,(IF(G611=CVSSv3!$E$12,CVSSv3!$E$25,(IF(G611=CVSSv3!$F$12,CVSSv3!$F$25,""))))))))*(IF(G612=CVSSv3!$C$13,CVSSv3!$C$26,(IF(G612=CVSSv3!$D$13,CVSSv3!$D$26,(IF(G612=CVSSv3!$E$13,CVSSv3!$E$26,(IF(G612=CVSSv3!$F$13,CVSSv3!$F$26,""))))))))*(IF(G613=CVSSv3!$C$14,CVSSv3!$C$27,(IF(G613=CVSSv3!$D$14,CVSSv3!$D$27,(IF(G613=CVSSv3!$E$14,CVSSv3!$E$27,""))))))),1)</f>
        <v>#VALUE!</v>
      </c>
      <c r="I603" s="87">
        <v>0</v>
      </c>
      <c r="J603" s="87">
        <v>0</v>
      </c>
      <c r="K603" s="83" t="s">
        <v>14</v>
      </c>
      <c r="L603" s="83" t="s">
        <v>14</v>
      </c>
      <c r="M603" s="83" t="s">
        <v>16</v>
      </c>
    </row>
    <row r="604" spans="1:13" ht="15.75" x14ac:dyDescent="0.2">
      <c r="A604" s="85"/>
      <c r="B604" s="83"/>
      <c r="C604" s="83"/>
      <c r="D604" s="83"/>
      <c r="E604" s="83"/>
      <c r="F604" s="7" t="str">
        <f>CVSSv3!$A$5</f>
        <v>Attack Complexity</v>
      </c>
      <c r="G604" s="8" t="s">
        <v>32</v>
      </c>
      <c r="H604" s="86"/>
      <c r="I604" s="87"/>
      <c r="J604" s="87"/>
      <c r="K604" s="83"/>
      <c r="L604" s="83"/>
      <c r="M604" s="83"/>
    </row>
    <row r="605" spans="1:13" ht="15.75" x14ac:dyDescent="0.2">
      <c r="A605" s="85"/>
      <c r="B605" s="83"/>
      <c r="C605" s="83"/>
      <c r="D605" s="83"/>
      <c r="E605" s="83"/>
      <c r="F605" s="7" t="str">
        <f>CVSSv3!$A$6</f>
        <v>Privilege Required</v>
      </c>
      <c r="G605" s="8" t="s">
        <v>33</v>
      </c>
      <c r="H605" s="86"/>
      <c r="I605" s="87"/>
      <c r="J605" s="87"/>
      <c r="K605" s="83"/>
      <c r="L605" s="83"/>
      <c r="M605" s="83"/>
    </row>
    <row r="606" spans="1:13" ht="15.75" x14ac:dyDescent="0.2">
      <c r="A606" s="85"/>
      <c r="B606" s="83"/>
      <c r="C606" s="83"/>
      <c r="D606" s="83"/>
      <c r="E606" s="83"/>
      <c r="F606" s="7" t="str">
        <f>CVSSv3!$A$7</f>
        <v>User Interaction</v>
      </c>
      <c r="G606" s="8" t="s">
        <v>34</v>
      </c>
      <c r="H606" s="86"/>
      <c r="I606" s="87"/>
      <c r="J606" s="87"/>
      <c r="K606" s="83"/>
      <c r="L606" s="83"/>
      <c r="M606" s="83"/>
    </row>
    <row r="607" spans="1:13" ht="15.75" x14ac:dyDescent="0.2">
      <c r="A607" s="85"/>
      <c r="B607" s="83"/>
      <c r="C607" s="83"/>
      <c r="D607" s="83"/>
      <c r="E607" s="83"/>
      <c r="F607" s="7" t="str">
        <f>CVSSv3!$A$8</f>
        <v>Scope</v>
      </c>
      <c r="G607" s="8" t="s">
        <v>35</v>
      </c>
      <c r="H607" s="86"/>
      <c r="I607" s="87"/>
      <c r="J607" s="87"/>
      <c r="K607" s="83"/>
      <c r="L607" s="83"/>
      <c r="M607" s="83"/>
    </row>
    <row r="608" spans="1:13" ht="15.75" x14ac:dyDescent="0.2">
      <c r="A608" s="85"/>
      <c r="B608" s="83"/>
      <c r="C608" s="83"/>
      <c r="D608" s="83"/>
      <c r="E608" s="83"/>
      <c r="F608" s="7" t="str">
        <f>CVSSv3!$A$9</f>
        <v>Confidentiality Impact</v>
      </c>
      <c r="G608" s="8" t="s">
        <v>36</v>
      </c>
      <c r="H608" s="86"/>
      <c r="I608" s="87"/>
      <c r="J608" s="87"/>
      <c r="K608" s="83"/>
      <c r="L608" s="83"/>
      <c r="M608" s="83"/>
    </row>
    <row r="609" spans="1:13" ht="15.75" x14ac:dyDescent="0.2">
      <c r="A609" s="85"/>
      <c r="B609" s="83"/>
      <c r="C609" s="83"/>
      <c r="D609" s="83"/>
      <c r="E609" s="83"/>
      <c r="F609" s="7" t="str">
        <f>CVSSv3!$A$10</f>
        <v>Integrity Impact</v>
      </c>
      <c r="G609" s="8" t="s">
        <v>36</v>
      </c>
      <c r="H609" s="86"/>
      <c r="I609" s="87"/>
      <c r="J609" s="87"/>
      <c r="K609" s="83"/>
      <c r="L609" s="83"/>
      <c r="M609" s="83"/>
    </row>
    <row r="610" spans="1:13" ht="15.75" x14ac:dyDescent="0.2">
      <c r="A610" s="85"/>
      <c r="B610" s="83"/>
      <c r="C610" s="83"/>
      <c r="D610" s="83"/>
      <c r="E610" s="83"/>
      <c r="F610" s="7" t="str">
        <f>CVSSv3!$A$11</f>
        <v>Availability Impact</v>
      </c>
      <c r="G610" s="8" t="s">
        <v>36</v>
      </c>
      <c r="H610" s="86"/>
      <c r="I610" s="87"/>
      <c r="J610" s="87"/>
      <c r="K610" s="83"/>
      <c r="L610" s="83"/>
      <c r="M610" s="83"/>
    </row>
    <row r="611" spans="1:13" ht="15.75" x14ac:dyDescent="0.2">
      <c r="A611" s="85"/>
      <c r="B611" s="83"/>
      <c r="C611" s="83"/>
      <c r="D611" s="83"/>
      <c r="E611" s="83"/>
      <c r="F611" s="7" t="str">
        <f>CVSSv3!$A$12</f>
        <v>Exploit Code Maturity</v>
      </c>
      <c r="G611" s="8" t="s">
        <v>32</v>
      </c>
      <c r="H611" s="86"/>
      <c r="I611" s="87"/>
      <c r="J611" s="87"/>
      <c r="K611" s="83"/>
      <c r="L611" s="83"/>
      <c r="M611" s="83"/>
    </row>
    <row r="612" spans="1:13" ht="15.75" x14ac:dyDescent="0.2">
      <c r="A612" s="85"/>
      <c r="B612" s="83"/>
      <c r="C612" s="83"/>
      <c r="D612" s="83"/>
      <c r="E612" s="83"/>
      <c r="F612" s="7" t="str">
        <f>CVSSv3!$A$13</f>
        <v>Remediation Level</v>
      </c>
      <c r="G612" s="8" t="s">
        <v>37</v>
      </c>
      <c r="H612" s="86"/>
      <c r="I612" s="87"/>
      <c r="J612" s="87"/>
      <c r="K612" s="83"/>
      <c r="L612" s="83"/>
      <c r="M612" s="83"/>
    </row>
    <row r="613" spans="1:13" ht="15.75" x14ac:dyDescent="0.2">
      <c r="A613" s="85"/>
      <c r="B613" s="83"/>
      <c r="C613" s="83"/>
      <c r="D613" s="83"/>
      <c r="E613" s="83"/>
      <c r="F613" s="7" t="str">
        <f>CVSSv3!$A$14</f>
        <v>Report Confidence</v>
      </c>
      <c r="G613" s="8" t="s">
        <v>38</v>
      </c>
      <c r="H613" s="86"/>
      <c r="I613" s="87"/>
      <c r="J613" s="87"/>
      <c r="K613" s="83"/>
      <c r="L613" s="83"/>
      <c r="M613" s="83"/>
    </row>
    <row r="614" spans="1:13" ht="15.75" x14ac:dyDescent="0.2">
      <c r="A614" s="85"/>
      <c r="B614" s="83"/>
      <c r="C614" s="83"/>
      <c r="D614" s="83"/>
      <c r="E614" s="83"/>
      <c r="F614" s="84" t="str">
        <f>"("&amp;CVSSv3!$B$4&amp;":"&amp;IF(G603=CVSSv3!$C$4,CVSSv3!$C$30,IF(G603=CVSSv3!$D$4,CVSSv3!$D$30,IF(G603=CVSSv3!$E$4,CVSSv3!$E$30,IF(G603=CVSSv3!$F$4,CVSSv3!$F$30,""))))&amp;"/"&amp;CVSSv3!$B$5&amp;":"&amp;IF(G604=CVSSv3!$C$5,CVSSv3!$C$31,IF(G604=CVSSv3!$D$5,CVSSv3!$D$31,""))&amp;"/"&amp;CVSSv3!$B$6&amp;":"&amp;IF(G605=CVSSv3!$C$6,CVSSv3!$C$32,IF(G605=CVSSv3!$D$6,CVSSv3!$D$32,IF(G605=CVSSv3!$E$6,CVSSv3!$E$32,"")))&amp;"/"&amp;CVSSv3!$B$7&amp;":"&amp;IF(G606=CVSSv3!$C$7,CVSSv3!$C$33,IF(G606=CVSSv3!$D$7,CVSSv3!$D$33,""))&amp;"/"&amp;CVSSv3!$B$8&amp;":"&amp;IF(G607=CVSSv3!$C$8,CVSSv3!$C$34,IF(G607=CVSSv3!$D$8,CVSSv3!$D$34,""))&amp;"/"&amp;CVSSv3!$B$9&amp;":"&amp;IF(G608=CVSSv3!$C$9,CVSSv3!$C$35,IF(G608=CVSSv3!$D$9,CVSSv3!$D$35,IF(G608=CVSSv3!$E$9,CVSSv3!$E$35,"")))&amp;"/"&amp;CVSSv3!$B$10&amp;":"&amp;IF(G609=CVSSv3!$C$10,CVSSv3!$C$36,IF(G609=CVSSv3!$D$10,CVSSv3!$D$36,IF(G609=CVSSv3!$E$10,CVSSv3!$E$36,"")))&amp;"/"&amp;CVSSv3!$B$11&amp;":"&amp;IF(G610=CVSSv3!$C$11,CVSSv3!$C$37,IF(G610=CVSSv3!$D$11,CVSSv3!$D$37,IF(G610=CVSSv3!$E$11,CVSSv3!$E$37,"")))&amp;"/"&amp;CVSSv3!$B$12&amp;":"&amp;IF(G611=CVSSv3!$C$12,CVSSv3!$C$38,IF(G611=CVSSv3!$D$12,CVSSv3!$D$38,IF(G611=CVSSv3!$E$12,CVSSv3!$E$38,IF(G611=CVSSv3!$F$12,CVSSv3!$F$38,""))))&amp;"/"&amp;CVSSv3!$B$13&amp;":"&amp;IF(G612=CVSSv3!$C$13,CVSSv3!$C$39,IF(G612=CVSSv3!$D$13,CVSSv3!$D$39,IF(G612=CVSSv3!$E$13,CVSSv3!$E$39,IF(G612=CVSSv3!$F$13,CVSSv3!$F$39,""))))&amp;"/"&amp;CVSSv3!$B$14&amp;":"&amp;IF(G613=CVSSv3!$C$14,CVSSv3!$C$40,IF(G613=CVSSv3!$D$14,CVSSv3!$D$40,IF(G613=CVSSv3!$E$14,CVSSv3!$E$40,"")))&amp;")"</f>
        <v>(AV:/AC:/PR:/UI:/S:/C:/I:/A:/E:/RL:/RC:)</v>
      </c>
      <c r="G614" s="84"/>
      <c r="H614" s="86"/>
      <c r="I614" s="87"/>
      <c r="J614" s="87"/>
      <c r="K614" s="83"/>
      <c r="L614" s="83"/>
      <c r="M614" s="83"/>
    </row>
    <row r="615" spans="1:13" ht="15.75" customHeight="1" x14ac:dyDescent="0.25">
      <c r="A615" s="85">
        <v>52</v>
      </c>
      <c r="B615" s="83" t="s">
        <v>82</v>
      </c>
      <c r="C615" s="83" t="s">
        <v>14</v>
      </c>
      <c r="D615" s="83" t="s">
        <v>14</v>
      </c>
      <c r="E615" s="83" t="s">
        <v>14</v>
      </c>
      <c r="F615" s="5" t="str">
        <f>CVSSv3!$A$4</f>
        <v>Attack Vector</v>
      </c>
      <c r="G615" s="6" t="s">
        <v>15</v>
      </c>
      <c r="H615" s="86" t="e">
        <f>ROUNDUP((IF((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lt;=0,0,(IF(G619=CVSSv3!$C$8,ROUNDUP((MIN((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(8.22*(IF(G615=CVSSv3!$C$4,CVSSv3!$C$17,(IF(G615=CVSSv3!$D$4,CVSSv3!$D$17,(IF(G615=CVSSv3!$E$4,CVSSv3!$E$17,(IF(G615=CVSSv3!$F$4,CVSSv3!$F$17,""))))))))*(IF(G616=CVSSv3!$C$5,CVSSv3!$C$18,(IF(G616=CVSSv3!$D$5,CVSSv3!$D$18,""))))*(IF(G617=CVSSv3!$C$6,CVSSv3!$C$19,(IF(G617=CVSSv3!$D$6,(IF(G619=CVSSv3!$D$8,0.68,CVSSv3!$D$19)),(IF(G617=CVSSv3!$E$6,(IF(G619=CVSSv3!$D$8,0.5,CVSSv3!$E$19))))))))*(IF(G618=CVSSv3!$C$7,CVSSv3!$C$20,(IF(G618=CVSSv3!$D$7,CVSSv3!$D$20,""))))),10)),1),ROUNDUP((MIN(1.08*((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(8.22*(IF(G615=CVSSv3!$C$4,CVSSv3!$C$17,(IF(G615=CVSSv3!$D$4,CVSSv3!$D$17,(IF(G615=CVSSv3!$E$4,CVSSv3!$E$17,(IF(G615=CVSSv3!$F$4,CVSSv3!$F$17,""))))))))*(IF(G616=CVSSv3!$C$5,CVSSv3!$C$18,(IF(G616=CVSSv3!$D$5,CVSSv3!$D$18,""))))*(IF(G617=CVSSv3!$C$6,CVSSv3!$C$19,(IF(G617=CVSSv3!$D$6,(IF(G619=CVSSv3!$D$8,0.68,CVSSv3!$D$19)),(IF(G617=CVSSv3!$E$6,(IF(G619=CVSSv3!$D$8,0.5,CVSSv3!$E$19))))))))*(IF(G618=CVSSv3!$C$7,CVSSv3!$C$20,(IF(G618=CVSSv3!$D$7,CVSSv3!$D$20,"")))))),10)),1))))*(IF(G623=CVSSv3!$C$12,CVSSv3!$C$25,(IF(G623=CVSSv3!$D$12,CVSSv3!$D$25,(IF(G623=CVSSv3!$E$12,CVSSv3!$E$25,(IF(G623=CVSSv3!$F$12,CVSSv3!$F$25,""))))))))*(IF(G624=CVSSv3!$C$13,CVSSv3!$C$26,(IF(G624=CVSSv3!$D$13,CVSSv3!$D$26,(IF(G624=CVSSv3!$E$13,CVSSv3!$E$26,(IF(G624=CVSSv3!$F$13,CVSSv3!$F$26,""))))))))*(IF(G625=CVSSv3!$C$14,CVSSv3!$C$27,(IF(G625=CVSSv3!$D$14,CVSSv3!$D$27,(IF(G625=CVSSv3!$E$14,CVSSv3!$E$27,""))))))),1)</f>
        <v>#VALUE!</v>
      </c>
      <c r="I615" s="87">
        <v>0</v>
      </c>
      <c r="J615" s="87">
        <v>0</v>
      </c>
      <c r="K615" s="83" t="s">
        <v>14</v>
      </c>
      <c r="L615" s="83" t="s">
        <v>14</v>
      </c>
      <c r="M615" s="83" t="s">
        <v>16</v>
      </c>
    </row>
    <row r="616" spans="1:13" ht="15.75" x14ac:dyDescent="0.2">
      <c r="A616" s="85"/>
      <c r="B616" s="83"/>
      <c r="C616" s="83"/>
      <c r="D616" s="83"/>
      <c r="E616" s="83"/>
      <c r="F616" s="7" t="str">
        <f>CVSSv3!$A$5</f>
        <v>Attack Complexity</v>
      </c>
      <c r="G616" s="8" t="s">
        <v>32</v>
      </c>
      <c r="H616" s="86"/>
      <c r="I616" s="87"/>
      <c r="J616" s="87"/>
      <c r="K616" s="83"/>
      <c r="L616" s="83"/>
      <c r="M616" s="83"/>
    </row>
    <row r="617" spans="1:13" ht="15.75" x14ac:dyDescent="0.2">
      <c r="A617" s="85"/>
      <c r="B617" s="83"/>
      <c r="C617" s="83"/>
      <c r="D617" s="83"/>
      <c r="E617" s="83"/>
      <c r="F617" s="7" t="str">
        <f>CVSSv3!$A$6</f>
        <v>Privilege Required</v>
      </c>
      <c r="G617" s="8" t="s">
        <v>33</v>
      </c>
      <c r="H617" s="86"/>
      <c r="I617" s="87"/>
      <c r="J617" s="87"/>
      <c r="K617" s="83"/>
      <c r="L617" s="83"/>
      <c r="M617" s="83"/>
    </row>
    <row r="618" spans="1:13" ht="15.75" x14ac:dyDescent="0.2">
      <c r="A618" s="85"/>
      <c r="B618" s="83"/>
      <c r="C618" s="83"/>
      <c r="D618" s="83"/>
      <c r="E618" s="83"/>
      <c r="F618" s="7" t="str">
        <f>CVSSv3!$A$7</f>
        <v>User Interaction</v>
      </c>
      <c r="G618" s="8" t="s">
        <v>34</v>
      </c>
      <c r="H618" s="86"/>
      <c r="I618" s="87"/>
      <c r="J618" s="87"/>
      <c r="K618" s="83"/>
      <c r="L618" s="83"/>
      <c r="M618" s="83"/>
    </row>
    <row r="619" spans="1:13" ht="15.75" x14ac:dyDescent="0.2">
      <c r="A619" s="85"/>
      <c r="B619" s="83"/>
      <c r="C619" s="83"/>
      <c r="D619" s="83"/>
      <c r="E619" s="83"/>
      <c r="F619" s="7" t="str">
        <f>CVSSv3!$A$8</f>
        <v>Scope</v>
      </c>
      <c r="G619" s="8" t="s">
        <v>35</v>
      </c>
      <c r="H619" s="86"/>
      <c r="I619" s="87"/>
      <c r="J619" s="87"/>
      <c r="K619" s="83"/>
      <c r="L619" s="83"/>
      <c r="M619" s="83"/>
    </row>
    <row r="620" spans="1:13" ht="15.75" x14ac:dyDescent="0.2">
      <c r="A620" s="85"/>
      <c r="B620" s="83"/>
      <c r="C620" s="83"/>
      <c r="D620" s="83"/>
      <c r="E620" s="83"/>
      <c r="F620" s="7" t="str">
        <f>CVSSv3!$A$9</f>
        <v>Confidentiality Impact</v>
      </c>
      <c r="G620" s="8" t="s">
        <v>36</v>
      </c>
      <c r="H620" s="86"/>
      <c r="I620" s="87"/>
      <c r="J620" s="87"/>
      <c r="K620" s="83"/>
      <c r="L620" s="83"/>
      <c r="M620" s="83"/>
    </row>
    <row r="621" spans="1:13" ht="15.75" x14ac:dyDescent="0.2">
      <c r="A621" s="85"/>
      <c r="B621" s="83"/>
      <c r="C621" s="83"/>
      <c r="D621" s="83"/>
      <c r="E621" s="83"/>
      <c r="F621" s="7" t="str">
        <f>CVSSv3!$A$10</f>
        <v>Integrity Impact</v>
      </c>
      <c r="G621" s="8" t="s">
        <v>36</v>
      </c>
      <c r="H621" s="86"/>
      <c r="I621" s="87"/>
      <c r="J621" s="87"/>
      <c r="K621" s="83"/>
      <c r="L621" s="83"/>
      <c r="M621" s="83"/>
    </row>
    <row r="622" spans="1:13" ht="15.75" x14ac:dyDescent="0.2">
      <c r="A622" s="85"/>
      <c r="B622" s="83"/>
      <c r="C622" s="83"/>
      <c r="D622" s="83"/>
      <c r="E622" s="83"/>
      <c r="F622" s="7" t="str">
        <f>CVSSv3!$A$11</f>
        <v>Availability Impact</v>
      </c>
      <c r="G622" s="8" t="s">
        <v>36</v>
      </c>
      <c r="H622" s="86"/>
      <c r="I622" s="87"/>
      <c r="J622" s="87"/>
      <c r="K622" s="83"/>
      <c r="L622" s="83"/>
      <c r="M622" s="83"/>
    </row>
    <row r="623" spans="1:13" ht="15.75" x14ac:dyDescent="0.2">
      <c r="A623" s="85"/>
      <c r="B623" s="83"/>
      <c r="C623" s="83"/>
      <c r="D623" s="83"/>
      <c r="E623" s="83"/>
      <c r="F623" s="7" t="str">
        <f>CVSSv3!$A$12</f>
        <v>Exploit Code Maturity</v>
      </c>
      <c r="G623" s="8" t="s">
        <v>32</v>
      </c>
      <c r="H623" s="86"/>
      <c r="I623" s="87"/>
      <c r="J623" s="87"/>
      <c r="K623" s="83"/>
      <c r="L623" s="83"/>
      <c r="M623" s="83"/>
    </row>
    <row r="624" spans="1:13" ht="15.75" x14ac:dyDescent="0.2">
      <c r="A624" s="85"/>
      <c r="B624" s="83"/>
      <c r="C624" s="83"/>
      <c r="D624" s="83"/>
      <c r="E624" s="83"/>
      <c r="F624" s="7" t="str">
        <f>CVSSv3!$A$13</f>
        <v>Remediation Level</v>
      </c>
      <c r="G624" s="8" t="s">
        <v>37</v>
      </c>
      <c r="H624" s="86"/>
      <c r="I624" s="87"/>
      <c r="J624" s="87"/>
      <c r="K624" s="83"/>
      <c r="L624" s="83"/>
      <c r="M624" s="83"/>
    </row>
    <row r="625" spans="1:13" ht="15.75" x14ac:dyDescent="0.2">
      <c r="A625" s="85"/>
      <c r="B625" s="83"/>
      <c r="C625" s="83"/>
      <c r="D625" s="83"/>
      <c r="E625" s="83"/>
      <c r="F625" s="7" t="str">
        <f>CVSSv3!$A$14</f>
        <v>Report Confidence</v>
      </c>
      <c r="G625" s="8" t="s">
        <v>38</v>
      </c>
      <c r="H625" s="86"/>
      <c r="I625" s="87"/>
      <c r="J625" s="87"/>
      <c r="K625" s="83"/>
      <c r="L625" s="83"/>
      <c r="M625" s="83"/>
    </row>
    <row r="626" spans="1:13" ht="15.75" x14ac:dyDescent="0.2">
      <c r="A626" s="85"/>
      <c r="B626" s="83"/>
      <c r="C626" s="83"/>
      <c r="D626" s="83"/>
      <c r="E626" s="83"/>
      <c r="F626" s="84" t="str">
        <f>"("&amp;CVSSv3!$B$4&amp;":"&amp;IF(G615=CVSSv3!$C$4,CVSSv3!$C$30,IF(G615=CVSSv3!$D$4,CVSSv3!$D$30,IF(G615=CVSSv3!$E$4,CVSSv3!$E$30,IF(G615=CVSSv3!$F$4,CVSSv3!$F$30,""))))&amp;"/"&amp;CVSSv3!$B$5&amp;":"&amp;IF(G616=CVSSv3!$C$5,CVSSv3!$C$31,IF(G616=CVSSv3!$D$5,CVSSv3!$D$31,""))&amp;"/"&amp;CVSSv3!$B$6&amp;":"&amp;IF(G617=CVSSv3!$C$6,CVSSv3!$C$32,IF(G617=CVSSv3!$D$6,CVSSv3!$D$32,IF(G617=CVSSv3!$E$6,CVSSv3!$E$32,"")))&amp;"/"&amp;CVSSv3!$B$7&amp;":"&amp;IF(G618=CVSSv3!$C$7,CVSSv3!$C$33,IF(G618=CVSSv3!$D$7,CVSSv3!$D$33,""))&amp;"/"&amp;CVSSv3!$B$8&amp;":"&amp;IF(G619=CVSSv3!$C$8,CVSSv3!$C$34,IF(G619=CVSSv3!$D$8,CVSSv3!$D$34,""))&amp;"/"&amp;CVSSv3!$B$9&amp;":"&amp;IF(G620=CVSSv3!$C$9,CVSSv3!$C$35,IF(G620=CVSSv3!$D$9,CVSSv3!$D$35,IF(G620=CVSSv3!$E$9,CVSSv3!$E$35,"")))&amp;"/"&amp;CVSSv3!$B$10&amp;":"&amp;IF(G621=CVSSv3!$C$10,CVSSv3!$C$36,IF(G621=CVSSv3!$D$10,CVSSv3!$D$36,IF(G621=CVSSv3!$E$10,CVSSv3!$E$36,"")))&amp;"/"&amp;CVSSv3!$B$11&amp;":"&amp;IF(G622=CVSSv3!$C$11,CVSSv3!$C$37,IF(G622=CVSSv3!$D$11,CVSSv3!$D$37,IF(G622=CVSSv3!$E$11,CVSSv3!$E$37,"")))&amp;"/"&amp;CVSSv3!$B$12&amp;":"&amp;IF(G623=CVSSv3!$C$12,CVSSv3!$C$38,IF(G623=CVSSv3!$D$12,CVSSv3!$D$38,IF(G623=CVSSv3!$E$12,CVSSv3!$E$38,IF(G623=CVSSv3!$F$12,CVSSv3!$F$38,""))))&amp;"/"&amp;CVSSv3!$B$13&amp;":"&amp;IF(G624=CVSSv3!$C$13,CVSSv3!$C$39,IF(G624=CVSSv3!$D$13,CVSSv3!$D$39,IF(G624=CVSSv3!$E$13,CVSSv3!$E$39,IF(G624=CVSSv3!$F$13,CVSSv3!$F$39,""))))&amp;"/"&amp;CVSSv3!$B$14&amp;":"&amp;IF(G625=CVSSv3!$C$14,CVSSv3!$C$40,IF(G625=CVSSv3!$D$14,CVSSv3!$D$40,IF(G625=CVSSv3!$E$14,CVSSv3!$E$40,"")))&amp;")"</f>
        <v>(AV:/AC:/PR:/UI:/S:/C:/I:/A:/E:/RL:/RC:)</v>
      </c>
      <c r="G626" s="84"/>
      <c r="H626" s="86"/>
      <c r="I626" s="87"/>
      <c r="J626" s="87"/>
      <c r="K626" s="83"/>
      <c r="L626" s="83"/>
      <c r="M626" s="83"/>
    </row>
    <row r="627" spans="1:13" ht="15.75" customHeight="1" x14ac:dyDescent="0.25">
      <c r="A627" s="85">
        <v>53</v>
      </c>
      <c r="B627" s="83" t="s">
        <v>83</v>
      </c>
      <c r="C627" s="83" t="s">
        <v>14</v>
      </c>
      <c r="D627" s="83" t="s">
        <v>14</v>
      </c>
      <c r="E627" s="83" t="s">
        <v>14</v>
      </c>
      <c r="F627" s="5" t="str">
        <f>CVSSv3!$A$4</f>
        <v>Attack Vector</v>
      </c>
      <c r="G627" s="6" t="s">
        <v>15</v>
      </c>
      <c r="H627" s="86" t="e">
        <f>ROUNDUP((IF((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lt;=0,0,(IF(G631=CVSSv3!$C$8,ROUNDUP((MIN((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(8.22*(IF(G627=CVSSv3!$C$4,CVSSv3!$C$17,(IF(G627=CVSSv3!$D$4,CVSSv3!$D$17,(IF(G627=CVSSv3!$E$4,CVSSv3!$E$17,(IF(G627=CVSSv3!$F$4,CVSSv3!$F$17,""))))))))*(IF(G628=CVSSv3!$C$5,CVSSv3!$C$18,(IF(G628=CVSSv3!$D$5,CVSSv3!$D$18,""))))*(IF(G629=CVSSv3!$C$6,CVSSv3!$C$19,(IF(G629=CVSSv3!$D$6,(IF(G631=CVSSv3!$D$8,0.68,CVSSv3!$D$19)),(IF(G629=CVSSv3!$E$6,(IF(G631=CVSSv3!$D$8,0.5,CVSSv3!$E$19))))))))*(IF(G630=CVSSv3!$C$7,CVSSv3!$C$20,(IF(G630=CVSSv3!$D$7,CVSSv3!$D$20,""))))),10)),1),ROUNDUP((MIN(1.08*((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(8.22*(IF(G627=CVSSv3!$C$4,CVSSv3!$C$17,(IF(G627=CVSSv3!$D$4,CVSSv3!$D$17,(IF(G627=CVSSv3!$E$4,CVSSv3!$E$17,(IF(G627=CVSSv3!$F$4,CVSSv3!$F$17,""))))))))*(IF(G628=CVSSv3!$C$5,CVSSv3!$C$18,(IF(G628=CVSSv3!$D$5,CVSSv3!$D$18,""))))*(IF(G629=CVSSv3!$C$6,CVSSv3!$C$19,(IF(G629=CVSSv3!$D$6,(IF(G631=CVSSv3!$D$8,0.68,CVSSv3!$D$19)),(IF(G629=CVSSv3!$E$6,(IF(G631=CVSSv3!$D$8,0.5,CVSSv3!$E$19))))))))*(IF(G630=CVSSv3!$C$7,CVSSv3!$C$20,(IF(G630=CVSSv3!$D$7,CVSSv3!$D$20,"")))))),10)),1))))*(IF(G635=CVSSv3!$C$12,CVSSv3!$C$25,(IF(G635=CVSSv3!$D$12,CVSSv3!$D$25,(IF(G635=CVSSv3!$E$12,CVSSv3!$E$25,(IF(G635=CVSSv3!$F$12,CVSSv3!$F$25,""))))))))*(IF(G636=CVSSv3!$C$13,CVSSv3!$C$26,(IF(G636=CVSSv3!$D$13,CVSSv3!$D$26,(IF(G636=CVSSv3!$E$13,CVSSv3!$E$26,(IF(G636=CVSSv3!$F$13,CVSSv3!$F$26,""))))))))*(IF(G637=CVSSv3!$C$14,CVSSv3!$C$27,(IF(G637=CVSSv3!$D$14,CVSSv3!$D$27,(IF(G637=CVSSv3!$E$14,CVSSv3!$E$27,""))))))),1)</f>
        <v>#VALUE!</v>
      </c>
      <c r="I627" s="87">
        <v>0</v>
      </c>
      <c r="J627" s="87">
        <v>0</v>
      </c>
      <c r="K627" s="83" t="s">
        <v>14</v>
      </c>
      <c r="L627" s="83" t="s">
        <v>14</v>
      </c>
      <c r="M627" s="83" t="s">
        <v>16</v>
      </c>
    </row>
    <row r="628" spans="1:13" ht="15.75" x14ac:dyDescent="0.2">
      <c r="A628" s="85"/>
      <c r="B628" s="83"/>
      <c r="C628" s="83"/>
      <c r="D628" s="83"/>
      <c r="E628" s="83"/>
      <c r="F628" s="7" t="str">
        <f>CVSSv3!$A$5</f>
        <v>Attack Complexity</v>
      </c>
      <c r="G628" s="8" t="s">
        <v>32</v>
      </c>
      <c r="H628" s="86"/>
      <c r="I628" s="87"/>
      <c r="J628" s="87"/>
      <c r="K628" s="83"/>
      <c r="L628" s="83"/>
      <c r="M628" s="83"/>
    </row>
    <row r="629" spans="1:13" ht="15.75" x14ac:dyDescent="0.2">
      <c r="A629" s="85"/>
      <c r="B629" s="83"/>
      <c r="C629" s="83"/>
      <c r="D629" s="83"/>
      <c r="E629" s="83"/>
      <c r="F629" s="7" t="str">
        <f>CVSSv3!$A$6</f>
        <v>Privilege Required</v>
      </c>
      <c r="G629" s="8" t="s">
        <v>33</v>
      </c>
      <c r="H629" s="86"/>
      <c r="I629" s="87"/>
      <c r="J629" s="87"/>
      <c r="K629" s="83"/>
      <c r="L629" s="83"/>
      <c r="M629" s="83"/>
    </row>
    <row r="630" spans="1:13" ht="15.75" x14ac:dyDescent="0.2">
      <c r="A630" s="85"/>
      <c r="B630" s="83"/>
      <c r="C630" s="83"/>
      <c r="D630" s="83"/>
      <c r="E630" s="83"/>
      <c r="F630" s="7" t="str">
        <f>CVSSv3!$A$7</f>
        <v>User Interaction</v>
      </c>
      <c r="G630" s="8" t="s">
        <v>34</v>
      </c>
      <c r="H630" s="86"/>
      <c r="I630" s="87"/>
      <c r="J630" s="87"/>
      <c r="K630" s="83"/>
      <c r="L630" s="83"/>
      <c r="M630" s="83"/>
    </row>
    <row r="631" spans="1:13" ht="15.75" x14ac:dyDescent="0.2">
      <c r="A631" s="85"/>
      <c r="B631" s="83"/>
      <c r="C631" s="83"/>
      <c r="D631" s="83"/>
      <c r="E631" s="83"/>
      <c r="F631" s="7" t="str">
        <f>CVSSv3!$A$8</f>
        <v>Scope</v>
      </c>
      <c r="G631" s="8" t="s">
        <v>35</v>
      </c>
      <c r="H631" s="86"/>
      <c r="I631" s="87"/>
      <c r="J631" s="87"/>
      <c r="K631" s="83"/>
      <c r="L631" s="83"/>
      <c r="M631" s="83"/>
    </row>
    <row r="632" spans="1:13" ht="15.75" x14ac:dyDescent="0.2">
      <c r="A632" s="85"/>
      <c r="B632" s="83"/>
      <c r="C632" s="83"/>
      <c r="D632" s="83"/>
      <c r="E632" s="83"/>
      <c r="F632" s="7" t="str">
        <f>CVSSv3!$A$9</f>
        <v>Confidentiality Impact</v>
      </c>
      <c r="G632" s="8" t="s">
        <v>36</v>
      </c>
      <c r="H632" s="86"/>
      <c r="I632" s="87"/>
      <c r="J632" s="87"/>
      <c r="K632" s="83"/>
      <c r="L632" s="83"/>
      <c r="M632" s="83"/>
    </row>
    <row r="633" spans="1:13" ht="15.75" x14ac:dyDescent="0.2">
      <c r="A633" s="85"/>
      <c r="B633" s="83"/>
      <c r="C633" s="83"/>
      <c r="D633" s="83"/>
      <c r="E633" s="83"/>
      <c r="F633" s="7" t="str">
        <f>CVSSv3!$A$10</f>
        <v>Integrity Impact</v>
      </c>
      <c r="G633" s="8" t="s">
        <v>36</v>
      </c>
      <c r="H633" s="86"/>
      <c r="I633" s="87"/>
      <c r="J633" s="87"/>
      <c r="K633" s="83"/>
      <c r="L633" s="83"/>
      <c r="M633" s="83"/>
    </row>
    <row r="634" spans="1:13" ht="15.75" x14ac:dyDescent="0.2">
      <c r="A634" s="85"/>
      <c r="B634" s="83"/>
      <c r="C634" s="83"/>
      <c r="D634" s="83"/>
      <c r="E634" s="83"/>
      <c r="F634" s="7" t="str">
        <f>CVSSv3!$A$11</f>
        <v>Availability Impact</v>
      </c>
      <c r="G634" s="8" t="s">
        <v>36</v>
      </c>
      <c r="H634" s="86"/>
      <c r="I634" s="87"/>
      <c r="J634" s="87"/>
      <c r="K634" s="83"/>
      <c r="L634" s="83"/>
      <c r="M634" s="83"/>
    </row>
    <row r="635" spans="1:13" ht="15.75" x14ac:dyDescent="0.2">
      <c r="A635" s="85"/>
      <c r="B635" s="83"/>
      <c r="C635" s="83"/>
      <c r="D635" s="83"/>
      <c r="E635" s="83"/>
      <c r="F635" s="7" t="str">
        <f>CVSSv3!$A$12</f>
        <v>Exploit Code Maturity</v>
      </c>
      <c r="G635" s="8" t="s">
        <v>32</v>
      </c>
      <c r="H635" s="86"/>
      <c r="I635" s="87"/>
      <c r="J635" s="87"/>
      <c r="K635" s="83"/>
      <c r="L635" s="83"/>
      <c r="M635" s="83"/>
    </row>
    <row r="636" spans="1:13" ht="15.75" x14ac:dyDescent="0.2">
      <c r="A636" s="85"/>
      <c r="B636" s="83"/>
      <c r="C636" s="83"/>
      <c r="D636" s="83"/>
      <c r="E636" s="83"/>
      <c r="F636" s="7" t="str">
        <f>CVSSv3!$A$13</f>
        <v>Remediation Level</v>
      </c>
      <c r="G636" s="8" t="s">
        <v>37</v>
      </c>
      <c r="H636" s="86"/>
      <c r="I636" s="87"/>
      <c r="J636" s="87"/>
      <c r="K636" s="83"/>
      <c r="L636" s="83"/>
      <c r="M636" s="83"/>
    </row>
    <row r="637" spans="1:13" ht="15.75" x14ac:dyDescent="0.2">
      <c r="A637" s="85"/>
      <c r="B637" s="83"/>
      <c r="C637" s="83"/>
      <c r="D637" s="83"/>
      <c r="E637" s="83"/>
      <c r="F637" s="7" t="str">
        <f>CVSSv3!$A$14</f>
        <v>Report Confidence</v>
      </c>
      <c r="G637" s="8" t="s">
        <v>38</v>
      </c>
      <c r="H637" s="86"/>
      <c r="I637" s="87"/>
      <c r="J637" s="87"/>
      <c r="K637" s="83"/>
      <c r="L637" s="83"/>
      <c r="M637" s="83"/>
    </row>
    <row r="638" spans="1:13" ht="15.75" x14ac:dyDescent="0.2">
      <c r="A638" s="85"/>
      <c r="B638" s="83"/>
      <c r="C638" s="83"/>
      <c r="D638" s="83"/>
      <c r="E638" s="83"/>
      <c r="F638" s="84" t="str">
        <f>"("&amp;CVSSv3!$B$4&amp;":"&amp;IF(G627=CVSSv3!$C$4,CVSSv3!$C$30,IF(G627=CVSSv3!$D$4,CVSSv3!$D$30,IF(G627=CVSSv3!$E$4,CVSSv3!$E$30,IF(G627=CVSSv3!$F$4,CVSSv3!$F$30,""))))&amp;"/"&amp;CVSSv3!$B$5&amp;":"&amp;IF(G628=CVSSv3!$C$5,CVSSv3!$C$31,IF(G628=CVSSv3!$D$5,CVSSv3!$D$31,""))&amp;"/"&amp;CVSSv3!$B$6&amp;":"&amp;IF(G629=CVSSv3!$C$6,CVSSv3!$C$32,IF(G629=CVSSv3!$D$6,CVSSv3!$D$32,IF(G629=CVSSv3!$E$6,CVSSv3!$E$32,"")))&amp;"/"&amp;CVSSv3!$B$7&amp;":"&amp;IF(G630=CVSSv3!$C$7,CVSSv3!$C$33,IF(G630=CVSSv3!$D$7,CVSSv3!$D$33,""))&amp;"/"&amp;CVSSv3!$B$8&amp;":"&amp;IF(G631=CVSSv3!$C$8,CVSSv3!$C$34,IF(G631=CVSSv3!$D$8,CVSSv3!$D$34,""))&amp;"/"&amp;CVSSv3!$B$9&amp;":"&amp;IF(G632=CVSSv3!$C$9,CVSSv3!$C$35,IF(G632=CVSSv3!$D$9,CVSSv3!$D$35,IF(G632=CVSSv3!$E$9,CVSSv3!$E$35,"")))&amp;"/"&amp;CVSSv3!$B$10&amp;":"&amp;IF(G633=CVSSv3!$C$10,CVSSv3!$C$36,IF(G633=CVSSv3!$D$10,CVSSv3!$D$36,IF(G633=CVSSv3!$E$10,CVSSv3!$E$36,"")))&amp;"/"&amp;CVSSv3!$B$11&amp;":"&amp;IF(G634=CVSSv3!$C$11,CVSSv3!$C$37,IF(G634=CVSSv3!$D$11,CVSSv3!$D$37,IF(G634=CVSSv3!$E$11,CVSSv3!$E$37,"")))&amp;"/"&amp;CVSSv3!$B$12&amp;":"&amp;IF(G635=CVSSv3!$C$12,CVSSv3!$C$38,IF(G635=CVSSv3!$D$12,CVSSv3!$D$38,IF(G635=CVSSv3!$E$12,CVSSv3!$E$38,IF(G635=CVSSv3!$F$12,CVSSv3!$F$38,""))))&amp;"/"&amp;CVSSv3!$B$13&amp;":"&amp;IF(G636=CVSSv3!$C$13,CVSSv3!$C$39,IF(G636=CVSSv3!$D$13,CVSSv3!$D$39,IF(G636=CVSSv3!$E$13,CVSSv3!$E$39,IF(G636=CVSSv3!$F$13,CVSSv3!$F$39,""))))&amp;"/"&amp;CVSSv3!$B$14&amp;":"&amp;IF(G637=CVSSv3!$C$14,CVSSv3!$C$40,IF(G637=CVSSv3!$D$14,CVSSv3!$D$40,IF(G637=CVSSv3!$E$14,CVSSv3!$E$40,"")))&amp;")"</f>
        <v>(AV:/AC:/PR:/UI:/S:/C:/I:/A:/E:/RL:/RC:)</v>
      </c>
      <c r="G638" s="84"/>
      <c r="H638" s="86"/>
      <c r="I638" s="87"/>
      <c r="J638" s="87"/>
      <c r="K638" s="83"/>
      <c r="L638" s="83"/>
      <c r="M638" s="83"/>
    </row>
    <row r="639" spans="1:13" ht="15.75" customHeight="1" x14ac:dyDescent="0.25">
      <c r="A639" s="85">
        <v>54</v>
      </c>
      <c r="B639" s="83" t="s">
        <v>84</v>
      </c>
      <c r="C639" s="83" t="s">
        <v>14</v>
      </c>
      <c r="D639" s="83" t="s">
        <v>14</v>
      </c>
      <c r="E639" s="83" t="s">
        <v>14</v>
      </c>
      <c r="F639" s="5" t="str">
        <f>CVSSv3!$A$4</f>
        <v>Attack Vector</v>
      </c>
      <c r="G639" s="6" t="s">
        <v>15</v>
      </c>
      <c r="H639" s="86" t="e">
        <f>ROUNDUP((IF((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lt;=0,0,(IF(G643=CVSSv3!$C$8,ROUNDUP((MIN((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(8.22*(IF(G639=CVSSv3!$C$4,CVSSv3!$C$17,(IF(G639=CVSSv3!$D$4,CVSSv3!$D$17,(IF(G639=CVSSv3!$E$4,CVSSv3!$E$17,(IF(G639=CVSSv3!$F$4,CVSSv3!$F$17,""))))))))*(IF(G640=CVSSv3!$C$5,CVSSv3!$C$18,(IF(G640=CVSSv3!$D$5,CVSSv3!$D$18,""))))*(IF(G641=CVSSv3!$C$6,CVSSv3!$C$19,(IF(G641=CVSSv3!$D$6,(IF(G643=CVSSv3!$D$8,0.68,CVSSv3!$D$19)),(IF(G641=CVSSv3!$E$6,(IF(G643=CVSSv3!$D$8,0.5,CVSSv3!$E$19))))))))*(IF(G642=CVSSv3!$C$7,CVSSv3!$C$20,(IF(G642=CVSSv3!$D$7,CVSSv3!$D$20,""))))),10)),1),ROUNDUP((MIN(1.08*((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(8.22*(IF(G639=CVSSv3!$C$4,CVSSv3!$C$17,(IF(G639=CVSSv3!$D$4,CVSSv3!$D$17,(IF(G639=CVSSv3!$E$4,CVSSv3!$E$17,(IF(G639=CVSSv3!$F$4,CVSSv3!$F$17,""))))))))*(IF(G640=CVSSv3!$C$5,CVSSv3!$C$18,(IF(G640=CVSSv3!$D$5,CVSSv3!$D$18,""))))*(IF(G641=CVSSv3!$C$6,CVSSv3!$C$19,(IF(G641=CVSSv3!$D$6,(IF(G643=CVSSv3!$D$8,0.68,CVSSv3!$D$19)),(IF(G641=CVSSv3!$E$6,(IF(G643=CVSSv3!$D$8,0.5,CVSSv3!$E$19))))))))*(IF(G642=CVSSv3!$C$7,CVSSv3!$C$20,(IF(G642=CVSSv3!$D$7,CVSSv3!$D$20,"")))))),10)),1))))*(IF(G647=CVSSv3!$C$12,CVSSv3!$C$25,(IF(G647=CVSSv3!$D$12,CVSSv3!$D$25,(IF(G647=CVSSv3!$E$12,CVSSv3!$E$25,(IF(G647=CVSSv3!$F$12,CVSSv3!$F$25,""))))))))*(IF(G648=CVSSv3!$C$13,CVSSv3!$C$26,(IF(G648=CVSSv3!$D$13,CVSSv3!$D$26,(IF(G648=CVSSv3!$E$13,CVSSv3!$E$26,(IF(G648=CVSSv3!$F$13,CVSSv3!$F$26,""))))))))*(IF(G649=CVSSv3!$C$14,CVSSv3!$C$27,(IF(G649=CVSSv3!$D$14,CVSSv3!$D$27,(IF(G649=CVSSv3!$E$14,CVSSv3!$E$27,""))))))),1)</f>
        <v>#VALUE!</v>
      </c>
      <c r="I639" s="87">
        <v>0</v>
      </c>
      <c r="J639" s="87">
        <v>0</v>
      </c>
      <c r="K639" s="83" t="s">
        <v>14</v>
      </c>
      <c r="L639" s="83" t="s">
        <v>14</v>
      </c>
      <c r="M639" s="83" t="s">
        <v>16</v>
      </c>
    </row>
    <row r="640" spans="1:13" ht="15.75" x14ac:dyDescent="0.2">
      <c r="A640" s="85"/>
      <c r="B640" s="83"/>
      <c r="C640" s="83"/>
      <c r="D640" s="83"/>
      <c r="E640" s="83"/>
      <c r="F640" s="7" t="str">
        <f>CVSSv3!$A$5</f>
        <v>Attack Complexity</v>
      </c>
      <c r="G640" s="8" t="s">
        <v>32</v>
      </c>
      <c r="H640" s="86"/>
      <c r="I640" s="87"/>
      <c r="J640" s="87"/>
      <c r="K640" s="83"/>
      <c r="L640" s="83"/>
      <c r="M640" s="83"/>
    </row>
    <row r="641" spans="1:13" ht="15.75" x14ac:dyDescent="0.2">
      <c r="A641" s="85"/>
      <c r="B641" s="83"/>
      <c r="C641" s="83"/>
      <c r="D641" s="83"/>
      <c r="E641" s="83"/>
      <c r="F641" s="7" t="str">
        <f>CVSSv3!$A$6</f>
        <v>Privilege Required</v>
      </c>
      <c r="G641" s="8" t="s">
        <v>33</v>
      </c>
      <c r="H641" s="86"/>
      <c r="I641" s="87"/>
      <c r="J641" s="87"/>
      <c r="K641" s="83"/>
      <c r="L641" s="83"/>
      <c r="M641" s="83"/>
    </row>
    <row r="642" spans="1:13" ht="15.75" x14ac:dyDescent="0.2">
      <c r="A642" s="85"/>
      <c r="B642" s="83"/>
      <c r="C642" s="83"/>
      <c r="D642" s="83"/>
      <c r="E642" s="83"/>
      <c r="F642" s="7" t="str">
        <f>CVSSv3!$A$7</f>
        <v>User Interaction</v>
      </c>
      <c r="G642" s="8" t="s">
        <v>34</v>
      </c>
      <c r="H642" s="86"/>
      <c r="I642" s="87"/>
      <c r="J642" s="87"/>
      <c r="K642" s="83"/>
      <c r="L642" s="83"/>
      <c r="M642" s="83"/>
    </row>
    <row r="643" spans="1:13" ht="15.75" x14ac:dyDescent="0.2">
      <c r="A643" s="85"/>
      <c r="B643" s="83"/>
      <c r="C643" s="83"/>
      <c r="D643" s="83"/>
      <c r="E643" s="83"/>
      <c r="F643" s="7" t="str">
        <f>CVSSv3!$A$8</f>
        <v>Scope</v>
      </c>
      <c r="G643" s="8" t="s">
        <v>35</v>
      </c>
      <c r="H643" s="86"/>
      <c r="I643" s="87"/>
      <c r="J643" s="87"/>
      <c r="K643" s="83"/>
      <c r="L643" s="83"/>
      <c r="M643" s="83"/>
    </row>
    <row r="644" spans="1:13" ht="15.75" x14ac:dyDescent="0.2">
      <c r="A644" s="85"/>
      <c r="B644" s="83"/>
      <c r="C644" s="83"/>
      <c r="D644" s="83"/>
      <c r="E644" s="83"/>
      <c r="F644" s="7" t="str">
        <f>CVSSv3!$A$9</f>
        <v>Confidentiality Impact</v>
      </c>
      <c r="G644" s="8" t="s">
        <v>36</v>
      </c>
      <c r="H644" s="86"/>
      <c r="I644" s="87"/>
      <c r="J644" s="87"/>
      <c r="K644" s="83"/>
      <c r="L644" s="83"/>
      <c r="M644" s="83"/>
    </row>
    <row r="645" spans="1:13" ht="15.75" x14ac:dyDescent="0.2">
      <c r="A645" s="85"/>
      <c r="B645" s="83"/>
      <c r="C645" s="83"/>
      <c r="D645" s="83"/>
      <c r="E645" s="83"/>
      <c r="F645" s="7" t="str">
        <f>CVSSv3!$A$10</f>
        <v>Integrity Impact</v>
      </c>
      <c r="G645" s="8" t="s">
        <v>36</v>
      </c>
      <c r="H645" s="86"/>
      <c r="I645" s="87"/>
      <c r="J645" s="87"/>
      <c r="K645" s="83"/>
      <c r="L645" s="83"/>
      <c r="M645" s="83"/>
    </row>
    <row r="646" spans="1:13" ht="15.75" x14ac:dyDescent="0.2">
      <c r="A646" s="85"/>
      <c r="B646" s="83"/>
      <c r="C646" s="83"/>
      <c r="D646" s="83"/>
      <c r="E646" s="83"/>
      <c r="F646" s="7" t="str">
        <f>CVSSv3!$A$11</f>
        <v>Availability Impact</v>
      </c>
      <c r="G646" s="8" t="s">
        <v>36</v>
      </c>
      <c r="H646" s="86"/>
      <c r="I646" s="87"/>
      <c r="J646" s="87"/>
      <c r="K646" s="83"/>
      <c r="L646" s="83"/>
      <c r="M646" s="83"/>
    </row>
    <row r="647" spans="1:13" ht="15.75" x14ac:dyDescent="0.2">
      <c r="A647" s="85"/>
      <c r="B647" s="83"/>
      <c r="C647" s="83"/>
      <c r="D647" s="83"/>
      <c r="E647" s="83"/>
      <c r="F647" s="7" t="str">
        <f>CVSSv3!$A$12</f>
        <v>Exploit Code Maturity</v>
      </c>
      <c r="G647" s="8" t="s">
        <v>32</v>
      </c>
      <c r="H647" s="86"/>
      <c r="I647" s="87"/>
      <c r="J647" s="87"/>
      <c r="K647" s="83"/>
      <c r="L647" s="83"/>
      <c r="M647" s="83"/>
    </row>
    <row r="648" spans="1:13" ht="15.75" x14ac:dyDescent="0.2">
      <c r="A648" s="85"/>
      <c r="B648" s="83"/>
      <c r="C648" s="83"/>
      <c r="D648" s="83"/>
      <c r="E648" s="83"/>
      <c r="F648" s="7" t="str">
        <f>CVSSv3!$A$13</f>
        <v>Remediation Level</v>
      </c>
      <c r="G648" s="8" t="s">
        <v>37</v>
      </c>
      <c r="H648" s="86"/>
      <c r="I648" s="87"/>
      <c r="J648" s="87"/>
      <c r="K648" s="83"/>
      <c r="L648" s="83"/>
      <c r="M648" s="83"/>
    </row>
    <row r="649" spans="1:13" ht="15.75" x14ac:dyDescent="0.2">
      <c r="A649" s="85"/>
      <c r="B649" s="83"/>
      <c r="C649" s="83"/>
      <c r="D649" s="83"/>
      <c r="E649" s="83"/>
      <c r="F649" s="7" t="str">
        <f>CVSSv3!$A$14</f>
        <v>Report Confidence</v>
      </c>
      <c r="G649" s="8" t="s">
        <v>38</v>
      </c>
      <c r="H649" s="86"/>
      <c r="I649" s="87"/>
      <c r="J649" s="87"/>
      <c r="K649" s="83"/>
      <c r="L649" s="83"/>
      <c r="M649" s="83"/>
    </row>
    <row r="650" spans="1:13" ht="15.75" x14ac:dyDescent="0.2">
      <c r="A650" s="85"/>
      <c r="B650" s="83"/>
      <c r="C650" s="83"/>
      <c r="D650" s="83"/>
      <c r="E650" s="83"/>
      <c r="F650" s="84" t="str">
        <f>"("&amp;CVSSv3!$B$4&amp;":"&amp;IF(G639=CVSSv3!$C$4,CVSSv3!$C$30,IF(G639=CVSSv3!$D$4,CVSSv3!$D$30,IF(G639=CVSSv3!$E$4,CVSSv3!$E$30,IF(G639=CVSSv3!$F$4,CVSSv3!$F$30,""))))&amp;"/"&amp;CVSSv3!$B$5&amp;":"&amp;IF(G640=CVSSv3!$C$5,CVSSv3!$C$31,IF(G640=CVSSv3!$D$5,CVSSv3!$D$31,""))&amp;"/"&amp;CVSSv3!$B$6&amp;":"&amp;IF(G641=CVSSv3!$C$6,CVSSv3!$C$32,IF(G641=CVSSv3!$D$6,CVSSv3!$D$32,IF(G641=CVSSv3!$E$6,CVSSv3!$E$32,"")))&amp;"/"&amp;CVSSv3!$B$7&amp;":"&amp;IF(G642=CVSSv3!$C$7,CVSSv3!$C$33,IF(G642=CVSSv3!$D$7,CVSSv3!$D$33,""))&amp;"/"&amp;CVSSv3!$B$8&amp;":"&amp;IF(G643=CVSSv3!$C$8,CVSSv3!$C$34,IF(G643=CVSSv3!$D$8,CVSSv3!$D$34,""))&amp;"/"&amp;CVSSv3!$B$9&amp;":"&amp;IF(G644=CVSSv3!$C$9,CVSSv3!$C$35,IF(G644=CVSSv3!$D$9,CVSSv3!$D$35,IF(G644=CVSSv3!$E$9,CVSSv3!$E$35,"")))&amp;"/"&amp;CVSSv3!$B$10&amp;":"&amp;IF(G645=CVSSv3!$C$10,CVSSv3!$C$36,IF(G645=CVSSv3!$D$10,CVSSv3!$D$36,IF(G645=CVSSv3!$E$10,CVSSv3!$E$36,"")))&amp;"/"&amp;CVSSv3!$B$11&amp;":"&amp;IF(G646=CVSSv3!$C$11,CVSSv3!$C$37,IF(G646=CVSSv3!$D$11,CVSSv3!$D$37,IF(G646=CVSSv3!$E$11,CVSSv3!$E$37,"")))&amp;"/"&amp;CVSSv3!$B$12&amp;":"&amp;IF(G647=CVSSv3!$C$12,CVSSv3!$C$38,IF(G647=CVSSv3!$D$12,CVSSv3!$D$38,IF(G647=CVSSv3!$E$12,CVSSv3!$E$38,IF(G647=CVSSv3!$F$12,CVSSv3!$F$38,""))))&amp;"/"&amp;CVSSv3!$B$13&amp;":"&amp;IF(G648=CVSSv3!$C$13,CVSSv3!$C$39,IF(G648=CVSSv3!$D$13,CVSSv3!$D$39,IF(G648=CVSSv3!$E$13,CVSSv3!$E$39,IF(G648=CVSSv3!$F$13,CVSSv3!$F$39,""))))&amp;"/"&amp;CVSSv3!$B$14&amp;":"&amp;IF(G649=CVSSv3!$C$14,CVSSv3!$C$40,IF(G649=CVSSv3!$D$14,CVSSv3!$D$40,IF(G649=CVSSv3!$E$14,CVSSv3!$E$40,"")))&amp;")"</f>
        <v>(AV:/AC:/PR:/UI:/S:/C:/I:/A:/E:/RL:/RC:)</v>
      </c>
      <c r="G650" s="84"/>
      <c r="H650" s="86"/>
      <c r="I650" s="87"/>
      <c r="J650" s="87"/>
      <c r="K650" s="83"/>
      <c r="L650" s="83"/>
      <c r="M650" s="83"/>
    </row>
    <row r="651" spans="1:13" ht="15.75" customHeight="1" x14ac:dyDescent="0.25">
      <c r="A651" s="85">
        <v>55</v>
      </c>
      <c r="B651" s="83" t="s">
        <v>85</v>
      </c>
      <c r="C651" s="83" t="s">
        <v>14</v>
      </c>
      <c r="D651" s="83" t="s">
        <v>14</v>
      </c>
      <c r="E651" s="83" t="s">
        <v>14</v>
      </c>
      <c r="F651" s="5" t="str">
        <f>CVSSv3!$A$4</f>
        <v>Attack Vector</v>
      </c>
      <c r="G651" s="6" t="s">
        <v>15</v>
      </c>
      <c r="H651" s="86" t="e">
        <f>ROUNDUP((IF((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lt;=0,0,(IF(G655=CVSSv3!$C$8,ROUNDUP((MIN((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(8.22*(IF(G651=CVSSv3!$C$4,CVSSv3!$C$17,(IF(G651=CVSSv3!$D$4,CVSSv3!$D$17,(IF(G651=CVSSv3!$E$4,CVSSv3!$E$17,(IF(G651=CVSSv3!$F$4,CVSSv3!$F$17,""))))))))*(IF(G652=CVSSv3!$C$5,CVSSv3!$C$18,(IF(G652=CVSSv3!$D$5,CVSSv3!$D$18,""))))*(IF(G653=CVSSv3!$C$6,CVSSv3!$C$19,(IF(G653=CVSSv3!$D$6,(IF(G655=CVSSv3!$D$8,0.68,CVSSv3!$D$19)),(IF(G653=CVSSv3!$E$6,(IF(G655=CVSSv3!$D$8,0.5,CVSSv3!$E$19))))))))*(IF(G654=CVSSv3!$C$7,CVSSv3!$C$20,(IF(G654=CVSSv3!$D$7,CVSSv3!$D$20,""))))),10)),1),ROUNDUP((MIN(1.08*((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(8.22*(IF(G651=CVSSv3!$C$4,CVSSv3!$C$17,(IF(G651=CVSSv3!$D$4,CVSSv3!$D$17,(IF(G651=CVSSv3!$E$4,CVSSv3!$E$17,(IF(G651=CVSSv3!$F$4,CVSSv3!$F$17,""))))))))*(IF(G652=CVSSv3!$C$5,CVSSv3!$C$18,(IF(G652=CVSSv3!$D$5,CVSSv3!$D$18,""))))*(IF(G653=CVSSv3!$C$6,CVSSv3!$C$19,(IF(G653=CVSSv3!$D$6,(IF(G655=CVSSv3!$D$8,0.68,CVSSv3!$D$19)),(IF(G653=CVSSv3!$E$6,(IF(G655=CVSSv3!$D$8,0.5,CVSSv3!$E$19))))))))*(IF(G654=CVSSv3!$C$7,CVSSv3!$C$20,(IF(G654=CVSSv3!$D$7,CVSSv3!$D$20,"")))))),10)),1))))*(IF(G659=CVSSv3!$C$12,CVSSv3!$C$25,(IF(G659=CVSSv3!$D$12,CVSSv3!$D$25,(IF(G659=CVSSv3!$E$12,CVSSv3!$E$25,(IF(G659=CVSSv3!$F$12,CVSSv3!$F$25,""))))))))*(IF(G660=CVSSv3!$C$13,CVSSv3!$C$26,(IF(G660=CVSSv3!$D$13,CVSSv3!$D$26,(IF(G660=CVSSv3!$E$13,CVSSv3!$E$26,(IF(G660=CVSSv3!$F$13,CVSSv3!$F$26,""))))))))*(IF(G661=CVSSv3!$C$14,CVSSv3!$C$27,(IF(G661=CVSSv3!$D$14,CVSSv3!$D$27,(IF(G661=CVSSv3!$E$14,CVSSv3!$E$27,""))))))),1)</f>
        <v>#VALUE!</v>
      </c>
      <c r="I651" s="87">
        <v>0</v>
      </c>
      <c r="J651" s="87">
        <v>0</v>
      </c>
      <c r="K651" s="83" t="s">
        <v>14</v>
      </c>
      <c r="L651" s="83" t="s">
        <v>14</v>
      </c>
      <c r="M651" s="83" t="s">
        <v>16</v>
      </c>
    </row>
    <row r="652" spans="1:13" ht="15.75" x14ac:dyDescent="0.2">
      <c r="A652" s="85"/>
      <c r="B652" s="83"/>
      <c r="C652" s="83"/>
      <c r="D652" s="83"/>
      <c r="E652" s="83"/>
      <c r="F652" s="7" t="str">
        <f>CVSSv3!$A$5</f>
        <v>Attack Complexity</v>
      </c>
      <c r="G652" s="8" t="s">
        <v>32</v>
      </c>
      <c r="H652" s="86"/>
      <c r="I652" s="87"/>
      <c r="J652" s="87"/>
      <c r="K652" s="83"/>
      <c r="L652" s="83"/>
      <c r="M652" s="83"/>
    </row>
    <row r="653" spans="1:13" ht="15.75" x14ac:dyDescent="0.2">
      <c r="A653" s="85"/>
      <c r="B653" s="83"/>
      <c r="C653" s="83"/>
      <c r="D653" s="83"/>
      <c r="E653" s="83"/>
      <c r="F653" s="7" t="str">
        <f>CVSSv3!$A$6</f>
        <v>Privilege Required</v>
      </c>
      <c r="G653" s="8" t="s">
        <v>33</v>
      </c>
      <c r="H653" s="86"/>
      <c r="I653" s="87"/>
      <c r="J653" s="87"/>
      <c r="K653" s="83"/>
      <c r="L653" s="83"/>
      <c r="M653" s="83"/>
    </row>
    <row r="654" spans="1:13" ht="15.75" x14ac:dyDescent="0.2">
      <c r="A654" s="85"/>
      <c r="B654" s="83"/>
      <c r="C654" s="83"/>
      <c r="D654" s="83"/>
      <c r="E654" s="83"/>
      <c r="F654" s="7" t="str">
        <f>CVSSv3!$A$7</f>
        <v>User Interaction</v>
      </c>
      <c r="G654" s="8" t="s">
        <v>34</v>
      </c>
      <c r="H654" s="86"/>
      <c r="I654" s="87"/>
      <c r="J654" s="87"/>
      <c r="K654" s="83"/>
      <c r="L654" s="83"/>
      <c r="M654" s="83"/>
    </row>
    <row r="655" spans="1:13" ht="15.75" x14ac:dyDescent="0.2">
      <c r="A655" s="85"/>
      <c r="B655" s="83"/>
      <c r="C655" s="83"/>
      <c r="D655" s="83"/>
      <c r="E655" s="83"/>
      <c r="F655" s="7" t="str">
        <f>CVSSv3!$A$8</f>
        <v>Scope</v>
      </c>
      <c r="G655" s="8" t="s">
        <v>35</v>
      </c>
      <c r="H655" s="86"/>
      <c r="I655" s="87"/>
      <c r="J655" s="87"/>
      <c r="K655" s="83"/>
      <c r="L655" s="83"/>
      <c r="M655" s="83"/>
    </row>
    <row r="656" spans="1:13" ht="15.75" x14ac:dyDescent="0.2">
      <c r="A656" s="85"/>
      <c r="B656" s="83"/>
      <c r="C656" s="83"/>
      <c r="D656" s="83"/>
      <c r="E656" s="83"/>
      <c r="F656" s="7" t="str">
        <f>CVSSv3!$A$9</f>
        <v>Confidentiality Impact</v>
      </c>
      <c r="G656" s="8" t="s">
        <v>36</v>
      </c>
      <c r="H656" s="86"/>
      <c r="I656" s="87"/>
      <c r="J656" s="87"/>
      <c r="K656" s="83"/>
      <c r="L656" s="83"/>
      <c r="M656" s="83"/>
    </row>
    <row r="657" spans="1:13" ht="15.75" x14ac:dyDescent="0.2">
      <c r="A657" s="85"/>
      <c r="B657" s="83"/>
      <c r="C657" s="83"/>
      <c r="D657" s="83"/>
      <c r="E657" s="83"/>
      <c r="F657" s="7" t="str">
        <f>CVSSv3!$A$10</f>
        <v>Integrity Impact</v>
      </c>
      <c r="G657" s="8" t="s">
        <v>36</v>
      </c>
      <c r="H657" s="86"/>
      <c r="I657" s="87"/>
      <c r="J657" s="87"/>
      <c r="K657" s="83"/>
      <c r="L657" s="83"/>
      <c r="M657" s="83"/>
    </row>
    <row r="658" spans="1:13" ht="15.75" x14ac:dyDescent="0.2">
      <c r="A658" s="85"/>
      <c r="B658" s="83"/>
      <c r="C658" s="83"/>
      <c r="D658" s="83"/>
      <c r="E658" s="83"/>
      <c r="F658" s="7" t="str">
        <f>CVSSv3!$A$11</f>
        <v>Availability Impact</v>
      </c>
      <c r="G658" s="8" t="s">
        <v>36</v>
      </c>
      <c r="H658" s="86"/>
      <c r="I658" s="87"/>
      <c r="J658" s="87"/>
      <c r="K658" s="83"/>
      <c r="L658" s="83"/>
      <c r="M658" s="83"/>
    </row>
    <row r="659" spans="1:13" ht="15.75" x14ac:dyDescent="0.2">
      <c r="A659" s="85"/>
      <c r="B659" s="83"/>
      <c r="C659" s="83"/>
      <c r="D659" s="83"/>
      <c r="E659" s="83"/>
      <c r="F659" s="7" t="str">
        <f>CVSSv3!$A$12</f>
        <v>Exploit Code Maturity</v>
      </c>
      <c r="G659" s="8" t="s">
        <v>32</v>
      </c>
      <c r="H659" s="86"/>
      <c r="I659" s="87"/>
      <c r="J659" s="87"/>
      <c r="K659" s="83"/>
      <c r="L659" s="83"/>
      <c r="M659" s="83"/>
    </row>
    <row r="660" spans="1:13" ht="15.75" x14ac:dyDescent="0.2">
      <c r="A660" s="85"/>
      <c r="B660" s="83"/>
      <c r="C660" s="83"/>
      <c r="D660" s="83"/>
      <c r="E660" s="83"/>
      <c r="F660" s="7" t="str">
        <f>CVSSv3!$A$13</f>
        <v>Remediation Level</v>
      </c>
      <c r="G660" s="8" t="s">
        <v>37</v>
      </c>
      <c r="H660" s="86"/>
      <c r="I660" s="87"/>
      <c r="J660" s="87"/>
      <c r="K660" s="83"/>
      <c r="L660" s="83"/>
      <c r="M660" s="83"/>
    </row>
    <row r="661" spans="1:13" ht="15.75" x14ac:dyDescent="0.2">
      <c r="A661" s="85"/>
      <c r="B661" s="83"/>
      <c r="C661" s="83"/>
      <c r="D661" s="83"/>
      <c r="E661" s="83"/>
      <c r="F661" s="7" t="str">
        <f>CVSSv3!$A$14</f>
        <v>Report Confidence</v>
      </c>
      <c r="G661" s="8" t="s">
        <v>38</v>
      </c>
      <c r="H661" s="86"/>
      <c r="I661" s="87"/>
      <c r="J661" s="87"/>
      <c r="K661" s="83"/>
      <c r="L661" s="83"/>
      <c r="M661" s="83"/>
    </row>
    <row r="662" spans="1:13" ht="15.75" x14ac:dyDescent="0.2">
      <c r="A662" s="85"/>
      <c r="B662" s="83"/>
      <c r="C662" s="83"/>
      <c r="D662" s="83"/>
      <c r="E662" s="83"/>
      <c r="F662" s="84" t="str">
        <f>"("&amp;CVSSv3!$B$4&amp;":"&amp;IF(G651=CVSSv3!$C$4,CVSSv3!$C$30,IF(G651=CVSSv3!$D$4,CVSSv3!$D$30,IF(G651=CVSSv3!$E$4,CVSSv3!$E$30,IF(G651=CVSSv3!$F$4,CVSSv3!$F$30,""))))&amp;"/"&amp;CVSSv3!$B$5&amp;":"&amp;IF(G652=CVSSv3!$C$5,CVSSv3!$C$31,IF(G652=CVSSv3!$D$5,CVSSv3!$D$31,""))&amp;"/"&amp;CVSSv3!$B$6&amp;":"&amp;IF(G653=CVSSv3!$C$6,CVSSv3!$C$32,IF(G653=CVSSv3!$D$6,CVSSv3!$D$32,IF(G653=CVSSv3!$E$6,CVSSv3!$E$32,"")))&amp;"/"&amp;CVSSv3!$B$7&amp;":"&amp;IF(G654=CVSSv3!$C$7,CVSSv3!$C$33,IF(G654=CVSSv3!$D$7,CVSSv3!$D$33,""))&amp;"/"&amp;CVSSv3!$B$8&amp;":"&amp;IF(G655=CVSSv3!$C$8,CVSSv3!$C$34,IF(G655=CVSSv3!$D$8,CVSSv3!$D$34,""))&amp;"/"&amp;CVSSv3!$B$9&amp;":"&amp;IF(G656=CVSSv3!$C$9,CVSSv3!$C$35,IF(G656=CVSSv3!$D$9,CVSSv3!$D$35,IF(G656=CVSSv3!$E$9,CVSSv3!$E$35,"")))&amp;"/"&amp;CVSSv3!$B$10&amp;":"&amp;IF(G657=CVSSv3!$C$10,CVSSv3!$C$36,IF(G657=CVSSv3!$D$10,CVSSv3!$D$36,IF(G657=CVSSv3!$E$10,CVSSv3!$E$36,"")))&amp;"/"&amp;CVSSv3!$B$11&amp;":"&amp;IF(G658=CVSSv3!$C$11,CVSSv3!$C$37,IF(G658=CVSSv3!$D$11,CVSSv3!$D$37,IF(G658=CVSSv3!$E$11,CVSSv3!$E$37,"")))&amp;"/"&amp;CVSSv3!$B$12&amp;":"&amp;IF(G659=CVSSv3!$C$12,CVSSv3!$C$38,IF(G659=CVSSv3!$D$12,CVSSv3!$D$38,IF(G659=CVSSv3!$E$12,CVSSv3!$E$38,IF(G659=CVSSv3!$F$12,CVSSv3!$F$38,""))))&amp;"/"&amp;CVSSv3!$B$13&amp;":"&amp;IF(G660=CVSSv3!$C$13,CVSSv3!$C$39,IF(G660=CVSSv3!$D$13,CVSSv3!$D$39,IF(G660=CVSSv3!$E$13,CVSSv3!$E$39,IF(G660=CVSSv3!$F$13,CVSSv3!$F$39,""))))&amp;"/"&amp;CVSSv3!$B$14&amp;":"&amp;IF(G661=CVSSv3!$C$14,CVSSv3!$C$40,IF(G661=CVSSv3!$D$14,CVSSv3!$D$40,IF(G661=CVSSv3!$E$14,CVSSv3!$E$40,"")))&amp;")"</f>
        <v>(AV:/AC:/PR:/UI:/S:/C:/I:/A:/E:/RL:/RC:)</v>
      </c>
      <c r="G662" s="84"/>
      <c r="H662" s="86"/>
      <c r="I662" s="87"/>
      <c r="J662" s="87"/>
      <c r="K662" s="83"/>
      <c r="L662" s="83"/>
      <c r="M662" s="83"/>
    </row>
    <row r="663" spans="1:13" ht="15.75" customHeight="1" x14ac:dyDescent="0.25">
      <c r="A663" s="85">
        <v>56</v>
      </c>
      <c r="B663" s="83" t="s">
        <v>86</v>
      </c>
      <c r="C663" s="83" t="s">
        <v>14</v>
      </c>
      <c r="D663" s="83" t="s">
        <v>14</v>
      </c>
      <c r="E663" s="83" t="s">
        <v>14</v>
      </c>
      <c r="F663" s="5" t="str">
        <f>CVSSv3!$A$4</f>
        <v>Attack Vector</v>
      </c>
      <c r="G663" s="6" t="s">
        <v>15</v>
      </c>
      <c r="H663" s="86" t="e">
        <f>ROUNDUP((IF((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lt;=0,0,(IF(G667=CVSSv3!$C$8,ROUNDUP((MIN((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(8.22*(IF(G663=CVSSv3!$C$4,CVSSv3!$C$17,(IF(G663=CVSSv3!$D$4,CVSSv3!$D$17,(IF(G663=CVSSv3!$E$4,CVSSv3!$E$17,(IF(G663=CVSSv3!$F$4,CVSSv3!$F$17,""))))))))*(IF(G664=CVSSv3!$C$5,CVSSv3!$C$18,(IF(G664=CVSSv3!$D$5,CVSSv3!$D$18,""))))*(IF(G665=CVSSv3!$C$6,CVSSv3!$C$19,(IF(G665=CVSSv3!$D$6,(IF(G667=CVSSv3!$D$8,0.68,CVSSv3!$D$19)),(IF(G665=CVSSv3!$E$6,(IF(G667=CVSSv3!$D$8,0.5,CVSSv3!$E$19))))))))*(IF(G666=CVSSv3!$C$7,CVSSv3!$C$20,(IF(G666=CVSSv3!$D$7,CVSSv3!$D$20,""))))),10)),1),ROUNDUP((MIN(1.08*((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(8.22*(IF(G663=CVSSv3!$C$4,CVSSv3!$C$17,(IF(G663=CVSSv3!$D$4,CVSSv3!$D$17,(IF(G663=CVSSv3!$E$4,CVSSv3!$E$17,(IF(G663=CVSSv3!$F$4,CVSSv3!$F$17,""))))))))*(IF(G664=CVSSv3!$C$5,CVSSv3!$C$18,(IF(G664=CVSSv3!$D$5,CVSSv3!$D$18,""))))*(IF(G665=CVSSv3!$C$6,CVSSv3!$C$19,(IF(G665=CVSSv3!$D$6,(IF(G667=CVSSv3!$D$8,0.68,CVSSv3!$D$19)),(IF(G665=CVSSv3!$E$6,(IF(G667=CVSSv3!$D$8,0.5,CVSSv3!$E$19))))))))*(IF(G666=CVSSv3!$C$7,CVSSv3!$C$20,(IF(G666=CVSSv3!$D$7,CVSSv3!$D$20,"")))))),10)),1))))*(IF(G671=CVSSv3!$C$12,CVSSv3!$C$25,(IF(G671=CVSSv3!$D$12,CVSSv3!$D$25,(IF(G671=CVSSv3!$E$12,CVSSv3!$E$25,(IF(G671=CVSSv3!$F$12,CVSSv3!$F$25,""))))))))*(IF(G672=CVSSv3!$C$13,CVSSv3!$C$26,(IF(G672=CVSSv3!$D$13,CVSSv3!$D$26,(IF(G672=CVSSv3!$E$13,CVSSv3!$E$26,(IF(G672=CVSSv3!$F$13,CVSSv3!$F$26,""))))))))*(IF(G673=CVSSv3!$C$14,CVSSv3!$C$27,(IF(G673=CVSSv3!$D$14,CVSSv3!$D$27,(IF(G673=CVSSv3!$E$14,CVSSv3!$E$27,""))))))),1)</f>
        <v>#VALUE!</v>
      </c>
      <c r="I663" s="87">
        <v>0</v>
      </c>
      <c r="J663" s="87">
        <v>0</v>
      </c>
      <c r="K663" s="83" t="s">
        <v>14</v>
      </c>
      <c r="L663" s="83" t="s">
        <v>14</v>
      </c>
      <c r="M663" s="83" t="s">
        <v>16</v>
      </c>
    </row>
    <row r="664" spans="1:13" ht="15.75" x14ac:dyDescent="0.2">
      <c r="A664" s="85"/>
      <c r="B664" s="83"/>
      <c r="C664" s="83"/>
      <c r="D664" s="83"/>
      <c r="E664" s="83"/>
      <c r="F664" s="7" t="str">
        <f>CVSSv3!$A$5</f>
        <v>Attack Complexity</v>
      </c>
      <c r="G664" s="8" t="s">
        <v>32</v>
      </c>
      <c r="H664" s="86"/>
      <c r="I664" s="87"/>
      <c r="J664" s="87"/>
      <c r="K664" s="83"/>
      <c r="L664" s="83"/>
      <c r="M664" s="83"/>
    </row>
    <row r="665" spans="1:13" ht="15.75" x14ac:dyDescent="0.2">
      <c r="A665" s="85"/>
      <c r="B665" s="83"/>
      <c r="C665" s="83"/>
      <c r="D665" s="83"/>
      <c r="E665" s="83"/>
      <c r="F665" s="7" t="str">
        <f>CVSSv3!$A$6</f>
        <v>Privilege Required</v>
      </c>
      <c r="G665" s="8" t="s">
        <v>33</v>
      </c>
      <c r="H665" s="86"/>
      <c r="I665" s="87"/>
      <c r="J665" s="87"/>
      <c r="K665" s="83"/>
      <c r="L665" s="83"/>
      <c r="M665" s="83"/>
    </row>
    <row r="666" spans="1:13" ht="15.75" x14ac:dyDescent="0.2">
      <c r="A666" s="85"/>
      <c r="B666" s="83"/>
      <c r="C666" s="83"/>
      <c r="D666" s="83"/>
      <c r="E666" s="83"/>
      <c r="F666" s="7" t="str">
        <f>CVSSv3!$A$7</f>
        <v>User Interaction</v>
      </c>
      <c r="G666" s="8" t="s">
        <v>34</v>
      </c>
      <c r="H666" s="86"/>
      <c r="I666" s="87"/>
      <c r="J666" s="87"/>
      <c r="K666" s="83"/>
      <c r="L666" s="83"/>
      <c r="M666" s="83"/>
    </row>
    <row r="667" spans="1:13" ht="15.75" x14ac:dyDescent="0.2">
      <c r="A667" s="85"/>
      <c r="B667" s="83"/>
      <c r="C667" s="83"/>
      <c r="D667" s="83"/>
      <c r="E667" s="83"/>
      <c r="F667" s="7" t="str">
        <f>CVSSv3!$A$8</f>
        <v>Scope</v>
      </c>
      <c r="G667" s="8" t="s">
        <v>35</v>
      </c>
      <c r="H667" s="86"/>
      <c r="I667" s="87"/>
      <c r="J667" s="87"/>
      <c r="K667" s="83"/>
      <c r="L667" s="83"/>
      <c r="M667" s="83"/>
    </row>
    <row r="668" spans="1:13" ht="15.75" x14ac:dyDescent="0.2">
      <c r="A668" s="85"/>
      <c r="B668" s="83"/>
      <c r="C668" s="83"/>
      <c r="D668" s="83"/>
      <c r="E668" s="83"/>
      <c r="F668" s="7" t="str">
        <f>CVSSv3!$A$9</f>
        <v>Confidentiality Impact</v>
      </c>
      <c r="G668" s="8" t="s">
        <v>36</v>
      </c>
      <c r="H668" s="86"/>
      <c r="I668" s="87"/>
      <c r="J668" s="87"/>
      <c r="K668" s="83"/>
      <c r="L668" s="83"/>
      <c r="M668" s="83"/>
    </row>
    <row r="669" spans="1:13" ht="15.75" x14ac:dyDescent="0.2">
      <c r="A669" s="85"/>
      <c r="B669" s="83"/>
      <c r="C669" s="83"/>
      <c r="D669" s="83"/>
      <c r="E669" s="83"/>
      <c r="F669" s="7" t="str">
        <f>CVSSv3!$A$10</f>
        <v>Integrity Impact</v>
      </c>
      <c r="G669" s="8" t="s">
        <v>36</v>
      </c>
      <c r="H669" s="86"/>
      <c r="I669" s="87"/>
      <c r="J669" s="87"/>
      <c r="K669" s="83"/>
      <c r="L669" s="83"/>
      <c r="M669" s="83"/>
    </row>
    <row r="670" spans="1:13" ht="15.75" x14ac:dyDescent="0.2">
      <c r="A670" s="85"/>
      <c r="B670" s="83"/>
      <c r="C670" s="83"/>
      <c r="D670" s="83"/>
      <c r="E670" s="83"/>
      <c r="F670" s="7" t="str">
        <f>CVSSv3!$A$11</f>
        <v>Availability Impact</v>
      </c>
      <c r="G670" s="8" t="s">
        <v>36</v>
      </c>
      <c r="H670" s="86"/>
      <c r="I670" s="87"/>
      <c r="J670" s="87"/>
      <c r="K670" s="83"/>
      <c r="L670" s="83"/>
      <c r="M670" s="83"/>
    </row>
    <row r="671" spans="1:13" ht="15.75" x14ac:dyDescent="0.2">
      <c r="A671" s="85"/>
      <c r="B671" s="83"/>
      <c r="C671" s="83"/>
      <c r="D671" s="83"/>
      <c r="E671" s="83"/>
      <c r="F671" s="7" t="str">
        <f>CVSSv3!$A$12</f>
        <v>Exploit Code Maturity</v>
      </c>
      <c r="G671" s="8" t="s">
        <v>32</v>
      </c>
      <c r="H671" s="86"/>
      <c r="I671" s="87"/>
      <c r="J671" s="87"/>
      <c r="K671" s="83"/>
      <c r="L671" s="83"/>
      <c r="M671" s="83"/>
    </row>
    <row r="672" spans="1:13" ht="15.75" x14ac:dyDescent="0.2">
      <c r="A672" s="85"/>
      <c r="B672" s="83"/>
      <c r="C672" s="83"/>
      <c r="D672" s="83"/>
      <c r="E672" s="83"/>
      <c r="F672" s="7" t="str">
        <f>CVSSv3!$A$13</f>
        <v>Remediation Level</v>
      </c>
      <c r="G672" s="8" t="s">
        <v>37</v>
      </c>
      <c r="H672" s="86"/>
      <c r="I672" s="87"/>
      <c r="J672" s="87"/>
      <c r="K672" s="83"/>
      <c r="L672" s="83"/>
      <c r="M672" s="83"/>
    </row>
    <row r="673" spans="1:13" ht="15.75" x14ac:dyDescent="0.2">
      <c r="A673" s="85"/>
      <c r="B673" s="83"/>
      <c r="C673" s="83"/>
      <c r="D673" s="83"/>
      <c r="E673" s="83"/>
      <c r="F673" s="7" t="str">
        <f>CVSSv3!$A$14</f>
        <v>Report Confidence</v>
      </c>
      <c r="G673" s="8" t="s">
        <v>38</v>
      </c>
      <c r="H673" s="86"/>
      <c r="I673" s="87"/>
      <c r="J673" s="87"/>
      <c r="K673" s="83"/>
      <c r="L673" s="83"/>
      <c r="M673" s="83"/>
    </row>
    <row r="674" spans="1:13" ht="15.75" x14ac:dyDescent="0.2">
      <c r="A674" s="85"/>
      <c r="B674" s="83"/>
      <c r="C674" s="83"/>
      <c r="D674" s="83"/>
      <c r="E674" s="83"/>
      <c r="F674" s="84" t="str">
        <f>"("&amp;CVSSv3!$B$4&amp;":"&amp;IF(G663=CVSSv3!$C$4,CVSSv3!$C$30,IF(G663=CVSSv3!$D$4,CVSSv3!$D$30,IF(G663=CVSSv3!$E$4,CVSSv3!$E$30,IF(G663=CVSSv3!$F$4,CVSSv3!$F$30,""))))&amp;"/"&amp;CVSSv3!$B$5&amp;":"&amp;IF(G664=CVSSv3!$C$5,CVSSv3!$C$31,IF(G664=CVSSv3!$D$5,CVSSv3!$D$31,""))&amp;"/"&amp;CVSSv3!$B$6&amp;":"&amp;IF(G665=CVSSv3!$C$6,CVSSv3!$C$32,IF(G665=CVSSv3!$D$6,CVSSv3!$D$32,IF(G665=CVSSv3!$E$6,CVSSv3!$E$32,"")))&amp;"/"&amp;CVSSv3!$B$7&amp;":"&amp;IF(G666=CVSSv3!$C$7,CVSSv3!$C$33,IF(G666=CVSSv3!$D$7,CVSSv3!$D$33,""))&amp;"/"&amp;CVSSv3!$B$8&amp;":"&amp;IF(G667=CVSSv3!$C$8,CVSSv3!$C$34,IF(G667=CVSSv3!$D$8,CVSSv3!$D$34,""))&amp;"/"&amp;CVSSv3!$B$9&amp;":"&amp;IF(G668=CVSSv3!$C$9,CVSSv3!$C$35,IF(G668=CVSSv3!$D$9,CVSSv3!$D$35,IF(G668=CVSSv3!$E$9,CVSSv3!$E$35,"")))&amp;"/"&amp;CVSSv3!$B$10&amp;":"&amp;IF(G669=CVSSv3!$C$10,CVSSv3!$C$36,IF(G669=CVSSv3!$D$10,CVSSv3!$D$36,IF(G669=CVSSv3!$E$10,CVSSv3!$E$36,"")))&amp;"/"&amp;CVSSv3!$B$11&amp;":"&amp;IF(G670=CVSSv3!$C$11,CVSSv3!$C$37,IF(G670=CVSSv3!$D$11,CVSSv3!$D$37,IF(G670=CVSSv3!$E$11,CVSSv3!$E$37,"")))&amp;"/"&amp;CVSSv3!$B$12&amp;":"&amp;IF(G671=CVSSv3!$C$12,CVSSv3!$C$38,IF(G671=CVSSv3!$D$12,CVSSv3!$D$38,IF(G671=CVSSv3!$E$12,CVSSv3!$E$38,IF(G671=CVSSv3!$F$12,CVSSv3!$F$38,""))))&amp;"/"&amp;CVSSv3!$B$13&amp;":"&amp;IF(G672=CVSSv3!$C$13,CVSSv3!$C$39,IF(G672=CVSSv3!$D$13,CVSSv3!$D$39,IF(G672=CVSSv3!$E$13,CVSSv3!$E$39,IF(G672=CVSSv3!$F$13,CVSSv3!$F$39,""))))&amp;"/"&amp;CVSSv3!$B$14&amp;":"&amp;IF(G673=CVSSv3!$C$14,CVSSv3!$C$40,IF(G673=CVSSv3!$D$14,CVSSv3!$D$40,IF(G673=CVSSv3!$E$14,CVSSv3!$E$40,"")))&amp;")"</f>
        <v>(AV:/AC:/PR:/UI:/S:/C:/I:/A:/E:/RL:/RC:)</v>
      </c>
      <c r="G674" s="84"/>
      <c r="H674" s="86"/>
      <c r="I674" s="87"/>
      <c r="J674" s="87"/>
      <c r="K674" s="83"/>
      <c r="L674" s="83"/>
      <c r="M674" s="83"/>
    </row>
    <row r="675" spans="1:13" ht="15.75" customHeight="1" x14ac:dyDescent="0.25">
      <c r="A675" s="85">
        <v>57</v>
      </c>
      <c r="B675" s="83" t="s">
        <v>87</v>
      </c>
      <c r="C675" s="83" t="s">
        <v>14</v>
      </c>
      <c r="D675" s="83" t="s">
        <v>14</v>
      </c>
      <c r="E675" s="83" t="s">
        <v>14</v>
      </c>
      <c r="F675" s="5" t="str">
        <f>CVSSv3!$A$4</f>
        <v>Attack Vector</v>
      </c>
      <c r="G675" s="6" t="s">
        <v>15</v>
      </c>
      <c r="H675" s="86" t="e">
        <f>ROUNDUP((IF((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lt;=0,0,(IF(G679=CVSSv3!$C$8,ROUNDUP((MIN((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(8.22*(IF(G675=CVSSv3!$C$4,CVSSv3!$C$17,(IF(G675=CVSSv3!$D$4,CVSSv3!$D$17,(IF(G675=CVSSv3!$E$4,CVSSv3!$E$17,(IF(G675=CVSSv3!$F$4,CVSSv3!$F$17,""))))))))*(IF(G676=CVSSv3!$C$5,CVSSv3!$C$18,(IF(G676=CVSSv3!$D$5,CVSSv3!$D$18,""))))*(IF(G677=CVSSv3!$C$6,CVSSv3!$C$19,(IF(G677=CVSSv3!$D$6,(IF(G679=CVSSv3!$D$8,0.68,CVSSv3!$D$19)),(IF(G677=CVSSv3!$E$6,(IF(G679=CVSSv3!$D$8,0.5,CVSSv3!$E$19))))))))*(IF(G678=CVSSv3!$C$7,CVSSv3!$C$20,(IF(G678=CVSSv3!$D$7,CVSSv3!$D$20,""))))),10)),1),ROUNDUP((MIN(1.08*((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(8.22*(IF(G675=CVSSv3!$C$4,CVSSv3!$C$17,(IF(G675=CVSSv3!$D$4,CVSSv3!$D$17,(IF(G675=CVSSv3!$E$4,CVSSv3!$E$17,(IF(G675=CVSSv3!$F$4,CVSSv3!$F$17,""))))))))*(IF(G676=CVSSv3!$C$5,CVSSv3!$C$18,(IF(G676=CVSSv3!$D$5,CVSSv3!$D$18,""))))*(IF(G677=CVSSv3!$C$6,CVSSv3!$C$19,(IF(G677=CVSSv3!$D$6,(IF(G679=CVSSv3!$D$8,0.68,CVSSv3!$D$19)),(IF(G677=CVSSv3!$E$6,(IF(G679=CVSSv3!$D$8,0.5,CVSSv3!$E$19))))))))*(IF(G678=CVSSv3!$C$7,CVSSv3!$C$20,(IF(G678=CVSSv3!$D$7,CVSSv3!$D$20,"")))))),10)),1))))*(IF(G683=CVSSv3!$C$12,CVSSv3!$C$25,(IF(G683=CVSSv3!$D$12,CVSSv3!$D$25,(IF(G683=CVSSv3!$E$12,CVSSv3!$E$25,(IF(G683=CVSSv3!$F$12,CVSSv3!$F$25,""))))))))*(IF(G684=CVSSv3!$C$13,CVSSv3!$C$26,(IF(G684=CVSSv3!$D$13,CVSSv3!$D$26,(IF(G684=CVSSv3!$E$13,CVSSv3!$E$26,(IF(G684=CVSSv3!$F$13,CVSSv3!$F$26,""))))))))*(IF(G685=CVSSv3!$C$14,CVSSv3!$C$27,(IF(G685=CVSSv3!$D$14,CVSSv3!$D$27,(IF(G685=CVSSv3!$E$14,CVSSv3!$E$27,""))))))),1)</f>
        <v>#VALUE!</v>
      </c>
      <c r="I675" s="87">
        <v>0</v>
      </c>
      <c r="J675" s="87">
        <v>0</v>
      </c>
      <c r="K675" s="83" t="s">
        <v>14</v>
      </c>
      <c r="L675" s="83" t="s">
        <v>14</v>
      </c>
      <c r="M675" s="83" t="s">
        <v>16</v>
      </c>
    </row>
    <row r="676" spans="1:13" ht="15.75" x14ac:dyDescent="0.2">
      <c r="A676" s="85"/>
      <c r="B676" s="83"/>
      <c r="C676" s="83"/>
      <c r="D676" s="83"/>
      <c r="E676" s="83"/>
      <c r="F676" s="7" t="str">
        <f>CVSSv3!$A$5</f>
        <v>Attack Complexity</v>
      </c>
      <c r="G676" s="8" t="s">
        <v>32</v>
      </c>
      <c r="H676" s="86"/>
      <c r="I676" s="87"/>
      <c r="J676" s="87"/>
      <c r="K676" s="83"/>
      <c r="L676" s="83"/>
      <c r="M676" s="83"/>
    </row>
    <row r="677" spans="1:13" ht="15.75" x14ac:dyDescent="0.2">
      <c r="A677" s="85"/>
      <c r="B677" s="83"/>
      <c r="C677" s="83"/>
      <c r="D677" s="83"/>
      <c r="E677" s="83"/>
      <c r="F677" s="7" t="str">
        <f>CVSSv3!$A$6</f>
        <v>Privilege Required</v>
      </c>
      <c r="G677" s="8" t="s">
        <v>33</v>
      </c>
      <c r="H677" s="86"/>
      <c r="I677" s="87"/>
      <c r="J677" s="87"/>
      <c r="K677" s="83"/>
      <c r="L677" s="83"/>
      <c r="M677" s="83"/>
    </row>
    <row r="678" spans="1:13" ht="15.75" x14ac:dyDescent="0.2">
      <c r="A678" s="85"/>
      <c r="B678" s="83"/>
      <c r="C678" s="83"/>
      <c r="D678" s="83"/>
      <c r="E678" s="83"/>
      <c r="F678" s="7" t="str">
        <f>CVSSv3!$A$7</f>
        <v>User Interaction</v>
      </c>
      <c r="G678" s="8" t="s">
        <v>34</v>
      </c>
      <c r="H678" s="86"/>
      <c r="I678" s="87"/>
      <c r="J678" s="87"/>
      <c r="K678" s="83"/>
      <c r="L678" s="83"/>
      <c r="M678" s="83"/>
    </row>
    <row r="679" spans="1:13" ht="15.75" x14ac:dyDescent="0.2">
      <c r="A679" s="85"/>
      <c r="B679" s="83"/>
      <c r="C679" s="83"/>
      <c r="D679" s="83"/>
      <c r="E679" s="83"/>
      <c r="F679" s="7" t="str">
        <f>CVSSv3!$A$8</f>
        <v>Scope</v>
      </c>
      <c r="G679" s="8" t="s">
        <v>35</v>
      </c>
      <c r="H679" s="86"/>
      <c r="I679" s="87"/>
      <c r="J679" s="87"/>
      <c r="K679" s="83"/>
      <c r="L679" s="83"/>
      <c r="M679" s="83"/>
    </row>
    <row r="680" spans="1:13" ht="15.75" x14ac:dyDescent="0.2">
      <c r="A680" s="85"/>
      <c r="B680" s="83"/>
      <c r="C680" s="83"/>
      <c r="D680" s="83"/>
      <c r="E680" s="83"/>
      <c r="F680" s="7" t="str">
        <f>CVSSv3!$A$9</f>
        <v>Confidentiality Impact</v>
      </c>
      <c r="G680" s="8" t="s">
        <v>36</v>
      </c>
      <c r="H680" s="86"/>
      <c r="I680" s="87"/>
      <c r="J680" s="87"/>
      <c r="K680" s="83"/>
      <c r="L680" s="83"/>
      <c r="M680" s="83"/>
    </row>
    <row r="681" spans="1:13" ht="15.75" x14ac:dyDescent="0.2">
      <c r="A681" s="85"/>
      <c r="B681" s="83"/>
      <c r="C681" s="83"/>
      <c r="D681" s="83"/>
      <c r="E681" s="83"/>
      <c r="F681" s="7" t="str">
        <f>CVSSv3!$A$10</f>
        <v>Integrity Impact</v>
      </c>
      <c r="G681" s="8" t="s">
        <v>36</v>
      </c>
      <c r="H681" s="86"/>
      <c r="I681" s="87"/>
      <c r="J681" s="87"/>
      <c r="K681" s="83"/>
      <c r="L681" s="83"/>
      <c r="M681" s="83"/>
    </row>
    <row r="682" spans="1:13" ht="15.75" x14ac:dyDescent="0.2">
      <c r="A682" s="85"/>
      <c r="B682" s="83"/>
      <c r="C682" s="83"/>
      <c r="D682" s="83"/>
      <c r="E682" s="83"/>
      <c r="F682" s="7" t="str">
        <f>CVSSv3!$A$11</f>
        <v>Availability Impact</v>
      </c>
      <c r="G682" s="8" t="s">
        <v>36</v>
      </c>
      <c r="H682" s="86"/>
      <c r="I682" s="87"/>
      <c r="J682" s="87"/>
      <c r="K682" s="83"/>
      <c r="L682" s="83"/>
      <c r="M682" s="83"/>
    </row>
    <row r="683" spans="1:13" ht="15.75" x14ac:dyDescent="0.2">
      <c r="A683" s="85"/>
      <c r="B683" s="83"/>
      <c r="C683" s="83"/>
      <c r="D683" s="83"/>
      <c r="E683" s="83"/>
      <c r="F683" s="7" t="str">
        <f>CVSSv3!$A$12</f>
        <v>Exploit Code Maturity</v>
      </c>
      <c r="G683" s="8" t="s">
        <v>32</v>
      </c>
      <c r="H683" s="86"/>
      <c r="I683" s="87"/>
      <c r="J683" s="87"/>
      <c r="K683" s="83"/>
      <c r="L683" s="83"/>
      <c r="M683" s="83"/>
    </row>
    <row r="684" spans="1:13" ht="15.75" x14ac:dyDescent="0.2">
      <c r="A684" s="85"/>
      <c r="B684" s="83"/>
      <c r="C684" s="83"/>
      <c r="D684" s="83"/>
      <c r="E684" s="83"/>
      <c r="F684" s="7" t="str">
        <f>CVSSv3!$A$13</f>
        <v>Remediation Level</v>
      </c>
      <c r="G684" s="8" t="s">
        <v>37</v>
      </c>
      <c r="H684" s="86"/>
      <c r="I684" s="87"/>
      <c r="J684" s="87"/>
      <c r="K684" s="83"/>
      <c r="L684" s="83"/>
      <c r="M684" s="83"/>
    </row>
    <row r="685" spans="1:13" ht="15.75" x14ac:dyDescent="0.2">
      <c r="A685" s="85"/>
      <c r="B685" s="83"/>
      <c r="C685" s="83"/>
      <c r="D685" s="83"/>
      <c r="E685" s="83"/>
      <c r="F685" s="7" t="str">
        <f>CVSSv3!$A$14</f>
        <v>Report Confidence</v>
      </c>
      <c r="G685" s="8" t="s">
        <v>38</v>
      </c>
      <c r="H685" s="86"/>
      <c r="I685" s="87"/>
      <c r="J685" s="87"/>
      <c r="K685" s="83"/>
      <c r="L685" s="83"/>
      <c r="M685" s="83"/>
    </row>
    <row r="686" spans="1:13" ht="15.75" x14ac:dyDescent="0.2">
      <c r="A686" s="85"/>
      <c r="B686" s="83"/>
      <c r="C686" s="83"/>
      <c r="D686" s="83"/>
      <c r="E686" s="83"/>
      <c r="F686" s="84" t="str">
        <f>"("&amp;CVSSv3!$B$4&amp;":"&amp;IF(G675=CVSSv3!$C$4,CVSSv3!$C$30,IF(G675=CVSSv3!$D$4,CVSSv3!$D$30,IF(G675=CVSSv3!$E$4,CVSSv3!$E$30,IF(G675=CVSSv3!$F$4,CVSSv3!$F$30,""))))&amp;"/"&amp;CVSSv3!$B$5&amp;":"&amp;IF(G676=CVSSv3!$C$5,CVSSv3!$C$31,IF(G676=CVSSv3!$D$5,CVSSv3!$D$31,""))&amp;"/"&amp;CVSSv3!$B$6&amp;":"&amp;IF(G677=CVSSv3!$C$6,CVSSv3!$C$32,IF(G677=CVSSv3!$D$6,CVSSv3!$D$32,IF(G677=CVSSv3!$E$6,CVSSv3!$E$32,"")))&amp;"/"&amp;CVSSv3!$B$7&amp;":"&amp;IF(G678=CVSSv3!$C$7,CVSSv3!$C$33,IF(G678=CVSSv3!$D$7,CVSSv3!$D$33,""))&amp;"/"&amp;CVSSv3!$B$8&amp;":"&amp;IF(G679=CVSSv3!$C$8,CVSSv3!$C$34,IF(G679=CVSSv3!$D$8,CVSSv3!$D$34,""))&amp;"/"&amp;CVSSv3!$B$9&amp;":"&amp;IF(G680=CVSSv3!$C$9,CVSSv3!$C$35,IF(G680=CVSSv3!$D$9,CVSSv3!$D$35,IF(G680=CVSSv3!$E$9,CVSSv3!$E$35,"")))&amp;"/"&amp;CVSSv3!$B$10&amp;":"&amp;IF(G681=CVSSv3!$C$10,CVSSv3!$C$36,IF(G681=CVSSv3!$D$10,CVSSv3!$D$36,IF(G681=CVSSv3!$E$10,CVSSv3!$E$36,"")))&amp;"/"&amp;CVSSv3!$B$11&amp;":"&amp;IF(G682=CVSSv3!$C$11,CVSSv3!$C$37,IF(G682=CVSSv3!$D$11,CVSSv3!$D$37,IF(G682=CVSSv3!$E$11,CVSSv3!$E$37,"")))&amp;"/"&amp;CVSSv3!$B$12&amp;":"&amp;IF(G683=CVSSv3!$C$12,CVSSv3!$C$38,IF(G683=CVSSv3!$D$12,CVSSv3!$D$38,IF(G683=CVSSv3!$E$12,CVSSv3!$E$38,IF(G683=CVSSv3!$F$12,CVSSv3!$F$38,""))))&amp;"/"&amp;CVSSv3!$B$13&amp;":"&amp;IF(G684=CVSSv3!$C$13,CVSSv3!$C$39,IF(G684=CVSSv3!$D$13,CVSSv3!$D$39,IF(G684=CVSSv3!$E$13,CVSSv3!$E$39,IF(G684=CVSSv3!$F$13,CVSSv3!$F$39,""))))&amp;"/"&amp;CVSSv3!$B$14&amp;":"&amp;IF(G685=CVSSv3!$C$14,CVSSv3!$C$40,IF(G685=CVSSv3!$D$14,CVSSv3!$D$40,IF(G685=CVSSv3!$E$14,CVSSv3!$E$40,"")))&amp;")"</f>
        <v>(AV:/AC:/PR:/UI:/S:/C:/I:/A:/E:/RL:/RC:)</v>
      </c>
      <c r="G686" s="84"/>
      <c r="H686" s="86"/>
      <c r="I686" s="87"/>
      <c r="J686" s="87"/>
      <c r="K686" s="83"/>
      <c r="L686" s="83"/>
      <c r="M686" s="83"/>
    </row>
    <row r="687" spans="1:13" ht="15.75" customHeight="1" x14ac:dyDescent="0.25">
      <c r="A687" s="85">
        <v>58</v>
      </c>
      <c r="B687" s="83" t="s">
        <v>88</v>
      </c>
      <c r="C687" s="83" t="s">
        <v>14</v>
      </c>
      <c r="D687" s="83" t="s">
        <v>14</v>
      </c>
      <c r="E687" s="83" t="s">
        <v>14</v>
      </c>
      <c r="F687" s="5" t="str">
        <f>CVSSv3!$A$4</f>
        <v>Attack Vector</v>
      </c>
      <c r="G687" s="6" t="s">
        <v>15</v>
      </c>
      <c r="H687" s="86" t="e">
        <f>ROUNDUP((IF((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lt;=0,0,(IF(G691=CVSSv3!$C$8,ROUNDUP((MIN((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(8.22*(IF(G687=CVSSv3!$C$4,CVSSv3!$C$17,(IF(G687=CVSSv3!$D$4,CVSSv3!$D$17,(IF(G687=CVSSv3!$E$4,CVSSv3!$E$17,(IF(G687=CVSSv3!$F$4,CVSSv3!$F$17,""))))))))*(IF(G688=CVSSv3!$C$5,CVSSv3!$C$18,(IF(G688=CVSSv3!$D$5,CVSSv3!$D$18,""))))*(IF(G689=CVSSv3!$C$6,CVSSv3!$C$19,(IF(G689=CVSSv3!$D$6,(IF(G691=CVSSv3!$D$8,0.68,CVSSv3!$D$19)),(IF(G689=CVSSv3!$E$6,(IF(G691=CVSSv3!$D$8,0.5,CVSSv3!$E$19))))))))*(IF(G690=CVSSv3!$C$7,CVSSv3!$C$20,(IF(G690=CVSSv3!$D$7,CVSSv3!$D$20,""))))),10)),1),ROUNDUP((MIN(1.08*((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(8.22*(IF(G687=CVSSv3!$C$4,CVSSv3!$C$17,(IF(G687=CVSSv3!$D$4,CVSSv3!$D$17,(IF(G687=CVSSv3!$E$4,CVSSv3!$E$17,(IF(G687=CVSSv3!$F$4,CVSSv3!$F$17,""))))))))*(IF(G688=CVSSv3!$C$5,CVSSv3!$C$18,(IF(G688=CVSSv3!$D$5,CVSSv3!$D$18,""))))*(IF(G689=CVSSv3!$C$6,CVSSv3!$C$19,(IF(G689=CVSSv3!$D$6,(IF(G691=CVSSv3!$D$8,0.68,CVSSv3!$D$19)),(IF(G689=CVSSv3!$E$6,(IF(G691=CVSSv3!$D$8,0.5,CVSSv3!$E$19))))))))*(IF(G690=CVSSv3!$C$7,CVSSv3!$C$20,(IF(G690=CVSSv3!$D$7,CVSSv3!$D$20,"")))))),10)),1))))*(IF(G695=CVSSv3!$C$12,CVSSv3!$C$25,(IF(G695=CVSSv3!$D$12,CVSSv3!$D$25,(IF(G695=CVSSv3!$E$12,CVSSv3!$E$25,(IF(G695=CVSSv3!$F$12,CVSSv3!$F$25,""))))))))*(IF(G696=CVSSv3!$C$13,CVSSv3!$C$26,(IF(G696=CVSSv3!$D$13,CVSSv3!$D$26,(IF(G696=CVSSv3!$E$13,CVSSv3!$E$26,(IF(G696=CVSSv3!$F$13,CVSSv3!$F$26,""))))))))*(IF(G697=CVSSv3!$C$14,CVSSv3!$C$27,(IF(G697=CVSSv3!$D$14,CVSSv3!$D$27,(IF(G697=CVSSv3!$E$14,CVSSv3!$E$27,""))))))),1)</f>
        <v>#VALUE!</v>
      </c>
      <c r="I687" s="87">
        <v>0</v>
      </c>
      <c r="J687" s="87">
        <v>0</v>
      </c>
      <c r="K687" s="83" t="s">
        <v>14</v>
      </c>
      <c r="L687" s="83" t="s">
        <v>14</v>
      </c>
      <c r="M687" s="83" t="s">
        <v>16</v>
      </c>
    </row>
    <row r="688" spans="1:13" ht="15.75" x14ac:dyDescent="0.2">
      <c r="A688" s="85"/>
      <c r="B688" s="83"/>
      <c r="C688" s="83"/>
      <c r="D688" s="83"/>
      <c r="E688" s="83"/>
      <c r="F688" s="7" t="str">
        <f>CVSSv3!$A$5</f>
        <v>Attack Complexity</v>
      </c>
      <c r="G688" s="8" t="s">
        <v>32</v>
      </c>
      <c r="H688" s="86"/>
      <c r="I688" s="87"/>
      <c r="J688" s="87"/>
      <c r="K688" s="83"/>
      <c r="L688" s="83"/>
      <c r="M688" s="83"/>
    </row>
    <row r="689" spans="1:13" ht="15.75" x14ac:dyDescent="0.2">
      <c r="A689" s="85"/>
      <c r="B689" s="83"/>
      <c r="C689" s="83"/>
      <c r="D689" s="83"/>
      <c r="E689" s="83"/>
      <c r="F689" s="7" t="str">
        <f>CVSSv3!$A$6</f>
        <v>Privilege Required</v>
      </c>
      <c r="G689" s="8" t="s">
        <v>33</v>
      </c>
      <c r="H689" s="86"/>
      <c r="I689" s="87"/>
      <c r="J689" s="87"/>
      <c r="K689" s="83"/>
      <c r="L689" s="83"/>
      <c r="M689" s="83"/>
    </row>
    <row r="690" spans="1:13" ht="15.75" x14ac:dyDescent="0.2">
      <c r="A690" s="85"/>
      <c r="B690" s="83"/>
      <c r="C690" s="83"/>
      <c r="D690" s="83"/>
      <c r="E690" s="83"/>
      <c r="F690" s="7" t="str">
        <f>CVSSv3!$A$7</f>
        <v>User Interaction</v>
      </c>
      <c r="G690" s="8" t="s">
        <v>34</v>
      </c>
      <c r="H690" s="86"/>
      <c r="I690" s="87"/>
      <c r="J690" s="87"/>
      <c r="K690" s="83"/>
      <c r="L690" s="83"/>
      <c r="M690" s="83"/>
    </row>
    <row r="691" spans="1:13" ht="15.75" x14ac:dyDescent="0.2">
      <c r="A691" s="85"/>
      <c r="B691" s="83"/>
      <c r="C691" s="83"/>
      <c r="D691" s="83"/>
      <c r="E691" s="83"/>
      <c r="F691" s="7" t="str">
        <f>CVSSv3!$A$8</f>
        <v>Scope</v>
      </c>
      <c r="G691" s="8" t="s">
        <v>35</v>
      </c>
      <c r="H691" s="86"/>
      <c r="I691" s="87"/>
      <c r="J691" s="87"/>
      <c r="K691" s="83"/>
      <c r="L691" s="83"/>
      <c r="M691" s="83"/>
    </row>
    <row r="692" spans="1:13" ht="15.75" x14ac:dyDescent="0.2">
      <c r="A692" s="85"/>
      <c r="B692" s="83"/>
      <c r="C692" s="83"/>
      <c r="D692" s="83"/>
      <c r="E692" s="83"/>
      <c r="F692" s="7" t="str">
        <f>CVSSv3!$A$9</f>
        <v>Confidentiality Impact</v>
      </c>
      <c r="G692" s="8" t="s">
        <v>36</v>
      </c>
      <c r="H692" s="86"/>
      <c r="I692" s="87"/>
      <c r="J692" s="87"/>
      <c r="K692" s="83"/>
      <c r="L692" s="83"/>
      <c r="M692" s="83"/>
    </row>
    <row r="693" spans="1:13" ht="15.75" x14ac:dyDescent="0.2">
      <c r="A693" s="85"/>
      <c r="B693" s="83"/>
      <c r="C693" s="83"/>
      <c r="D693" s="83"/>
      <c r="E693" s="83"/>
      <c r="F693" s="7" t="str">
        <f>CVSSv3!$A$10</f>
        <v>Integrity Impact</v>
      </c>
      <c r="G693" s="8" t="s">
        <v>36</v>
      </c>
      <c r="H693" s="86"/>
      <c r="I693" s="87"/>
      <c r="J693" s="87"/>
      <c r="K693" s="83"/>
      <c r="L693" s="83"/>
      <c r="M693" s="83"/>
    </row>
    <row r="694" spans="1:13" ht="15.75" x14ac:dyDescent="0.2">
      <c r="A694" s="85"/>
      <c r="B694" s="83"/>
      <c r="C694" s="83"/>
      <c r="D694" s="83"/>
      <c r="E694" s="83"/>
      <c r="F694" s="7" t="str">
        <f>CVSSv3!$A$11</f>
        <v>Availability Impact</v>
      </c>
      <c r="G694" s="8" t="s">
        <v>36</v>
      </c>
      <c r="H694" s="86"/>
      <c r="I694" s="87"/>
      <c r="J694" s="87"/>
      <c r="K694" s="83"/>
      <c r="L694" s="83"/>
      <c r="M694" s="83"/>
    </row>
    <row r="695" spans="1:13" ht="15.75" x14ac:dyDescent="0.2">
      <c r="A695" s="85"/>
      <c r="B695" s="83"/>
      <c r="C695" s="83"/>
      <c r="D695" s="83"/>
      <c r="E695" s="83"/>
      <c r="F695" s="7" t="str">
        <f>CVSSv3!$A$12</f>
        <v>Exploit Code Maturity</v>
      </c>
      <c r="G695" s="8" t="s">
        <v>32</v>
      </c>
      <c r="H695" s="86"/>
      <c r="I695" s="87"/>
      <c r="J695" s="87"/>
      <c r="K695" s="83"/>
      <c r="L695" s="83"/>
      <c r="M695" s="83"/>
    </row>
    <row r="696" spans="1:13" ht="15.75" x14ac:dyDescent="0.2">
      <c r="A696" s="85"/>
      <c r="B696" s="83"/>
      <c r="C696" s="83"/>
      <c r="D696" s="83"/>
      <c r="E696" s="83"/>
      <c r="F696" s="7" t="str">
        <f>CVSSv3!$A$13</f>
        <v>Remediation Level</v>
      </c>
      <c r="G696" s="8" t="s">
        <v>37</v>
      </c>
      <c r="H696" s="86"/>
      <c r="I696" s="87"/>
      <c r="J696" s="87"/>
      <c r="K696" s="83"/>
      <c r="L696" s="83"/>
      <c r="M696" s="83"/>
    </row>
    <row r="697" spans="1:13" ht="15.75" x14ac:dyDescent="0.2">
      <c r="A697" s="85"/>
      <c r="B697" s="83"/>
      <c r="C697" s="83"/>
      <c r="D697" s="83"/>
      <c r="E697" s="83"/>
      <c r="F697" s="7" t="str">
        <f>CVSSv3!$A$14</f>
        <v>Report Confidence</v>
      </c>
      <c r="G697" s="8" t="s">
        <v>38</v>
      </c>
      <c r="H697" s="86"/>
      <c r="I697" s="87"/>
      <c r="J697" s="87"/>
      <c r="K697" s="83"/>
      <c r="L697" s="83"/>
      <c r="M697" s="83"/>
    </row>
    <row r="698" spans="1:13" ht="15.75" x14ac:dyDescent="0.2">
      <c r="A698" s="85"/>
      <c r="B698" s="83"/>
      <c r="C698" s="83"/>
      <c r="D698" s="83"/>
      <c r="E698" s="83"/>
      <c r="F698" s="84" t="str">
        <f>"("&amp;CVSSv3!$B$4&amp;":"&amp;IF(G687=CVSSv3!$C$4,CVSSv3!$C$30,IF(G687=CVSSv3!$D$4,CVSSv3!$D$30,IF(G687=CVSSv3!$E$4,CVSSv3!$E$30,IF(G687=CVSSv3!$F$4,CVSSv3!$F$30,""))))&amp;"/"&amp;CVSSv3!$B$5&amp;":"&amp;IF(G688=CVSSv3!$C$5,CVSSv3!$C$31,IF(G688=CVSSv3!$D$5,CVSSv3!$D$31,""))&amp;"/"&amp;CVSSv3!$B$6&amp;":"&amp;IF(G689=CVSSv3!$C$6,CVSSv3!$C$32,IF(G689=CVSSv3!$D$6,CVSSv3!$D$32,IF(G689=CVSSv3!$E$6,CVSSv3!$E$32,"")))&amp;"/"&amp;CVSSv3!$B$7&amp;":"&amp;IF(G690=CVSSv3!$C$7,CVSSv3!$C$33,IF(G690=CVSSv3!$D$7,CVSSv3!$D$33,""))&amp;"/"&amp;CVSSv3!$B$8&amp;":"&amp;IF(G691=CVSSv3!$C$8,CVSSv3!$C$34,IF(G691=CVSSv3!$D$8,CVSSv3!$D$34,""))&amp;"/"&amp;CVSSv3!$B$9&amp;":"&amp;IF(G692=CVSSv3!$C$9,CVSSv3!$C$35,IF(G692=CVSSv3!$D$9,CVSSv3!$D$35,IF(G692=CVSSv3!$E$9,CVSSv3!$E$35,"")))&amp;"/"&amp;CVSSv3!$B$10&amp;":"&amp;IF(G693=CVSSv3!$C$10,CVSSv3!$C$36,IF(G693=CVSSv3!$D$10,CVSSv3!$D$36,IF(G693=CVSSv3!$E$10,CVSSv3!$E$36,"")))&amp;"/"&amp;CVSSv3!$B$11&amp;":"&amp;IF(G694=CVSSv3!$C$11,CVSSv3!$C$37,IF(G694=CVSSv3!$D$11,CVSSv3!$D$37,IF(G694=CVSSv3!$E$11,CVSSv3!$E$37,"")))&amp;"/"&amp;CVSSv3!$B$12&amp;":"&amp;IF(G695=CVSSv3!$C$12,CVSSv3!$C$38,IF(G695=CVSSv3!$D$12,CVSSv3!$D$38,IF(G695=CVSSv3!$E$12,CVSSv3!$E$38,IF(G695=CVSSv3!$F$12,CVSSv3!$F$38,""))))&amp;"/"&amp;CVSSv3!$B$13&amp;":"&amp;IF(G696=CVSSv3!$C$13,CVSSv3!$C$39,IF(G696=CVSSv3!$D$13,CVSSv3!$D$39,IF(G696=CVSSv3!$E$13,CVSSv3!$E$39,IF(G696=CVSSv3!$F$13,CVSSv3!$F$39,""))))&amp;"/"&amp;CVSSv3!$B$14&amp;":"&amp;IF(G697=CVSSv3!$C$14,CVSSv3!$C$40,IF(G697=CVSSv3!$D$14,CVSSv3!$D$40,IF(G697=CVSSv3!$E$14,CVSSv3!$E$40,"")))&amp;")"</f>
        <v>(AV:/AC:/PR:/UI:/S:/C:/I:/A:/E:/RL:/RC:)</v>
      </c>
      <c r="G698" s="84"/>
      <c r="H698" s="86"/>
      <c r="I698" s="87"/>
      <c r="J698" s="87"/>
      <c r="K698" s="83"/>
      <c r="L698" s="83"/>
      <c r="M698" s="83"/>
    </row>
    <row r="699" spans="1:13" ht="15.75" customHeight="1" x14ac:dyDescent="0.25">
      <c r="A699" s="85">
        <v>59</v>
      </c>
      <c r="B699" s="83" t="s">
        <v>89</v>
      </c>
      <c r="C699" s="83" t="s">
        <v>14</v>
      </c>
      <c r="D699" s="83" t="s">
        <v>14</v>
      </c>
      <c r="E699" s="83" t="s">
        <v>14</v>
      </c>
      <c r="F699" s="5" t="str">
        <f>CVSSv3!$A$4</f>
        <v>Attack Vector</v>
      </c>
      <c r="G699" s="6" t="s">
        <v>15</v>
      </c>
      <c r="H699" s="86" t="e">
        <f>ROUNDUP((IF((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lt;=0,0,(IF(G703=CVSSv3!$C$8,ROUNDUP((MIN((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(8.22*(IF(G699=CVSSv3!$C$4,CVSSv3!$C$17,(IF(G699=CVSSv3!$D$4,CVSSv3!$D$17,(IF(G699=CVSSv3!$E$4,CVSSv3!$E$17,(IF(G699=CVSSv3!$F$4,CVSSv3!$F$17,""))))))))*(IF(G700=CVSSv3!$C$5,CVSSv3!$C$18,(IF(G700=CVSSv3!$D$5,CVSSv3!$D$18,""))))*(IF(G701=CVSSv3!$C$6,CVSSv3!$C$19,(IF(G701=CVSSv3!$D$6,(IF(G703=CVSSv3!$D$8,0.68,CVSSv3!$D$19)),(IF(G701=CVSSv3!$E$6,(IF(G703=CVSSv3!$D$8,0.5,CVSSv3!$E$19))))))))*(IF(G702=CVSSv3!$C$7,CVSSv3!$C$20,(IF(G702=CVSSv3!$D$7,CVSSv3!$D$20,""))))),10)),1),ROUNDUP((MIN(1.08*((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(8.22*(IF(G699=CVSSv3!$C$4,CVSSv3!$C$17,(IF(G699=CVSSv3!$D$4,CVSSv3!$D$17,(IF(G699=CVSSv3!$E$4,CVSSv3!$E$17,(IF(G699=CVSSv3!$F$4,CVSSv3!$F$17,""))))))))*(IF(G700=CVSSv3!$C$5,CVSSv3!$C$18,(IF(G700=CVSSv3!$D$5,CVSSv3!$D$18,""))))*(IF(G701=CVSSv3!$C$6,CVSSv3!$C$19,(IF(G701=CVSSv3!$D$6,(IF(G703=CVSSv3!$D$8,0.68,CVSSv3!$D$19)),(IF(G701=CVSSv3!$E$6,(IF(G703=CVSSv3!$D$8,0.5,CVSSv3!$E$19))))))))*(IF(G702=CVSSv3!$C$7,CVSSv3!$C$20,(IF(G702=CVSSv3!$D$7,CVSSv3!$D$20,"")))))),10)),1))))*(IF(G707=CVSSv3!$C$12,CVSSv3!$C$25,(IF(G707=CVSSv3!$D$12,CVSSv3!$D$25,(IF(G707=CVSSv3!$E$12,CVSSv3!$E$25,(IF(G707=CVSSv3!$F$12,CVSSv3!$F$25,""))))))))*(IF(G708=CVSSv3!$C$13,CVSSv3!$C$26,(IF(G708=CVSSv3!$D$13,CVSSv3!$D$26,(IF(G708=CVSSv3!$E$13,CVSSv3!$E$26,(IF(G708=CVSSv3!$F$13,CVSSv3!$F$26,""))))))))*(IF(G709=CVSSv3!$C$14,CVSSv3!$C$27,(IF(G709=CVSSv3!$D$14,CVSSv3!$D$27,(IF(G709=CVSSv3!$E$14,CVSSv3!$E$27,""))))))),1)</f>
        <v>#VALUE!</v>
      </c>
      <c r="I699" s="87">
        <v>0</v>
      </c>
      <c r="J699" s="87">
        <v>0</v>
      </c>
      <c r="K699" s="83" t="s">
        <v>14</v>
      </c>
      <c r="L699" s="83" t="s">
        <v>14</v>
      </c>
      <c r="M699" s="83" t="s">
        <v>16</v>
      </c>
    </row>
    <row r="700" spans="1:13" ht="15.75" x14ac:dyDescent="0.2">
      <c r="A700" s="85"/>
      <c r="B700" s="83"/>
      <c r="C700" s="83"/>
      <c r="D700" s="83"/>
      <c r="E700" s="83"/>
      <c r="F700" s="7" t="str">
        <f>CVSSv3!$A$5</f>
        <v>Attack Complexity</v>
      </c>
      <c r="G700" s="8" t="s">
        <v>32</v>
      </c>
      <c r="H700" s="86"/>
      <c r="I700" s="87"/>
      <c r="J700" s="87"/>
      <c r="K700" s="83"/>
      <c r="L700" s="83"/>
      <c r="M700" s="83"/>
    </row>
    <row r="701" spans="1:13" ht="15.75" x14ac:dyDescent="0.2">
      <c r="A701" s="85"/>
      <c r="B701" s="83"/>
      <c r="C701" s="83"/>
      <c r="D701" s="83"/>
      <c r="E701" s="83"/>
      <c r="F701" s="7" t="str">
        <f>CVSSv3!$A$6</f>
        <v>Privilege Required</v>
      </c>
      <c r="G701" s="8" t="s">
        <v>33</v>
      </c>
      <c r="H701" s="86"/>
      <c r="I701" s="87"/>
      <c r="J701" s="87"/>
      <c r="K701" s="83"/>
      <c r="L701" s="83"/>
      <c r="M701" s="83"/>
    </row>
    <row r="702" spans="1:13" ht="15.75" x14ac:dyDescent="0.2">
      <c r="A702" s="85"/>
      <c r="B702" s="83"/>
      <c r="C702" s="83"/>
      <c r="D702" s="83"/>
      <c r="E702" s="83"/>
      <c r="F702" s="7" t="str">
        <f>CVSSv3!$A$7</f>
        <v>User Interaction</v>
      </c>
      <c r="G702" s="8" t="s">
        <v>34</v>
      </c>
      <c r="H702" s="86"/>
      <c r="I702" s="87"/>
      <c r="J702" s="87"/>
      <c r="K702" s="83"/>
      <c r="L702" s="83"/>
      <c r="M702" s="83"/>
    </row>
    <row r="703" spans="1:13" ht="15.75" x14ac:dyDescent="0.2">
      <c r="A703" s="85"/>
      <c r="B703" s="83"/>
      <c r="C703" s="83"/>
      <c r="D703" s="83"/>
      <c r="E703" s="83"/>
      <c r="F703" s="7" t="str">
        <f>CVSSv3!$A$8</f>
        <v>Scope</v>
      </c>
      <c r="G703" s="8" t="s">
        <v>35</v>
      </c>
      <c r="H703" s="86"/>
      <c r="I703" s="87"/>
      <c r="J703" s="87"/>
      <c r="K703" s="83"/>
      <c r="L703" s="83"/>
      <c r="M703" s="83"/>
    </row>
    <row r="704" spans="1:13" ht="15.75" x14ac:dyDescent="0.2">
      <c r="A704" s="85"/>
      <c r="B704" s="83"/>
      <c r="C704" s="83"/>
      <c r="D704" s="83"/>
      <c r="E704" s="83"/>
      <c r="F704" s="7" t="str">
        <f>CVSSv3!$A$9</f>
        <v>Confidentiality Impact</v>
      </c>
      <c r="G704" s="8" t="s">
        <v>36</v>
      </c>
      <c r="H704" s="86"/>
      <c r="I704" s="87"/>
      <c r="J704" s="87"/>
      <c r="K704" s="83"/>
      <c r="L704" s="83"/>
      <c r="M704" s="83"/>
    </row>
    <row r="705" spans="1:13" ht="15.75" x14ac:dyDescent="0.2">
      <c r="A705" s="85"/>
      <c r="B705" s="83"/>
      <c r="C705" s="83"/>
      <c r="D705" s="83"/>
      <c r="E705" s="83"/>
      <c r="F705" s="7" t="str">
        <f>CVSSv3!$A$10</f>
        <v>Integrity Impact</v>
      </c>
      <c r="G705" s="8" t="s">
        <v>36</v>
      </c>
      <c r="H705" s="86"/>
      <c r="I705" s="87"/>
      <c r="J705" s="87"/>
      <c r="K705" s="83"/>
      <c r="L705" s="83"/>
      <c r="M705" s="83"/>
    </row>
    <row r="706" spans="1:13" ht="15.75" x14ac:dyDescent="0.2">
      <c r="A706" s="85"/>
      <c r="B706" s="83"/>
      <c r="C706" s="83"/>
      <c r="D706" s="83"/>
      <c r="E706" s="83"/>
      <c r="F706" s="7" t="str">
        <f>CVSSv3!$A$11</f>
        <v>Availability Impact</v>
      </c>
      <c r="G706" s="8" t="s">
        <v>36</v>
      </c>
      <c r="H706" s="86"/>
      <c r="I706" s="87"/>
      <c r="J706" s="87"/>
      <c r="K706" s="83"/>
      <c r="L706" s="83"/>
      <c r="M706" s="83"/>
    </row>
    <row r="707" spans="1:13" ht="15.75" x14ac:dyDescent="0.2">
      <c r="A707" s="85"/>
      <c r="B707" s="83"/>
      <c r="C707" s="83"/>
      <c r="D707" s="83"/>
      <c r="E707" s="83"/>
      <c r="F707" s="7" t="str">
        <f>CVSSv3!$A$12</f>
        <v>Exploit Code Maturity</v>
      </c>
      <c r="G707" s="8" t="s">
        <v>32</v>
      </c>
      <c r="H707" s="86"/>
      <c r="I707" s="87"/>
      <c r="J707" s="87"/>
      <c r="K707" s="83"/>
      <c r="L707" s="83"/>
      <c r="M707" s="83"/>
    </row>
    <row r="708" spans="1:13" ht="15.75" x14ac:dyDescent="0.2">
      <c r="A708" s="85"/>
      <c r="B708" s="83"/>
      <c r="C708" s="83"/>
      <c r="D708" s="83"/>
      <c r="E708" s="83"/>
      <c r="F708" s="7" t="str">
        <f>CVSSv3!$A$13</f>
        <v>Remediation Level</v>
      </c>
      <c r="G708" s="8" t="s">
        <v>37</v>
      </c>
      <c r="H708" s="86"/>
      <c r="I708" s="87"/>
      <c r="J708" s="87"/>
      <c r="K708" s="83"/>
      <c r="L708" s="83"/>
      <c r="M708" s="83"/>
    </row>
    <row r="709" spans="1:13" ht="15.75" x14ac:dyDescent="0.2">
      <c r="A709" s="85"/>
      <c r="B709" s="83"/>
      <c r="C709" s="83"/>
      <c r="D709" s="83"/>
      <c r="E709" s="83"/>
      <c r="F709" s="7" t="str">
        <f>CVSSv3!$A$14</f>
        <v>Report Confidence</v>
      </c>
      <c r="G709" s="8" t="s">
        <v>38</v>
      </c>
      <c r="H709" s="86"/>
      <c r="I709" s="87"/>
      <c r="J709" s="87"/>
      <c r="K709" s="83"/>
      <c r="L709" s="83"/>
      <c r="M709" s="83"/>
    </row>
    <row r="710" spans="1:13" ht="15.75" x14ac:dyDescent="0.2">
      <c r="A710" s="85"/>
      <c r="B710" s="83"/>
      <c r="C710" s="83"/>
      <c r="D710" s="83"/>
      <c r="E710" s="83"/>
      <c r="F710" s="84" t="str">
        <f>"("&amp;CVSSv3!$B$4&amp;":"&amp;IF(G699=CVSSv3!$C$4,CVSSv3!$C$30,IF(G699=CVSSv3!$D$4,CVSSv3!$D$30,IF(G699=CVSSv3!$E$4,CVSSv3!$E$30,IF(G699=CVSSv3!$F$4,CVSSv3!$F$30,""))))&amp;"/"&amp;CVSSv3!$B$5&amp;":"&amp;IF(G700=CVSSv3!$C$5,CVSSv3!$C$31,IF(G700=CVSSv3!$D$5,CVSSv3!$D$31,""))&amp;"/"&amp;CVSSv3!$B$6&amp;":"&amp;IF(G701=CVSSv3!$C$6,CVSSv3!$C$32,IF(G701=CVSSv3!$D$6,CVSSv3!$D$32,IF(G701=CVSSv3!$E$6,CVSSv3!$E$32,"")))&amp;"/"&amp;CVSSv3!$B$7&amp;":"&amp;IF(G702=CVSSv3!$C$7,CVSSv3!$C$33,IF(G702=CVSSv3!$D$7,CVSSv3!$D$33,""))&amp;"/"&amp;CVSSv3!$B$8&amp;":"&amp;IF(G703=CVSSv3!$C$8,CVSSv3!$C$34,IF(G703=CVSSv3!$D$8,CVSSv3!$D$34,""))&amp;"/"&amp;CVSSv3!$B$9&amp;":"&amp;IF(G704=CVSSv3!$C$9,CVSSv3!$C$35,IF(G704=CVSSv3!$D$9,CVSSv3!$D$35,IF(G704=CVSSv3!$E$9,CVSSv3!$E$35,"")))&amp;"/"&amp;CVSSv3!$B$10&amp;":"&amp;IF(G705=CVSSv3!$C$10,CVSSv3!$C$36,IF(G705=CVSSv3!$D$10,CVSSv3!$D$36,IF(G705=CVSSv3!$E$10,CVSSv3!$E$36,"")))&amp;"/"&amp;CVSSv3!$B$11&amp;":"&amp;IF(G706=CVSSv3!$C$11,CVSSv3!$C$37,IF(G706=CVSSv3!$D$11,CVSSv3!$D$37,IF(G706=CVSSv3!$E$11,CVSSv3!$E$37,"")))&amp;"/"&amp;CVSSv3!$B$12&amp;":"&amp;IF(G707=CVSSv3!$C$12,CVSSv3!$C$38,IF(G707=CVSSv3!$D$12,CVSSv3!$D$38,IF(G707=CVSSv3!$E$12,CVSSv3!$E$38,IF(G707=CVSSv3!$F$12,CVSSv3!$F$38,""))))&amp;"/"&amp;CVSSv3!$B$13&amp;":"&amp;IF(G708=CVSSv3!$C$13,CVSSv3!$C$39,IF(G708=CVSSv3!$D$13,CVSSv3!$D$39,IF(G708=CVSSv3!$E$13,CVSSv3!$E$39,IF(G708=CVSSv3!$F$13,CVSSv3!$F$39,""))))&amp;"/"&amp;CVSSv3!$B$14&amp;":"&amp;IF(G709=CVSSv3!$C$14,CVSSv3!$C$40,IF(G709=CVSSv3!$D$14,CVSSv3!$D$40,IF(G709=CVSSv3!$E$14,CVSSv3!$E$40,"")))&amp;")"</f>
        <v>(AV:/AC:/PR:/UI:/S:/C:/I:/A:/E:/RL:/RC:)</v>
      </c>
      <c r="G710" s="84"/>
      <c r="H710" s="86"/>
      <c r="I710" s="87"/>
      <c r="J710" s="87"/>
      <c r="K710" s="83"/>
      <c r="L710" s="83"/>
      <c r="M710" s="83"/>
    </row>
    <row r="711" spans="1:13" ht="15.75" customHeight="1" x14ac:dyDescent="0.25">
      <c r="A711" s="85">
        <v>60</v>
      </c>
      <c r="B711" s="83" t="s">
        <v>90</v>
      </c>
      <c r="C711" s="83" t="s">
        <v>14</v>
      </c>
      <c r="D711" s="83" t="s">
        <v>14</v>
      </c>
      <c r="E711" s="83" t="s">
        <v>14</v>
      </c>
      <c r="F711" s="5" t="str">
        <f>CVSSv3!$A$4</f>
        <v>Attack Vector</v>
      </c>
      <c r="G711" s="6" t="s">
        <v>15</v>
      </c>
      <c r="H711" s="86" t="e">
        <f>ROUNDUP((IF((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lt;=0,0,(IF(G715=CVSSv3!$C$8,ROUNDUP((MIN((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(8.22*(IF(G711=CVSSv3!$C$4,CVSSv3!$C$17,(IF(G711=CVSSv3!$D$4,CVSSv3!$D$17,(IF(G711=CVSSv3!$E$4,CVSSv3!$E$17,(IF(G711=CVSSv3!$F$4,CVSSv3!$F$17,""))))))))*(IF(G712=CVSSv3!$C$5,CVSSv3!$C$18,(IF(G712=CVSSv3!$D$5,CVSSv3!$D$18,""))))*(IF(G713=CVSSv3!$C$6,CVSSv3!$C$19,(IF(G713=CVSSv3!$D$6,(IF(G715=CVSSv3!$D$8,0.68,CVSSv3!$D$19)),(IF(G713=CVSSv3!$E$6,(IF(G715=CVSSv3!$D$8,0.5,CVSSv3!$E$19))))))))*(IF(G714=CVSSv3!$C$7,CVSSv3!$C$20,(IF(G714=CVSSv3!$D$7,CVSSv3!$D$20,""))))),10)),1),ROUNDUP((MIN(1.08*((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(8.22*(IF(G711=CVSSv3!$C$4,CVSSv3!$C$17,(IF(G711=CVSSv3!$D$4,CVSSv3!$D$17,(IF(G711=CVSSv3!$E$4,CVSSv3!$E$17,(IF(G711=CVSSv3!$F$4,CVSSv3!$F$17,""))))))))*(IF(G712=CVSSv3!$C$5,CVSSv3!$C$18,(IF(G712=CVSSv3!$D$5,CVSSv3!$D$18,""))))*(IF(G713=CVSSv3!$C$6,CVSSv3!$C$19,(IF(G713=CVSSv3!$D$6,(IF(G715=CVSSv3!$D$8,0.68,CVSSv3!$D$19)),(IF(G713=CVSSv3!$E$6,(IF(G715=CVSSv3!$D$8,0.5,CVSSv3!$E$19))))))))*(IF(G714=CVSSv3!$C$7,CVSSv3!$C$20,(IF(G714=CVSSv3!$D$7,CVSSv3!$D$20,"")))))),10)),1))))*(IF(G719=CVSSv3!$C$12,CVSSv3!$C$25,(IF(G719=CVSSv3!$D$12,CVSSv3!$D$25,(IF(G719=CVSSv3!$E$12,CVSSv3!$E$25,(IF(G719=CVSSv3!$F$12,CVSSv3!$F$25,""))))))))*(IF(G720=CVSSv3!$C$13,CVSSv3!$C$26,(IF(G720=CVSSv3!$D$13,CVSSv3!$D$26,(IF(G720=CVSSv3!$E$13,CVSSv3!$E$26,(IF(G720=CVSSv3!$F$13,CVSSv3!$F$26,""))))))))*(IF(G721=CVSSv3!$C$14,CVSSv3!$C$27,(IF(G721=CVSSv3!$D$14,CVSSv3!$D$27,(IF(G721=CVSSv3!$E$14,CVSSv3!$E$27,""))))))),1)</f>
        <v>#VALUE!</v>
      </c>
      <c r="I711" s="87">
        <v>0</v>
      </c>
      <c r="J711" s="87">
        <v>0</v>
      </c>
      <c r="K711" s="83" t="s">
        <v>14</v>
      </c>
      <c r="L711" s="83" t="s">
        <v>14</v>
      </c>
      <c r="M711" s="83" t="s">
        <v>16</v>
      </c>
    </row>
    <row r="712" spans="1:13" ht="15.75" x14ac:dyDescent="0.2">
      <c r="A712" s="85"/>
      <c r="B712" s="83"/>
      <c r="C712" s="83"/>
      <c r="D712" s="83"/>
      <c r="E712" s="83"/>
      <c r="F712" s="7" t="str">
        <f>CVSSv3!$A$5</f>
        <v>Attack Complexity</v>
      </c>
      <c r="G712" s="8" t="s">
        <v>32</v>
      </c>
      <c r="H712" s="86"/>
      <c r="I712" s="87"/>
      <c r="J712" s="87"/>
      <c r="K712" s="83"/>
      <c r="L712" s="83"/>
      <c r="M712" s="83"/>
    </row>
    <row r="713" spans="1:13" ht="15.75" x14ac:dyDescent="0.2">
      <c r="A713" s="85"/>
      <c r="B713" s="83"/>
      <c r="C713" s="83"/>
      <c r="D713" s="83"/>
      <c r="E713" s="83"/>
      <c r="F713" s="7" t="str">
        <f>CVSSv3!$A$6</f>
        <v>Privilege Required</v>
      </c>
      <c r="G713" s="8" t="s">
        <v>33</v>
      </c>
      <c r="H713" s="86"/>
      <c r="I713" s="87"/>
      <c r="J713" s="87"/>
      <c r="K713" s="83"/>
      <c r="L713" s="83"/>
      <c r="M713" s="83"/>
    </row>
    <row r="714" spans="1:13" ht="15.75" x14ac:dyDescent="0.2">
      <c r="A714" s="85"/>
      <c r="B714" s="83"/>
      <c r="C714" s="83"/>
      <c r="D714" s="83"/>
      <c r="E714" s="83"/>
      <c r="F714" s="7" t="str">
        <f>CVSSv3!$A$7</f>
        <v>User Interaction</v>
      </c>
      <c r="G714" s="8" t="s">
        <v>34</v>
      </c>
      <c r="H714" s="86"/>
      <c r="I714" s="87"/>
      <c r="J714" s="87"/>
      <c r="K714" s="83"/>
      <c r="L714" s="83"/>
      <c r="M714" s="83"/>
    </row>
    <row r="715" spans="1:13" ht="15.75" x14ac:dyDescent="0.2">
      <c r="A715" s="85"/>
      <c r="B715" s="83"/>
      <c r="C715" s="83"/>
      <c r="D715" s="83"/>
      <c r="E715" s="83"/>
      <c r="F715" s="7" t="str">
        <f>CVSSv3!$A$8</f>
        <v>Scope</v>
      </c>
      <c r="G715" s="8" t="s">
        <v>35</v>
      </c>
      <c r="H715" s="86"/>
      <c r="I715" s="87"/>
      <c r="J715" s="87"/>
      <c r="K715" s="83"/>
      <c r="L715" s="83"/>
      <c r="M715" s="83"/>
    </row>
    <row r="716" spans="1:13" ht="15.75" x14ac:dyDescent="0.2">
      <c r="A716" s="85"/>
      <c r="B716" s="83"/>
      <c r="C716" s="83"/>
      <c r="D716" s="83"/>
      <c r="E716" s="83"/>
      <c r="F716" s="7" t="str">
        <f>CVSSv3!$A$9</f>
        <v>Confidentiality Impact</v>
      </c>
      <c r="G716" s="8" t="s">
        <v>36</v>
      </c>
      <c r="H716" s="86"/>
      <c r="I716" s="87"/>
      <c r="J716" s="87"/>
      <c r="K716" s="83"/>
      <c r="L716" s="83"/>
      <c r="M716" s="83"/>
    </row>
    <row r="717" spans="1:13" ht="15.75" x14ac:dyDescent="0.2">
      <c r="A717" s="85"/>
      <c r="B717" s="83"/>
      <c r="C717" s="83"/>
      <c r="D717" s="83"/>
      <c r="E717" s="83"/>
      <c r="F717" s="7" t="str">
        <f>CVSSv3!$A$10</f>
        <v>Integrity Impact</v>
      </c>
      <c r="G717" s="8" t="s">
        <v>36</v>
      </c>
      <c r="H717" s="86"/>
      <c r="I717" s="87"/>
      <c r="J717" s="87"/>
      <c r="K717" s="83"/>
      <c r="L717" s="83"/>
      <c r="M717" s="83"/>
    </row>
    <row r="718" spans="1:13" ht="15.75" x14ac:dyDescent="0.2">
      <c r="A718" s="85"/>
      <c r="B718" s="83"/>
      <c r="C718" s="83"/>
      <c r="D718" s="83"/>
      <c r="E718" s="83"/>
      <c r="F718" s="7" t="str">
        <f>CVSSv3!$A$11</f>
        <v>Availability Impact</v>
      </c>
      <c r="G718" s="8" t="s">
        <v>36</v>
      </c>
      <c r="H718" s="86"/>
      <c r="I718" s="87"/>
      <c r="J718" s="87"/>
      <c r="K718" s="83"/>
      <c r="L718" s="83"/>
      <c r="M718" s="83"/>
    </row>
    <row r="719" spans="1:13" ht="15.75" x14ac:dyDescent="0.2">
      <c r="A719" s="85"/>
      <c r="B719" s="83"/>
      <c r="C719" s="83"/>
      <c r="D719" s="83"/>
      <c r="E719" s="83"/>
      <c r="F719" s="7" t="str">
        <f>CVSSv3!$A$12</f>
        <v>Exploit Code Maturity</v>
      </c>
      <c r="G719" s="8" t="s">
        <v>32</v>
      </c>
      <c r="H719" s="86"/>
      <c r="I719" s="87"/>
      <c r="J719" s="87"/>
      <c r="K719" s="83"/>
      <c r="L719" s="83"/>
      <c r="M719" s="83"/>
    </row>
    <row r="720" spans="1:13" ht="15.75" x14ac:dyDescent="0.2">
      <c r="A720" s="85"/>
      <c r="B720" s="83"/>
      <c r="C720" s="83"/>
      <c r="D720" s="83"/>
      <c r="E720" s="83"/>
      <c r="F720" s="7" t="str">
        <f>CVSSv3!$A$13</f>
        <v>Remediation Level</v>
      </c>
      <c r="G720" s="8" t="s">
        <v>37</v>
      </c>
      <c r="H720" s="86"/>
      <c r="I720" s="87"/>
      <c r="J720" s="87"/>
      <c r="K720" s="83"/>
      <c r="L720" s="83"/>
      <c r="M720" s="83"/>
    </row>
    <row r="721" spans="1:13" ht="15.75" x14ac:dyDescent="0.2">
      <c r="A721" s="85"/>
      <c r="B721" s="83"/>
      <c r="C721" s="83"/>
      <c r="D721" s="83"/>
      <c r="E721" s="83"/>
      <c r="F721" s="7" t="str">
        <f>CVSSv3!$A$14</f>
        <v>Report Confidence</v>
      </c>
      <c r="G721" s="8" t="s">
        <v>38</v>
      </c>
      <c r="H721" s="86"/>
      <c r="I721" s="87"/>
      <c r="J721" s="87"/>
      <c r="K721" s="83"/>
      <c r="L721" s="83"/>
      <c r="M721" s="83"/>
    </row>
    <row r="722" spans="1:13" ht="15.75" x14ac:dyDescent="0.2">
      <c r="A722" s="85"/>
      <c r="B722" s="83"/>
      <c r="C722" s="83"/>
      <c r="D722" s="83"/>
      <c r="E722" s="83"/>
      <c r="F722" s="84" t="str">
        <f>"("&amp;CVSSv3!$B$4&amp;":"&amp;IF(G711=CVSSv3!$C$4,CVSSv3!$C$30,IF(G711=CVSSv3!$D$4,CVSSv3!$D$30,IF(G711=CVSSv3!$E$4,CVSSv3!$E$30,IF(G711=CVSSv3!$F$4,CVSSv3!$F$30,""))))&amp;"/"&amp;CVSSv3!$B$5&amp;":"&amp;IF(G712=CVSSv3!$C$5,CVSSv3!$C$31,IF(G712=CVSSv3!$D$5,CVSSv3!$D$31,""))&amp;"/"&amp;CVSSv3!$B$6&amp;":"&amp;IF(G713=CVSSv3!$C$6,CVSSv3!$C$32,IF(G713=CVSSv3!$D$6,CVSSv3!$D$32,IF(G713=CVSSv3!$E$6,CVSSv3!$E$32,"")))&amp;"/"&amp;CVSSv3!$B$7&amp;":"&amp;IF(G714=CVSSv3!$C$7,CVSSv3!$C$33,IF(G714=CVSSv3!$D$7,CVSSv3!$D$33,""))&amp;"/"&amp;CVSSv3!$B$8&amp;":"&amp;IF(G715=CVSSv3!$C$8,CVSSv3!$C$34,IF(G715=CVSSv3!$D$8,CVSSv3!$D$34,""))&amp;"/"&amp;CVSSv3!$B$9&amp;":"&amp;IF(G716=CVSSv3!$C$9,CVSSv3!$C$35,IF(G716=CVSSv3!$D$9,CVSSv3!$D$35,IF(G716=CVSSv3!$E$9,CVSSv3!$E$35,"")))&amp;"/"&amp;CVSSv3!$B$10&amp;":"&amp;IF(G717=CVSSv3!$C$10,CVSSv3!$C$36,IF(G717=CVSSv3!$D$10,CVSSv3!$D$36,IF(G717=CVSSv3!$E$10,CVSSv3!$E$36,"")))&amp;"/"&amp;CVSSv3!$B$11&amp;":"&amp;IF(G718=CVSSv3!$C$11,CVSSv3!$C$37,IF(G718=CVSSv3!$D$11,CVSSv3!$D$37,IF(G718=CVSSv3!$E$11,CVSSv3!$E$37,"")))&amp;"/"&amp;CVSSv3!$B$12&amp;":"&amp;IF(G719=CVSSv3!$C$12,CVSSv3!$C$38,IF(G719=CVSSv3!$D$12,CVSSv3!$D$38,IF(G719=CVSSv3!$E$12,CVSSv3!$E$38,IF(G719=CVSSv3!$F$12,CVSSv3!$F$38,""))))&amp;"/"&amp;CVSSv3!$B$13&amp;":"&amp;IF(G720=CVSSv3!$C$13,CVSSv3!$C$39,IF(G720=CVSSv3!$D$13,CVSSv3!$D$39,IF(G720=CVSSv3!$E$13,CVSSv3!$E$39,IF(G720=CVSSv3!$F$13,CVSSv3!$F$39,""))))&amp;"/"&amp;CVSSv3!$B$14&amp;":"&amp;IF(G721=CVSSv3!$C$14,CVSSv3!$C$40,IF(G721=CVSSv3!$D$14,CVSSv3!$D$40,IF(G721=CVSSv3!$E$14,CVSSv3!$E$40,"")))&amp;")"</f>
        <v>(AV:/AC:/PR:/UI:/S:/C:/I:/A:/E:/RL:/RC:)</v>
      </c>
      <c r="G722" s="84"/>
      <c r="H722" s="86"/>
      <c r="I722" s="87"/>
      <c r="J722" s="87"/>
      <c r="K722" s="83"/>
      <c r="L722" s="83"/>
      <c r="M722" s="83"/>
    </row>
  </sheetData>
  <mergeCells count="722">
    <mergeCell ref="A1:M1"/>
    <mergeCell ref="F2:G2"/>
    <mergeCell ref="A3:A14"/>
    <mergeCell ref="B3:B14"/>
    <mergeCell ref="C3:C14"/>
    <mergeCell ref="D3:D14"/>
    <mergeCell ref="E3:E14"/>
    <mergeCell ref="H3:H14"/>
    <mergeCell ref="I3:I14"/>
    <mergeCell ref="J3:J14"/>
    <mergeCell ref="K3:K14"/>
    <mergeCell ref="L3:L14"/>
    <mergeCell ref="M3:M14"/>
    <mergeCell ref="F14:G14"/>
    <mergeCell ref="L15:L26"/>
    <mergeCell ref="M15:M26"/>
    <mergeCell ref="F26:G26"/>
    <mergeCell ref="A27:A38"/>
    <mergeCell ref="B27:B38"/>
    <mergeCell ref="C27:C38"/>
    <mergeCell ref="D27:D38"/>
    <mergeCell ref="E27:E38"/>
    <mergeCell ref="H27:H38"/>
    <mergeCell ref="I27:I38"/>
    <mergeCell ref="J27:J38"/>
    <mergeCell ref="K27:K38"/>
    <mergeCell ref="L27:L38"/>
    <mergeCell ref="M27:M38"/>
    <mergeCell ref="F38:G38"/>
    <mergeCell ref="A15:A26"/>
    <mergeCell ref="B15:B26"/>
    <mergeCell ref="C15:C26"/>
    <mergeCell ref="D15:D26"/>
    <mergeCell ref="E15:E26"/>
    <mergeCell ref="H15:H26"/>
    <mergeCell ref="I15:I26"/>
    <mergeCell ref="J15:J26"/>
    <mergeCell ref="K15:K26"/>
    <mergeCell ref="L39:L50"/>
    <mergeCell ref="M39:M50"/>
    <mergeCell ref="F50:G50"/>
    <mergeCell ref="A51:A62"/>
    <mergeCell ref="B51:B62"/>
    <mergeCell ref="C51:C62"/>
    <mergeCell ref="D51:D62"/>
    <mergeCell ref="E51:E62"/>
    <mergeCell ref="H51:H62"/>
    <mergeCell ref="I51:I62"/>
    <mergeCell ref="J51:J62"/>
    <mergeCell ref="K51:K62"/>
    <mergeCell ref="L51:L62"/>
    <mergeCell ref="M51:M62"/>
    <mergeCell ref="F62:G62"/>
    <mergeCell ref="A39:A50"/>
    <mergeCell ref="B39:B50"/>
    <mergeCell ref="C39:C50"/>
    <mergeCell ref="D39:D50"/>
    <mergeCell ref="E39:E50"/>
    <mergeCell ref="H39:H50"/>
    <mergeCell ref="I39:I50"/>
    <mergeCell ref="J39:J50"/>
    <mergeCell ref="K39:K50"/>
    <mergeCell ref="L63:L74"/>
    <mergeCell ref="M63:M74"/>
    <mergeCell ref="F74:G74"/>
    <mergeCell ref="A75:A86"/>
    <mergeCell ref="B75:B86"/>
    <mergeCell ref="C75:C86"/>
    <mergeCell ref="D75:D86"/>
    <mergeCell ref="E75:E86"/>
    <mergeCell ref="H75:H86"/>
    <mergeCell ref="I75:I86"/>
    <mergeCell ref="J75:J86"/>
    <mergeCell ref="K75:K86"/>
    <mergeCell ref="L75:L86"/>
    <mergeCell ref="M75:M86"/>
    <mergeCell ref="F86:G86"/>
    <mergeCell ref="A63:A74"/>
    <mergeCell ref="B63:B74"/>
    <mergeCell ref="C63:C74"/>
    <mergeCell ref="D63:D74"/>
    <mergeCell ref="E63:E74"/>
    <mergeCell ref="H63:H74"/>
    <mergeCell ref="I63:I74"/>
    <mergeCell ref="J63:J74"/>
    <mergeCell ref="K63:K74"/>
    <mergeCell ref="L87:L98"/>
    <mergeCell ref="M87:M98"/>
    <mergeCell ref="F98:G98"/>
    <mergeCell ref="A99:A110"/>
    <mergeCell ref="B99:B110"/>
    <mergeCell ref="C99:C110"/>
    <mergeCell ref="D99:D110"/>
    <mergeCell ref="E99:E110"/>
    <mergeCell ref="H99:H110"/>
    <mergeCell ref="I99:I110"/>
    <mergeCell ref="J99:J110"/>
    <mergeCell ref="K99:K110"/>
    <mergeCell ref="L99:L110"/>
    <mergeCell ref="M99:M110"/>
    <mergeCell ref="F110:G110"/>
    <mergeCell ref="A87:A98"/>
    <mergeCell ref="B87:B98"/>
    <mergeCell ref="C87:C98"/>
    <mergeCell ref="D87:D98"/>
    <mergeCell ref="E87:E98"/>
    <mergeCell ref="H87:H98"/>
    <mergeCell ref="I87:I98"/>
    <mergeCell ref="J87:J98"/>
    <mergeCell ref="K87:K98"/>
    <mergeCell ref="L111:L122"/>
    <mergeCell ref="M111:M122"/>
    <mergeCell ref="F122:G122"/>
    <mergeCell ref="A123:A134"/>
    <mergeCell ref="B123:B134"/>
    <mergeCell ref="C123:C134"/>
    <mergeCell ref="D123:D134"/>
    <mergeCell ref="E123:E134"/>
    <mergeCell ref="H123:H134"/>
    <mergeCell ref="I123:I134"/>
    <mergeCell ref="J123:J134"/>
    <mergeCell ref="K123:K134"/>
    <mergeCell ref="L123:L134"/>
    <mergeCell ref="M123:M134"/>
    <mergeCell ref="F134:G134"/>
    <mergeCell ref="A111:A122"/>
    <mergeCell ref="B111:B122"/>
    <mergeCell ref="C111:C122"/>
    <mergeCell ref="D111:D122"/>
    <mergeCell ref="E111:E122"/>
    <mergeCell ref="H111:H122"/>
    <mergeCell ref="I111:I122"/>
    <mergeCell ref="J111:J122"/>
    <mergeCell ref="K111:K122"/>
    <mergeCell ref="L135:L146"/>
    <mergeCell ref="M135:M146"/>
    <mergeCell ref="F146:G146"/>
    <mergeCell ref="A147:A158"/>
    <mergeCell ref="B147:B158"/>
    <mergeCell ref="C147:C158"/>
    <mergeCell ref="D147:D158"/>
    <mergeCell ref="E147:E158"/>
    <mergeCell ref="H147:H158"/>
    <mergeCell ref="I147:I158"/>
    <mergeCell ref="J147:J158"/>
    <mergeCell ref="K147:K158"/>
    <mergeCell ref="L147:L158"/>
    <mergeCell ref="M147:M158"/>
    <mergeCell ref="F158:G158"/>
    <mergeCell ref="A135:A146"/>
    <mergeCell ref="B135:B146"/>
    <mergeCell ref="C135:C146"/>
    <mergeCell ref="D135:D146"/>
    <mergeCell ref="E135:E146"/>
    <mergeCell ref="H135:H146"/>
    <mergeCell ref="I135:I146"/>
    <mergeCell ref="J135:J146"/>
    <mergeCell ref="K135:K146"/>
    <mergeCell ref="L159:L170"/>
    <mergeCell ref="M159:M170"/>
    <mergeCell ref="F170:G170"/>
    <mergeCell ref="A171:A182"/>
    <mergeCell ref="B171:B182"/>
    <mergeCell ref="C171:C182"/>
    <mergeCell ref="D171:D182"/>
    <mergeCell ref="E171:E182"/>
    <mergeCell ref="H171:H182"/>
    <mergeCell ref="I171:I182"/>
    <mergeCell ref="J171:J182"/>
    <mergeCell ref="K171:K182"/>
    <mergeCell ref="L171:L182"/>
    <mergeCell ref="M171:M182"/>
    <mergeCell ref="F182:G182"/>
    <mergeCell ref="A159:A170"/>
    <mergeCell ref="B159:B170"/>
    <mergeCell ref="C159:C170"/>
    <mergeCell ref="D159:D170"/>
    <mergeCell ref="E159:E170"/>
    <mergeCell ref="H159:H170"/>
    <mergeCell ref="I159:I170"/>
    <mergeCell ref="J159:J170"/>
    <mergeCell ref="K159:K170"/>
    <mergeCell ref="L183:L194"/>
    <mergeCell ref="M183:M194"/>
    <mergeCell ref="F194:G194"/>
    <mergeCell ref="A195:A206"/>
    <mergeCell ref="B195:B206"/>
    <mergeCell ref="C195:C206"/>
    <mergeCell ref="D195:D206"/>
    <mergeCell ref="E195:E206"/>
    <mergeCell ref="H195:H206"/>
    <mergeCell ref="I195:I206"/>
    <mergeCell ref="J195:J206"/>
    <mergeCell ref="K195:K206"/>
    <mergeCell ref="L195:L206"/>
    <mergeCell ref="M195:M206"/>
    <mergeCell ref="F206:G206"/>
    <mergeCell ref="A183:A194"/>
    <mergeCell ref="B183:B194"/>
    <mergeCell ref="C183:C194"/>
    <mergeCell ref="D183:D194"/>
    <mergeCell ref="E183:E194"/>
    <mergeCell ref="H183:H194"/>
    <mergeCell ref="I183:I194"/>
    <mergeCell ref="J183:J194"/>
    <mergeCell ref="K183:K194"/>
    <mergeCell ref="L207:L218"/>
    <mergeCell ref="M207:M218"/>
    <mergeCell ref="F218:G218"/>
    <mergeCell ref="A219:A230"/>
    <mergeCell ref="B219:B230"/>
    <mergeCell ref="C219:C230"/>
    <mergeCell ref="D219:D230"/>
    <mergeCell ref="E219:E230"/>
    <mergeCell ref="H219:H230"/>
    <mergeCell ref="I219:I230"/>
    <mergeCell ref="J219:J230"/>
    <mergeCell ref="K219:K230"/>
    <mergeCell ref="L219:L230"/>
    <mergeCell ref="M219:M230"/>
    <mergeCell ref="F230:G230"/>
    <mergeCell ref="A207:A218"/>
    <mergeCell ref="B207:B218"/>
    <mergeCell ref="C207:C218"/>
    <mergeCell ref="D207:D218"/>
    <mergeCell ref="E207:E218"/>
    <mergeCell ref="H207:H218"/>
    <mergeCell ref="I207:I218"/>
    <mergeCell ref="J207:J218"/>
    <mergeCell ref="K207:K218"/>
    <mergeCell ref="L231:L242"/>
    <mergeCell ref="M231:M242"/>
    <mergeCell ref="F242:G242"/>
    <mergeCell ref="A243:A254"/>
    <mergeCell ref="B243:B254"/>
    <mergeCell ref="C243:C254"/>
    <mergeCell ref="D243:D254"/>
    <mergeCell ref="E243:E254"/>
    <mergeCell ref="H243:H254"/>
    <mergeCell ref="I243:I254"/>
    <mergeCell ref="J243:J254"/>
    <mergeCell ref="K243:K254"/>
    <mergeCell ref="L243:L254"/>
    <mergeCell ref="M243:M254"/>
    <mergeCell ref="F254:G254"/>
    <mergeCell ref="A231:A242"/>
    <mergeCell ref="B231:B242"/>
    <mergeCell ref="C231:C242"/>
    <mergeCell ref="D231:D242"/>
    <mergeCell ref="E231:E242"/>
    <mergeCell ref="H231:H242"/>
    <mergeCell ref="I231:I242"/>
    <mergeCell ref="J231:J242"/>
    <mergeCell ref="K231:K242"/>
    <mergeCell ref="L255:L266"/>
    <mergeCell ref="M255:M266"/>
    <mergeCell ref="F266:G266"/>
    <mergeCell ref="A267:A278"/>
    <mergeCell ref="B267:B278"/>
    <mergeCell ref="C267:C278"/>
    <mergeCell ref="D267:D278"/>
    <mergeCell ref="E267:E278"/>
    <mergeCell ref="H267:H278"/>
    <mergeCell ref="I267:I278"/>
    <mergeCell ref="J267:J278"/>
    <mergeCell ref="K267:K278"/>
    <mergeCell ref="L267:L278"/>
    <mergeCell ref="M267:M278"/>
    <mergeCell ref="F278:G278"/>
    <mergeCell ref="A255:A266"/>
    <mergeCell ref="B255:B266"/>
    <mergeCell ref="C255:C266"/>
    <mergeCell ref="D255:D266"/>
    <mergeCell ref="E255:E266"/>
    <mergeCell ref="H255:H266"/>
    <mergeCell ref="I255:I266"/>
    <mergeCell ref="J255:J266"/>
    <mergeCell ref="K255:K266"/>
    <mergeCell ref="L279:L290"/>
    <mergeCell ref="M279:M290"/>
    <mergeCell ref="F290:G290"/>
    <mergeCell ref="A291:A302"/>
    <mergeCell ref="B291:B302"/>
    <mergeCell ref="C291:C302"/>
    <mergeCell ref="D291:D302"/>
    <mergeCell ref="E291:E302"/>
    <mergeCell ref="H291:H302"/>
    <mergeCell ref="I291:I302"/>
    <mergeCell ref="J291:J302"/>
    <mergeCell ref="K291:K302"/>
    <mergeCell ref="L291:L302"/>
    <mergeCell ref="M291:M302"/>
    <mergeCell ref="F302:G302"/>
    <mergeCell ref="A279:A290"/>
    <mergeCell ref="B279:B290"/>
    <mergeCell ref="C279:C290"/>
    <mergeCell ref="D279:D290"/>
    <mergeCell ref="E279:E290"/>
    <mergeCell ref="H279:H290"/>
    <mergeCell ref="I279:I290"/>
    <mergeCell ref="J279:J290"/>
    <mergeCell ref="K279:K290"/>
    <mergeCell ref="L303:L314"/>
    <mergeCell ref="M303:M314"/>
    <mergeCell ref="F314:G314"/>
    <mergeCell ref="A315:A326"/>
    <mergeCell ref="B315:B326"/>
    <mergeCell ref="C315:C326"/>
    <mergeCell ref="D315:D326"/>
    <mergeCell ref="E315:E326"/>
    <mergeCell ref="H315:H326"/>
    <mergeCell ref="I315:I326"/>
    <mergeCell ref="J315:J326"/>
    <mergeCell ref="K315:K326"/>
    <mergeCell ref="L315:L326"/>
    <mergeCell ref="M315:M326"/>
    <mergeCell ref="F326:G326"/>
    <mergeCell ref="A303:A314"/>
    <mergeCell ref="B303:B314"/>
    <mergeCell ref="C303:C314"/>
    <mergeCell ref="D303:D314"/>
    <mergeCell ref="E303:E314"/>
    <mergeCell ref="H303:H314"/>
    <mergeCell ref="I303:I314"/>
    <mergeCell ref="J303:J314"/>
    <mergeCell ref="K303:K314"/>
    <mergeCell ref="L327:L338"/>
    <mergeCell ref="M327:M338"/>
    <mergeCell ref="F338:G338"/>
    <mergeCell ref="A339:A350"/>
    <mergeCell ref="B339:B350"/>
    <mergeCell ref="C339:C350"/>
    <mergeCell ref="D339:D350"/>
    <mergeCell ref="E339:E350"/>
    <mergeCell ref="H339:H350"/>
    <mergeCell ref="I339:I350"/>
    <mergeCell ref="J339:J350"/>
    <mergeCell ref="K339:K350"/>
    <mergeCell ref="L339:L350"/>
    <mergeCell ref="M339:M350"/>
    <mergeCell ref="F350:G350"/>
    <mergeCell ref="A327:A338"/>
    <mergeCell ref="B327:B338"/>
    <mergeCell ref="C327:C338"/>
    <mergeCell ref="D327:D338"/>
    <mergeCell ref="E327:E338"/>
    <mergeCell ref="H327:H338"/>
    <mergeCell ref="I327:I338"/>
    <mergeCell ref="J327:J338"/>
    <mergeCell ref="K327:K338"/>
    <mergeCell ref="L351:L362"/>
    <mergeCell ref="M351:M362"/>
    <mergeCell ref="F362:G362"/>
    <mergeCell ref="A363:A374"/>
    <mergeCell ref="B363:B374"/>
    <mergeCell ref="C363:C374"/>
    <mergeCell ref="D363:D374"/>
    <mergeCell ref="E363:E374"/>
    <mergeCell ref="H363:H374"/>
    <mergeCell ref="I363:I374"/>
    <mergeCell ref="J363:J374"/>
    <mergeCell ref="K363:K374"/>
    <mergeCell ref="L363:L374"/>
    <mergeCell ref="M363:M374"/>
    <mergeCell ref="F374:G374"/>
    <mergeCell ref="A351:A362"/>
    <mergeCell ref="B351:B362"/>
    <mergeCell ref="C351:C362"/>
    <mergeCell ref="D351:D362"/>
    <mergeCell ref="E351:E362"/>
    <mergeCell ref="H351:H362"/>
    <mergeCell ref="I351:I362"/>
    <mergeCell ref="J351:J362"/>
    <mergeCell ref="K351:K362"/>
    <mergeCell ref="L375:L386"/>
    <mergeCell ref="M375:M386"/>
    <mergeCell ref="F386:G386"/>
    <mergeCell ref="A387:A398"/>
    <mergeCell ref="B387:B398"/>
    <mergeCell ref="C387:C398"/>
    <mergeCell ref="D387:D398"/>
    <mergeCell ref="E387:E398"/>
    <mergeCell ref="H387:H398"/>
    <mergeCell ref="I387:I398"/>
    <mergeCell ref="J387:J398"/>
    <mergeCell ref="K387:K398"/>
    <mergeCell ref="L387:L398"/>
    <mergeCell ref="M387:M398"/>
    <mergeCell ref="F398:G398"/>
    <mergeCell ref="A375:A386"/>
    <mergeCell ref="B375:B386"/>
    <mergeCell ref="C375:C386"/>
    <mergeCell ref="D375:D386"/>
    <mergeCell ref="E375:E386"/>
    <mergeCell ref="H375:H386"/>
    <mergeCell ref="I375:I386"/>
    <mergeCell ref="J375:J386"/>
    <mergeCell ref="K375:K386"/>
    <mergeCell ref="L399:L410"/>
    <mergeCell ref="M399:M410"/>
    <mergeCell ref="F410:G410"/>
    <mergeCell ref="A411:A422"/>
    <mergeCell ref="B411:B422"/>
    <mergeCell ref="C411:C422"/>
    <mergeCell ref="D411:D422"/>
    <mergeCell ref="E411:E422"/>
    <mergeCell ref="H411:H422"/>
    <mergeCell ref="I411:I422"/>
    <mergeCell ref="J411:J422"/>
    <mergeCell ref="K411:K422"/>
    <mergeCell ref="L411:L422"/>
    <mergeCell ref="M411:M422"/>
    <mergeCell ref="F422:G422"/>
    <mergeCell ref="A399:A410"/>
    <mergeCell ref="B399:B410"/>
    <mergeCell ref="C399:C410"/>
    <mergeCell ref="D399:D410"/>
    <mergeCell ref="E399:E410"/>
    <mergeCell ref="H399:H410"/>
    <mergeCell ref="I399:I410"/>
    <mergeCell ref="J399:J410"/>
    <mergeCell ref="K399:K410"/>
    <mergeCell ref="L423:L434"/>
    <mergeCell ref="M423:M434"/>
    <mergeCell ref="F434:G434"/>
    <mergeCell ref="A435:A446"/>
    <mergeCell ref="B435:B446"/>
    <mergeCell ref="C435:C446"/>
    <mergeCell ref="D435:D446"/>
    <mergeCell ref="E435:E446"/>
    <mergeCell ref="H435:H446"/>
    <mergeCell ref="I435:I446"/>
    <mergeCell ref="J435:J446"/>
    <mergeCell ref="K435:K446"/>
    <mergeCell ref="L435:L446"/>
    <mergeCell ref="M435:M446"/>
    <mergeCell ref="F446:G446"/>
    <mergeCell ref="A423:A434"/>
    <mergeCell ref="B423:B434"/>
    <mergeCell ref="C423:C434"/>
    <mergeCell ref="D423:D434"/>
    <mergeCell ref="E423:E434"/>
    <mergeCell ref="H423:H434"/>
    <mergeCell ref="I423:I434"/>
    <mergeCell ref="J423:J434"/>
    <mergeCell ref="K423:K434"/>
    <mergeCell ref="L447:L458"/>
    <mergeCell ref="M447:M458"/>
    <mergeCell ref="F458:G458"/>
    <mergeCell ref="A459:A470"/>
    <mergeCell ref="B459:B470"/>
    <mergeCell ref="C459:C470"/>
    <mergeCell ref="D459:D470"/>
    <mergeCell ref="E459:E470"/>
    <mergeCell ref="H459:H470"/>
    <mergeCell ref="I459:I470"/>
    <mergeCell ref="J459:J470"/>
    <mergeCell ref="K459:K470"/>
    <mergeCell ref="L459:L470"/>
    <mergeCell ref="M459:M470"/>
    <mergeCell ref="F470:G470"/>
    <mergeCell ref="A447:A458"/>
    <mergeCell ref="B447:B458"/>
    <mergeCell ref="C447:C458"/>
    <mergeCell ref="D447:D458"/>
    <mergeCell ref="E447:E458"/>
    <mergeCell ref="H447:H458"/>
    <mergeCell ref="I447:I458"/>
    <mergeCell ref="J447:J458"/>
    <mergeCell ref="K447:K458"/>
    <mergeCell ref="L471:L482"/>
    <mergeCell ref="M471:M482"/>
    <mergeCell ref="F482:G482"/>
    <mergeCell ref="A483:A494"/>
    <mergeCell ref="B483:B494"/>
    <mergeCell ref="C483:C494"/>
    <mergeCell ref="D483:D494"/>
    <mergeCell ref="E483:E494"/>
    <mergeCell ref="H483:H494"/>
    <mergeCell ref="I483:I494"/>
    <mergeCell ref="J483:J494"/>
    <mergeCell ref="K483:K494"/>
    <mergeCell ref="L483:L494"/>
    <mergeCell ref="M483:M494"/>
    <mergeCell ref="F494:G494"/>
    <mergeCell ref="A471:A482"/>
    <mergeCell ref="B471:B482"/>
    <mergeCell ref="C471:C482"/>
    <mergeCell ref="D471:D482"/>
    <mergeCell ref="E471:E482"/>
    <mergeCell ref="H471:H482"/>
    <mergeCell ref="I471:I482"/>
    <mergeCell ref="J471:J482"/>
    <mergeCell ref="K471:K482"/>
    <mergeCell ref="L495:L506"/>
    <mergeCell ref="M495:M506"/>
    <mergeCell ref="F506:G506"/>
    <mergeCell ref="A507:A518"/>
    <mergeCell ref="B507:B518"/>
    <mergeCell ref="C507:C518"/>
    <mergeCell ref="D507:D518"/>
    <mergeCell ref="E507:E518"/>
    <mergeCell ref="H507:H518"/>
    <mergeCell ref="I507:I518"/>
    <mergeCell ref="J507:J518"/>
    <mergeCell ref="K507:K518"/>
    <mergeCell ref="L507:L518"/>
    <mergeCell ref="M507:M518"/>
    <mergeCell ref="F518:G518"/>
    <mergeCell ref="A495:A506"/>
    <mergeCell ref="B495:B506"/>
    <mergeCell ref="C495:C506"/>
    <mergeCell ref="D495:D506"/>
    <mergeCell ref="E495:E506"/>
    <mergeCell ref="H495:H506"/>
    <mergeCell ref="I495:I506"/>
    <mergeCell ref="J495:J506"/>
    <mergeCell ref="K495:K506"/>
    <mergeCell ref="L519:L530"/>
    <mergeCell ref="M519:M530"/>
    <mergeCell ref="F530:G530"/>
    <mergeCell ref="A531:A542"/>
    <mergeCell ref="B531:B542"/>
    <mergeCell ref="C531:C542"/>
    <mergeCell ref="D531:D542"/>
    <mergeCell ref="E531:E542"/>
    <mergeCell ref="H531:H542"/>
    <mergeCell ref="I531:I542"/>
    <mergeCell ref="J531:J542"/>
    <mergeCell ref="K531:K542"/>
    <mergeCell ref="L531:L542"/>
    <mergeCell ref="M531:M542"/>
    <mergeCell ref="F542:G542"/>
    <mergeCell ref="A519:A530"/>
    <mergeCell ref="B519:B530"/>
    <mergeCell ref="C519:C530"/>
    <mergeCell ref="D519:D530"/>
    <mergeCell ref="E519:E530"/>
    <mergeCell ref="H519:H530"/>
    <mergeCell ref="I519:I530"/>
    <mergeCell ref="J519:J530"/>
    <mergeCell ref="K519:K530"/>
    <mergeCell ref="L543:L554"/>
    <mergeCell ref="M543:M554"/>
    <mergeCell ref="F554:G554"/>
    <mergeCell ref="A555:A566"/>
    <mergeCell ref="B555:B566"/>
    <mergeCell ref="C555:C566"/>
    <mergeCell ref="D555:D566"/>
    <mergeCell ref="E555:E566"/>
    <mergeCell ref="H555:H566"/>
    <mergeCell ref="I555:I566"/>
    <mergeCell ref="J555:J566"/>
    <mergeCell ref="K555:K566"/>
    <mergeCell ref="L555:L566"/>
    <mergeCell ref="M555:M566"/>
    <mergeCell ref="F566:G566"/>
    <mergeCell ref="A543:A554"/>
    <mergeCell ref="B543:B554"/>
    <mergeCell ref="C543:C554"/>
    <mergeCell ref="D543:D554"/>
    <mergeCell ref="E543:E554"/>
    <mergeCell ref="H543:H554"/>
    <mergeCell ref="I543:I554"/>
    <mergeCell ref="J543:J554"/>
    <mergeCell ref="K543:K554"/>
    <mergeCell ref="L567:L578"/>
    <mergeCell ref="M567:M578"/>
    <mergeCell ref="F578:G578"/>
    <mergeCell ref="A579:A590"/>
    <mergeCell ref="B579:B590"/>
    <mergeCell ref="C579:C590"/>
    <mergeCell ref="D579:D590"/>
    <mergeCell ref="E579:E590"/>
    <mergeCell ref="H579:H590"/>
    <mergeCell ref="I579:I590"/>
    <mergeCell ref="J579:J590"/>
    <mergeCell ref="K579:K590"/>
    <mergeCell ref="L579:L590"/>
    <mergeCell ref="M579:M590"/>
    <mergeCell ref="F590:G590"/>
    <mergeCell ref="A567:A578"/>
    <mergeCell ref="B567:B578"/>
    <mergeCell ref="C567:C578"/>
    <mergeCell ref="D567:D578"/>
    <mergeCell ref="E567:E578"/>
    <mergeCell ref="H567:H578"/>
    <mergeCell ref="I567:I578"/>
    <mergeCell ref="J567:J578"/>
    <mergeCell ref="K567:K578"/>
    <mergeCell ref="L591:L602"/>
    <mergeCell ref="M591:M602"/>
    <mergeCell ref="F602:G602"/>
    <mergeCell ref="A603:A614"/>
    <mergeCell ref="B603:B614"/>
    <mergeCell ref="C603:C614"/>
    <mergeCell ref="D603:D614"/>
    <mergeCell ref="E603:E614"/>
    <mergeCell ref="H603:H614"/>
    <mergeCell ref="I603:I614"/>
    <mergeCell ref="J603:J614"/>
    <mergeCell ref="K603:K614"/>
    <mergeCell ref="L603:L614"/>
    <mergeCell ref="M603:M614"/>
    <mergeCell ref="F614:G614"/>
    <mergeCell ref="A591:A602"/>
    <mergeCell ref="B591:B602"/>
    <mergeCell ref="C591:C602"/>
    <mergeCell ref="D591:D602"/>
    <mergeCell ref="E591:E602"/>
    <mergeCell ref="H591:H602"/>
    <mergeCell ref="I591:I602"/>
    <mergeCell ref="J591:J602"/>
    <mergeCell ref="K591:K602"/>
    <mergeCell ref="L615:L626"/>
    <mergeCell ref="M615:M626"/>
    <mergeCell ref="F626:G626"/>
    <mergeCell ref="A627:A638"/>
    <mergeCell ref="B627:B638"/>
    <mergeCell ref="C627:C638"/>
    <mergeCell ref="D627:D638"/>
    <mergeCell ref="E627:E638"/>
    <mergeCell ref="H627:H638"/>
    <mergeCell ref="I627:I638"/>
    <mergeCell ref="J627:J638"/>
    <mergeCell ref="K627:K638"/>
    <mergeCell ref="L627:L638"/>
    <mergeCell ref="M627:M638"/>
    <mergeCell ref="F638:G638"/>
    <mergeCell ref="A615:A626"/>
    <mergeCell ref="B615:B626"/>
    <mergeCell ref="C615:C626"/>
    <mergeCell ref="D615:D626"/>
    <mergeCell ref="E615:E626"/>
    <mergeCell ref="H615:H626"/>
    <mergeCell ref="I615:I626"/>
    <mergeCell ref="J615:J626"/>
    <mergeCell ref="K615:K626"/>
    <mergeCell ref="L639:L650"/>
    <mergeCell ref="M639:M650"/>
    <mergeCell ref="F650:G650"/>
    <mergeCell ref="A651:A662"/>
    <mergeCell ref="B651:B662"/>
    <mergeCell ref="C651:C662"/>
    <mergeCell ref="D651:D662"/>
    <mergeCell ref="E651:E662"/>
    <mergeCell ref="H651:H662"/>
    <mergeCell ref="I651:I662"/>
    <mergeCell ref="J651:J662"/>
    <mergeCell ref="K651:K662"/>
    <mergeCell ref="L651:L662"/>
    <mergeCell ref="M651:M662"/>
    <mergeCell ref="F662:G662"/>
    <mergeCell ref="A639:A650"/>
    <mergeCell ref="B639:B650"/>
    <mergeCell ref="C639:C650"/>
    <mergeCell ref="D639:D650"/>
    <mergeCell ref="E639:E650"/>
    <mergeCell ref="H639:H650"/>
    <mergeCell ref="I639:I650"/>
    <mergeCell ref="J639:J650"/>
    <mergeCell ref="K639:K650"/>
    <mergeCell ref="L663:L674"/>
    <mergeCell ref="M663:M674"/>
    <mergeCell ref="F674:G674"/>
    <mergeCell ref="A675:A686"/>
    <mergeCell ref="B675:B686"/>
    <mergeCell ref="C675:C686"/>
    <mergeCell ref="D675:D686"/>
    <mergeCell ref="E675:E686"/>
    <mergeCell ref="H675:H686"/>
    <mergeCell ref="I675:I686"/>
    <mergeCell ref="J675:J686"/>
    <mergeCell ref="K675:K686"/>
    <mergeCell ref="L675:L686"/>
    <mergeCell ref="M675:M686"/>
    <mergeCell ref="F686:G686"/>
    <mergeCell ref="A663:A674"/>
    <mergeCell ref="B663:B674"/>
    <mergeCell ref="C663:C674"/>
    <mergeCell ref="D663:D674"/>
    <mergeCell ref="E663:E674"/>
    <mergeCell ref="H663:H674"/>
    <mergeCell ref="I663:I674"/>
    <mergeCell ref="J663:J674"/>
    <mergeCell ref="K663:K674"/>
    <mergeCell ref="L687:L698"/>
    <mergeCell ref="M687:M698"/>
    <mergeCell ref="F698:G698"/>
    <mergeCell ref="A699:A710"/>
    <mergeCell ref="B699:B710"/>
    <mergeCell ref="C699:C710"/>
    <mergeCell ref="D699:D710"/>
    <mergeCell ref="E699:E710"/>
    <mergeCell ref="H699:H710"/>
    <mergeCell ref="I699:I710"/>
    <mergeCell ref="J699:J710"/>
    <mergeCell ref="K699:K710"/>
    <mergeCell ref="L699:L710"/>
    <mergeCell ref="M699:M710"/>
    <mergeCell ref="F710:G710"/>
    <mergeCell ref="A687:A698"/>
    <mergeCell ref="B687:B698"/>
    <mergeCell ref="C687:C698"/>
    <mergeCell ref="D687:D698"/>
    <mergeCell ref="E687:E698"/>
    <mergeCell ref="H687:H698"/>
    <mergeCell ref="I687:I698"/>
    <mergeCell ref="J687:J698"/>
    <mergeCell ref="K687:K698"/>
    <mergeCell ref="L711:L722"/>
    <mergeCell ref="M711:M722"/>
    <mergeCell ref="F722:G722"/>
    <mergeCell ref="A711:A722"/>
    <mergeCell ref="B711:B722"/>
    <mergeCell ref="C711:C722"/>
    <mergeCell ref="D711:D722"/>
    <mergeCell ref="E711:E722"/>
    <mergeCell ref="H711:H722"/>
    <mergeCell ref="I711:I722"/>
    <mergeCell ref="J711:J722"/>
    <mergeCell ref="K711:K722"/>
  </mergeCells>
  <conditionalFormatting sqref="H3:H722">
    <cfRule type="cellIs" dxfId="3" priority="2" operator="between">
      <formula>9</formula>
      <formula>10</formula>
    </cfRule>
    <cfRule type="cellIs" dxfId="2" priority="3" operator="between">
      <formula>7</formula>
      <formula>8.9</formula>
    </cfRule>
    <cfRule type="cellIs" dxfId="1" priority="4" operator="between">
      <formula>4</formula>
      <formula>6.9</formula>
    </cfRule>
    <cfRule type="cellIs" dxfId="0" priority="5" operator="between">
      <formula>0</formula>
      <formula>3.9</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CVSSv3!$C$14:$E$14</xm:f>
          </x14:formula1>
          <x14:formula2>
            <xm:f>0</xm:f>
          </x14:formula2>
          <xm:sqref>G13 G25 G37 G49 G61 G73 G85 G97 G109 G121 G133 G145 G157 G169 G181 G193 G205 G217 G229 G241 G253 G265 G277 G289 G301 G313 G325 G337 G349 G361 G373 G385 G397 G409 G421 G433 G445 G457 G469 G481 G493 G505 G517 G529 G541 G553 G565 G577 G589 G601 G613 G625 G637 G649 G661 G673 G685 G697 G709 G721</xm:sqref>
        </x14:dataValidation>
        <x14:dataValidation type="list" allowBlank="1" showInputMessage="1" showErrorMessage="1" xr:uid="{00000000-0002-0000-0000-000001000000}">
          <x14:formula1>
            <xm:f>CVSSv3!$C$13:$F$13</xm:f>
          </x14:formula1>
          <x14:formula2>
            <xm:f>0</xm:f>
          </x14:formula2>
          <xm:sqref>G12 G24 G36 G48 G60 G72 G84 G96 G108 G120 G132 G144 G156 G168 G180 G192 G204 G216 G228 G240 G252 G264 G276 G288 G300 G312 G324 G336 G348 G360 G372 G384 G396 G408 G420 G432 G444 G456 G468 G480 G492 G504 G516 G528 G540 G552 G564 G576 G588 G600 G612 G624 G636 G648 G660 G672 G684 G696 G708 G720</xm:sqref>
        </x14:dataValidation>
        <x14:dataValidation type="list" allowBlank="1" showInputMessage="1" showErrorMessage="1" xr:uid="{00000000-0002-0000-0000-000002000000}">
          <x14:formula1>
            <xm:f>CVSSv3!$C$12:$F$12</xm:f>
          </x14:formula1>
          <x14:formula2>
            <xm:f>0</xm:f>
          </x14:formula2>
          <xm:sqref>G11 G23 G35 G47 G59 G71 G83 G95 G107 G119 G131 G143 G155 G167 G179 G191 G203 G215 G227 G239 G251 G263 G275 G287 G299 G311 G323 G335 G347 G359 G371 G383 G395 G407 G419 G431 G443 G455 G467 G479 G491 G503 G515 G527 G539 G551 G563 G575 G587 G599 G611 G623 G635 G647 G659 G671 G683 G695 G707 G719</xm:sqref>
        </x14:dataValidation>
        <x14:dataValidation type="list" allowBlank="1" showInputMessage="1" showErrorMessage="1" xr:uid="{00000000-0002-0000-0000-000003000000}">
          <x14:formula1>
            <xm:f>CVSSv3!$C$11:$E$11</xm:f>
          </x14:formula1>
          <x14:formula2>
            <xm:f>0</xm:f>
          </x14:formula2>
          <xm:sqref>G10 G22 G34 G46 G58 G70 G82 G94 G106 G118 G130 G142 G154 G166 G178 G190 G202 G214 G226 G238 G250 G262 G274 G286 G298 G310 G322 G334 G346 G358 G370 G382 G394 G406 G418 G430 G442 G454 G466 G478 G490 G502 G514 G526 G538 G550 G562 G574 G586 G598 G610 G622 G634 G646 G658 G670 G682 G694 G706 G718</xm:sqref>
        </x14:dataValidation>
        <x14:dataValidation type="list" allowBlank="1" showInputMessage="1" showErrorMessage="1" xr:uid="{00000000-0002-0000-0000-000004000000}">
          <x14:formula1>
            <xm:f>CVSSv3!$C$10:$E$10</xm:f>
          </x14:formula1>
          <x14:formula2>
            <xm:f>0</xm:f>
          </x14:formula2>
          <xm:sqref>G9 G21 G33 G45 G57 G69 G81 G93 G105 G117 G129 G141 G153 G165 G177 G189 G201 G213 G225 G237 G249 G261 G273 G285 G297 G309 G321 G333 G345 G357 G369 G381 G393 G405 G417 G429 G441 G453 G465 G477 G489 G501 G513 G525 G537 G549 G561 G573 G585 G597 G609 G621 G633 G645 G657 G669 G681 G693 G705 G717</xm:sqref>
        </x14:dataValidation>
        <x14:dataValidation type="list" allowBlank="1" showInputMessage="1" showErrorMessage="1" xr:uid="{00000000-0002-0000-0000-000005000000}">
          <x14:formula1>
            <xm:f>CVSSv3!$C$9:$E$9</xm:f>
          </x14:formula1>
          <x14:formula2>
            <xm:f>0</xm:f>
          </x14:formula2>
          <xm:sqref>G8 G20 G32 G44 G56 G68 G80 G92 G104 G116 G128 G140 G152 G164 G176 G188 G200 G212 G224 G236 G248 G260 G272 G284 G296 G308 G320 G332 G344 G356 G368 G380 G392 G404 G416 G428 G440 G452 G464 G476 G488 G500 G512 G524 G536 G548 G560 G572 G584 G596 G608 G620 G632 G644 G656 G668 G680 G692 G704 G716</xm:sqref>
        </x14:dataValidation>
        <x14:dataValidation type="list" allowBlank="1" showInputMessage="1" showErrorMessage="1" xr:uid="{00000000-0002-0000-0000-000006000000}">
          <x14:formula1>
            <xm:f>CVSSv3!$C$8:$D$8</xm:f>
          </x14:formula1>
          <x14:formula2>
            <xm:f>0</xm:f>
          </x14:formula2>
          <xm:sqref>G7 G19 G31 G43 G55 G67 G79 G91 G103 G115 G127 G139 G151 G163 G175 G187 G199 G211 G223 G235 G247 G259 G271 G283 G295 G307 G319 G331 G343 G355 G367 G379 G391 G403 G415 G427 G439 G451 G463 G475 G487 G499 G511 G523 G535 G547 G559 G571 G583 G595 G607 G619 G631 G643 G655 G667 G679 G691 G703 G715</xm:sqref>
        </x14:dataValidation>
        <x14:dataValidation type="list" allowBlank="1" showInputMessage="1" showErrorMessage="1" xr:uid="{00000000-0002-0000-0000-000007000000}">
          <x14:formula1>
            <xm:f>CVSSv3!$C$7:$D$7</xm:f>
          </x14:formula1>
          <x14:formula2>
            <xm:f>0</xm:f>
          </x14:formula2>
          <xm:sqref>G6 G18 G30 G42 G54 G66 G78 G90 G102 G114 G126 G138 G150 G162 G174 G186 G198 G210 G222 G234 G246 G258 G270 G282 G294 G306 G318 G330 G342 G354 G366 G378 G390 G402 G414 G426 G438 G450 G462 G474 G486 G498 G510 G522 G534 G546 G558 G570 G582 G594 G606 G618 G630 G642 G654 G666 G678 G690 G702 G714</xm:sqref>
        </x14:dataValidation>
        <x14:dataValidation type="list" allowBlank="1" showInputMessage="1" showErrorMessage="1" xr:uid="{00000000-0002-0000-0000-000008000000}">
          <x14:formula1>
            <xm:f>CVSSv3!$C$6:$E$6</xm:f>
          </x14:formula1>
          <x14:formula2>
            <xm:f>0</xm:f>
          </x14:formula2>
          <xm:sqref>G5 G17 G29 G41 G53 G65 G77 G89 G101 G113 G125 G137 G149 G161 G173 G185 G197 G209 G221 G233 G245 G257 G269 G281 G293 G305 G317 G329 G341 G353 G365 G377 G389 G401 G413 G425 G437 G449 G461 G473 G485 G497 G509 G521 G533 G545 G557 G569 G581 G593 G605 G617 G629 G641 G653 G665 G677 G689 G701 G713</xm:sqref>
        </x14:dataValidation>
        <x14:dataValidation type="list" allowBlank="1" showInputMessage="1" showErrorMessage="1" xr:uid="{00000000-0002-0000-0000-000009000000}">
          <x14:formula1>
            <xm:f>CVSSv3!$C$5:$D$5</xm:f>
          </x14:formula1>
          <x14:formula2>
            <xm:f>0</xm:f>
          </x14:formula2>
          <xm:sqref>G4 G16 G28 G40 G52 G64 G76 G88 G100 G112 G124 G136 G148 G160 G172 G184 G196 G208 G220 G232 G244 G256 G268 G280 G292 G304 G316 G328 G340 G352 G364 G376 G388 G400 G412 G424 G436 G448 G460 G472 G484 G496 G508 G520 G532 G544 G556 G568 G580 G592 G604 G616 G628 G640 G652 G664 G676 G688 G700 G712</xm:sqref>
        </x14:dataValidation>
        <x14:dataValidation type="list" allowBlank="1" showInputMessage="1" showErrorMessage="1" xr:uid="{00000000-0002-0000-0000-00000A000000}">
          <x14:formula1>
            <xm:f>CVSSv3!$C$4:$F$4</xm:f>
          </x14:formula1>
          <x14:formula2>
            <xm:f>0</xm:f>
          </x14:formula2>
          <xm:sqref>G3 G15 G27 G39 G51 G63 G75 G87 G99 G111 G123 G135 G147 G159 G171 G183 G195 G207 G219 G231 G243 G255 G267 G279 G291 G303 G315 G327 G339 G351 G363 G375 G387 G399 G411 G423 G435 G447 G459 G471 G483 G495 G507 G519 G531 G543 G555 G567 G579 G591 G603 G615 G627 G639 G651 G663 G675 G687 G699 G711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62"/>
  <sheetViews>
    <sheetView tabSelected="1" zoomScaleNormal="100" workbookViewId="0">
      <selection activeCell="E22" sqref="E22"/>
    </sheetView>
  </sheetViews>
  <sheetFormatPr baseColWidth="10" defaultColWidth="9.140625" defaultRowHeight="12.75" x14ac:dyDescent="0.2"/>
  <cols>
    <col min="1" max="1" width="48" style="1" customWidth="1"/>
    <col min="2" max="2" width="28.140625" style="1" customWidth="1"/>
    <col min="3" max="3" width="29.42578125" style="1" customWidth="1"/>
    <col min="4" max="4" width="33.140625" style="1" customWidth="1"/>
    <col min="5" max="5" width="33.85546875" style="1" customWidth="1"/>
    <col min="6" max="6" width="26.7109375" style="1" customWidth="1"/>
    <col min="7" max="7" width="30.5703125" style="1" customWidth="1"/>
    <col min="8" max="8" width="18" style="1" customWidth="1"/>
    <col min="9" max="9" width="20" style="1" customWidth="1"/>
    <col min="10" max="10" width="19.85546875" style="1" customWidth="1"/>
    <col min="11" max="11" width="15.42578125" style="1" customWidth="1"/>
    <col min="12" max="12" width="34" style="1" customWidth="1"/>
    <col min="13" max="13" width="21.5703125" style="1" customWidth="1"/>
    <col min="14" max="14" width="38.28515625" style="1" customWidth="1"/>
    <col min="15" max="15" width="58.28515625" style="1" customWidth="1"/>
    <col min="16" max="16" width="28.140625" style="1" customWidth="1"/>
    <col min="17" max="17" width="29.85546875" style="1" customWidth="1"/>
    <col min="18" max="18" width="32" style="1" customWidth="1"/>
    <col min="19" max="19" width="36" style="1" customWidth="1"/>
    <col min="20" max="20" width="14.7109375" style="1" customWidth="1"/>
    <col min="21" max="21" width="18.85546875" style="1" customWidth="1"/>
    <col min="22" max="22" width="31.7109375" style="1" customWidth="1"/>
    <col min="23" max="23" width="24.85546875" style="1" customWidth="1"/>
    <col min="24" max="24" width="16.5703125" style="1" customWidth="1"/>
    <col min="25" max="25" width="17.5703125" style="1" customWidth="1"/>
    <col min="26" max="26" width="18.140625" style="1" customWidth="1"/>
    <col min="27" max="27" width="16.28515625" style="1" customWidth="1"/>
    <col min="28" max="28" width="18" style="1" customWidth="1"/>
    <col min="29" max="29" width="19.42578125" style="1" customWidth="1"/>
    <col min="30" max="30" width="32.28515625" style="1" customWidth="1"/>
    <col min="31" max="31" width="20.42578125" style="1" customWidth="1"/>
    <col min="32" max="32" width="23.140625" style="1" customWidth="1"/>
    <col min="33" max="33" width="16.28515625" style="1" customWidth="1"/>
    <col min="34" max="34" width="13.7109375" style="1" customWidth="1"/>
    <col min="35" max="35" width="16.140625" style="1" customWidth="1"/>
    <col min="36" max="36" width="15.28515625" style="1" customWidth="1"/>
    <col min="37" max="37" width="18.7109375" style="1" customWidth="1"/>
    <col min="38" max="38" width="19" style="1" customWidth="1"/>
    <col min="39" max="39" width="25.42578125" style="1" customWidth="1"/>
    <col min="40" max="40" width="22.5703125" style="1" customWidth="1"/>
    <col min="41" max="41" width="19" style="1" customWidth="1"/>
    <col min="42" max="43" width="20" style="1" customWidth="1"/>
    <col min="44" max="1025" width="9.140625" customWidth="1"/>
  </cols>
  <sheetData>
    <row r="1" spans="1:43" ht="14.25" x14ac:dyDescent="0.2">
      <c r="A1" s="9"/>
      <c r="B1" s="10"/>
      <c r="C1" s="9"/>
      <c r="D1" s="9"/>
      <c r="E1" s="9"/>
      <c r="F1" s="11" t="s">
        <v>91</v>
      </c>
      <c r="G1" s="10" t="s">
        <v>92</v>
      </c>
      <c r="H1" s="9" t="s">
        <v>93</v>
      </c>
      <c r="I1" s="11" t="s">
        <v>91</v>
      </c>
      <c r="J1" s="12" t="s">
        <v>94</v>
      </c>
      <c r="K1" s="9"/>
      <c r="L1" s="9"/>
      <c r="M1" s="9"/>
      <c r="N1" s="11" t="s">
        <v>91</v>
      </c>
      <c r="O1" s="11" t="s">
        <v>91</v>
      </c>
      <c r="P1" s="11" t="s">
        <v>91</v>
      </c>
      <c r="Q1" s="9"/>
      <c r="R1" s="9"/>
      <c r="S1" s="9"/>
      <c r="T1" s="12" t="s">
        <v>95</v>
      </c>
      <c r="U1" s="12" t="s">
        <v>95</v>
      </c>
      <c r="V1" s="13" t="s">
        <v>91</v>
      </c>
      <c r="W1" s="13" t="s">
        <v>91</v>
      </c>
      <c r="X1" s="11" t="s">
        <v>91</v>
      </c>
      <c r="Y1" s="11" t="s">
        <v>91</v>
      </c>
      <c r="Z1" s="9"/>
      <c r="AA1" s="9"/>
      <c r="AB1" s="11" t="s">
        <v>91</v>
      </c>
      <c r="AC1" s="11" t="s">
        <v>91</v>
      </c>
      <c r="AD1" s="9"/>
      <c r="AE1" s="9"/>
      <c r="AF1" s="10" t="s">
        <v>96</v>
      </c>
      <c r="AG1" s="10" t="s">
        <v>96</v>
      </c>
      <c r="AH1" s="9"/>
      <c r="AI1" s="10" t="s">
        <v>96</v>
      </c>
      <c r="AJ1" s="14"/>
      <c r="AK1" s="9"/>
      <c r="AL1" s="10" t="s">
        <v>96</v>
      </c>
      <c r="AM1" s="10" t="s">
        <v>96</v>
      </c>
      <c r="AN1" s="14"/>
      <c r="AO1" s="11" t="s">
        <v>91</v>
      </c>
      <c r="AP1" s="11" t="s">
        <v>91</v>
      </c>
      <c r="AQ1" s="11" t="s">
        <v>91</v>
      </c>
    </row>
    <row r="2" spans="1:43" ht="57" x14ac:dyDescent="0.2">
      <c r="A2" s="15" t="s">
        <v>97</v>
      </c>
      <c r="B2" s="15" t="s">
        <v>98</v>
      </c>
      <c r="C2" s="15" t="s">
        <v>99</v>
      </c>
      <c r="D2" s="15" t="s">
        <v>100</v>
      </c>
      <c r="E2" s="14" t="s">
        <v>101</v>
      </c>
      <c r="F2" s="16" t="s">
        <v>102</v>
      </c>
      <c r="G2" s="15" t="s">
        <v>103</v>
      </c>
      <c r="H2" s="14" t="s">
        <v>104</v>
      </c>
      <c r="I2" s="16" t="s">
        <v>105</v>
      </c>
      <c r="J2" s="14" t="s">
        <v>106</v>
      </c>
      <c r="K2" s="14" t="s">
        <v>107</v>
      </c>
      <c r="L2" s="15" t="s">
        <v>108</v>
      </c>
      <c r="M2" s="14" t="s">
        <v>109</v>
      </c>
      <c r="N2" s="16" t="s">
        <v>110</v>
      </c>
      <c r="O2" s="16" t="s">
        <v>111</v>
      </c>
      <c r="P2" s="16" t="s">
        <v>4</v>
      </c>
      <c r="Q2" s="14" t="s">
        <v>112</v>
      </c>
      <c r="R2" s="14" t="s">
        <v>113</v>
      </c>
      <c r="S2" s="14" t="s">
        <v>114</v>
      </c>
      <c r="T2" s="14" t="s">
        <v>115</v>
      </c>
      <c r="U2" s="14" t="s">
        <v>116</v>
      </c>
      <c r="V2" s="17" t="s">
        <v>117</v>
      </c>
      <c r="W2" s="17" t="s">
        <v>118</v>
      </c>
      <c r="X2" s="18" t="s">
        <v>119</v>
      </c>
      <c r="Y2" s="16" t="s">
        <v>120</v>
      </c>
      <c r="Z2" s="14" t="s">
        <v>121</v>
      </c>
      <c r="AA2" s="14" t="s">
        <v>122</v>
      </c>
      <c r="AB2" s="16" t="s">
        <v>123</v>
      </c>
      <c r="AC2" s="16" t="s">
        <v>124</v>
      </c>
      <c r="AD2" s="14" t="s">
        <v>125</v>
      </c>
      <c r="AE2" s="15" t="s">
        <v>126</v>
      </c>
      <c r="AF2" s="14" t="s">
        <v>127</v>
      </c>
      <c r="AG2" s="14" t="s">
        <v>128</v>
      </c>
      <c r="AH2" s="14" t="s">
        <v>129</v>
      </c>
      <c r="AI2" s="14" t="s">
        <v>130</v>
      </c>
      <c r="AJ2" s="14" t="s">
        <v>131</v>
      </c>
      <c r="AK2" s="14" t="s">
        <v>132</v>
      </c>
      <c r="AL2" s="14" t="s">
        <v>133</v>
      </c>
      <c r="AM2" s="14" t="s">
        <v>134</v>
      </c>
      <c r="AN2" s="14" t="s">
        <v>135</v>
      </c>
      <c r="AO2" s="16" t="s">
        <v>10</v>
      </c>
      <c r="AP2" s="16" t="s">
        <v>136</v>
      </c>
      <c r="AQ2" s="16" t="s">
        <v>137</v>
      </c>
    </row>
    <row r="3" spans="1:43" ht="14.25" x14ac:dyDescent="0.2">
      <c r="A3" s="19" t="s">
        <v>138</v>
      </c>
      <c r="B3" s="20"/>
      <c r="C3" s="20"/>
      <c r="D3" s="21"/>
      <c r="E3" s="20"/>
      <c r="F3" s="20"/>
      <c r="G3" s="20"/>
      <c r="H3" s="22" t="s">
        <v>14</v>
      </c>
      <c r="I3" s="23" t="s">
        <v>14</v>
      </c>
      <c r="J3" s="20" t="s">
        <v>139</v>
      </c>
      <c r="K3" s="20" t="s">
        <v>140</v>
      </c>
      <c r="L3" s="20" t="s">
        <v>138</v>
      </c>
      <c r="M3" s="22"/>
      <c r="N3" s="22" t="str">
        <f>Findings!B3</f>
        <v>Vulnerability 1</v>
      </c>
      <c r="O3" s="24" t="str">
        <f>Findings!C3</f>
        <v>-</v>
      </c>
      <c r="P3" s="22" t="str">
        <f>Findings!D3</f>
        <v>-</v>
      </c>
      <c r="Q3" s="22"/>
      <c r="R3" s="22"/>
      <c r="S3" s="22"/>
      <c r="T3" s="22" t="s">
        <v>141</v>
      </c>
      <c r="U3" s="22" t="s">
        <v>142</v>
      </c>
      <c r="V3" s="22" t="str">
        <f>Findings!F14</f>
        <v>(AV:/AC:L/PR:N/UI:N/S:/C:H/I:H/A:H/E:H/RL:/RC:C)</v>
      </c>
      <c r="W3" s="22" t="e">
        <f>Findings!H3</f>
        <v>#VALUE!</v>
      </c>
      <c r="X3" s="22" t="e">
        <f t="shared" ref="X3:X34" si="0">IF(W3&lt;4,"Low",IF(AND(W3&gt;=4,W3&lt;7),"Media",IF(AND(W3&gt;=7,W3&lt;9),"High","Critical")))</f>
        <v>#VALUE!</v>
      </c>
      <c r="Y3" s="22">
        <f>Findings!I3</f>
        <v>0</v>
      </c>
      <c r="Z3" s="22"/>
      <c r="AA3" s="22"/>
      <c r="AB3" s="25">
        <f t="shared" ref="AB3:AB34" si="1">IF(Z3="100% Vulnerado Anteriormente",100/100 *AA3,IF(Z3="75% Fácil de vulnerar",75/100*AA3,IF(Z3="50% Posible de vulnerar",50/100*AA3,IF(Z3="25% Difícil de vulnerar",25/100*AA3,0))))</f>
        <v>0</v>
      </c>
      <c r="AC3" s="26" t="str">
        <f t="shared" ref="AC3:AC34" si="2">IF(AB3&lt;2,"x &lt; 2 - Tolerable",IF(AND(AB3&gt;=2,AB3&lt;3),"2 &lt;= x &lt; 3 - Moderado","x&gt;= 3 - Critico"))</f>
        <v>x &lt; 2 - Tolerable</v>
      </c>
      <c r="AD3" s="22"/>
      <c r="AE3" s="22"/>
      <c r="AF3" s="22"/>
      <c r="AG3" s="22"/>
      <c r="AH3" s="20" t="s">
        <v>143</v>
      </c>
      <c r="AI3" s="20"/>
      <c r="AJ3" s="22"/>
      <c r="AK3" s="22" t="s">
        <v>144</v>
      </c>
      <c r="AL3" s="22"/>
      <c r="AM3" s="22"/>
      <c r="AN3" s="22"/>
      <c r="AO3" s="22" t="str">
        <f>Findings!K3</f>
        <v>-</v>
      </c>
      <c r="AP3" s="22" t="str">
        <f>Findings!L3</f>
        <v>-</v>
      </c>
      <c r="AQ3" s="22" t="s">
        <v>14</v>
      </c>
    </row>
    <row r="4" spans="1:43" ht="14.25" x14ac:dyDescent="0.2">
      <c r="A4" s="19" t="str">
        <f t="shared" ref="A4:A35" si="3">A3</f>
        <v>Route in QC</v>
      </c>
      <c r="B4" s="20"/>
      <c r="C4" s="20"/>
      <c r="D4" s="21"/>
      <c r="E4" s="20"/>
      <c r="F4" s="20"/>
      <c r="G4" s="20"/>
      <c r="H4" s="22" t="s">
        <v>14</v>
      </c>
      <c r="I4" s="23" t="s">
        <v>14</v>
      </c>
      <c r="J4" s="20" t="str">
        <f t="shared" ref="J4:J12" si="4">J3</f>
        <v>Fluid</v>
      </c>
      <c r="K4" s="20" t="s">
        <v>140</v>
      </c>
      <c r="L4" s="20" t="s">
        <v>138</v>
      </c>
      <c r="M4" s="22"/>
      <c r="N4" s="22" t="str">
        <f>Findings!B15</f>
        <v>Vulnerability 2</v>
      </c>
      <c r="O4" s="22" t="str">
        <f>Findings!C15</f>
        <v>-</v>
      </c>
      <c r="P4" s="22" t="str">
        <f>Findings!D15</f>
        <v>-</v>
      </c>
      <c r="Q4" s="22"/>
      <c r="R4" s="22"/>
      <c r="S4" s="22"/>
      <c r="T4" s="22" t="s">
        <v>141</v>
      </c>
      <c r="U4" s="22" t="s">
        <v>142</v>
      </c>
      <c r="V4" s="22" t="str">
        <f>Findings!F26</f>
        <v>(AV:/AC:H/PR:N/UI:N/S:C/C:H/I:H/A:H/E:H/RL:/RC:)</v>
      </c>
      <c r="W4" s="22" t="e">
        <f>Findings!H15</f>
        <v>#VALUE!</v>
      </c>
      <c r="X4" s="22" t="e">
        <f t="shared" si="0"/>
        <v>#VALUE!</v>
      </c>
      <c r="Y4" s="22">
        <f>Findings!I15</f>
        <v>0</v>
      </c>
      <c r="Z4" s="22"/>
      <c r="AA4" s="22"/>
      <c r="AB4" s="25">
        <f t="shared" si="1"/>
        <v>0</v>
      </c>
      <c r="AC4" s="26" t="str">
        <f t="shared" si="2"/>
        <v>x &lt; 2 - Tolerable</v>
      </c>
      <c r="AD4" s="22"/>
      <c r="AE4" s="22"/>
      <c r="AF4" s="22"/>
      <c r="AG4" s="22"/>
      <c r="AH4" s="20" t="s">
        <v>143</v>
      </c>
      <c r="AI4" s="20"/>
      <c r="AJ4" s="22"/>
      <c r="AK4" s="22" t="str">
        <f t="shared" ref="AK4:AK35" si="5">AK3</f>
        <v>&lt;Report Delivery Date&gt;</v>
      </c>
      <c r="AL4" s="22"/>
      <c r="AM4" s="22"/>
      <c r="AN4" s="22"/>
      <c r="AO4" s="22" t="str">
        <f>Findings!K15</f>
        <v>-</v>
      </c>
      <c r="AP4" s="22" t="str">
        <f>Findings!L15</f>
        <v>-</v>
      </c>
      <c r="AQ4" s="22" t="s">
        <v>14</v>
      </c>
    </row>
    <row r="5" spans="1:43" ht="14.25" x14ac:dyDescent="0.2">
      <c r="A5" s="19" t="str">
        <f t="shared" si="3"/>
        <v>Route in QC</v>
      </c>
      <c r="B5" s="20"/>
      <c r="C5" s="20"/>
      <c r="D5" s="21"/>
      <c r="E5" s="20"/>
      <c r="F5" s="20"/>
      <c r="G5" s="20"/>
      <c r="H5" s="22" t="s">
        <v>14</v>
      </c>
      <c r="I5" s="23" t="s">
        <v>14</v>
      </c>
      <c r="J5" s="20" t="str">
        <f t="shared" si="4"/>
        <v>Fluid</v>
      </c>
      <c r="K5" s="20" t="s">
        <v>140</v>
      </c>
      <c r="L5" s="20" t="s">
        <v>138</v>
      </c>
      <c r="M5" s="22"/>
      <c r="N5" s="22" t="str">
        <f>Findings!B27</f>
        <v>Vulnerability 3</v>
      </c>
      <c r="O5" s="22" t="str">
        <f>Findings!C27</f>
        <v>-</v>
      </c>
      <c r="P5" s="22" t="str">
        <f>Findings!D27</f>
        <v>-</v>
      </c>
      <c r="Q5" s="22"/>
      <c r="R5" s="22"/>
      <c r="S5" s="22"/>
      <c r="T5" s="22" t="s">
        <v>141</v>
      </c>
      <c r="U5" s="22" t="s">
        <v>142</v>
      </c>
      <c r="V5" s="22" t="str">
        <f>Findings!F38</f>
        <v>(AV:/AC:H/PR:N/UI:N/S:C/C:H/I:H/A:H/E:H/RL:/RC:)</v>
      </c>
      <c r="W5" s="22" t="e">
        <f>Findings!H27</f>
        <v>#VALUE!</v>
      </c>
      <c r="X5" s="22" t="e">
        <f t="shared" si="0"/>
        <v>#VALUE!</v>
      </c>
      <c r="Y5" s="22">
        <f>Findings!I27</f>
        <v>0</v>
      </c>
      <c r="Z5" s="22"/>
      <c r="AA5" s="22"/>
      <c r="AB5" s="25">
        <f t="shared" si="1"/>
        <v>0</v>
      </c>
      <c r="AC5" s="26" t="str">
        <f t="shared" si="2"/>
        <v>x &lt; 2 - Tolerable</v>
      </c>
      <c r="AD5" s="22"/>
      <c r="AE5" s="22"/>
      <c r="AF5" s="22"/>
      <c r="AG5" s="22"/>
      <c r="AH5" s="20" t="s">
        <v>143</v>
      </c>
      <c r="AI5" s="20"/>
      <c r="AJ5" s="22">
        <f t="shared" ref="AJ5:AJ36" si="6">AJ4</f>
        <v>0</v>
      </c>
      <c r="AK5" s="22" t="str">
        <f t="shared" si="5"/>
        <v>&lt;Report Delivery Date&gt;</v>
      </c>
      <c r="AL5" s="22"/>
      <c r="AM5" s="22"/>
      <c r="AN5" s="22"/>
      <c r="AO5" s="22" t="str">
        <f>Findings!K27</f>
        <v>-</v>
      </c>
      <c r="AP5" s="22" t="str">
        <f>Findings!L27</f>
        <v>-</v>
      </c>
      <c r="AQ5" s="22" t="s">
        <v>14</v>
      </c>
    </row>
    <row r="6" spans="1:43" ht="14.25" x14ac:dyDescent="0.2">
      <c r="A6" s="19" t="str">
        <f t="shared" si="3"/>
        <v>Route in QC</v>
      </c>
      <c r="B6" s="20"/>
      <c r="C6" s="20"/>
      <c r="D6" s="21"/>
      <c r="E6" s="20"/>
      <c r="F6" s="20"/>
      <c r="G6" s="20"/>
      <c r="H6" s="22" t="s">
        <v>14</v>
      </c>
      <c r="I6" s="23" t="s">
        <v>14</v>
      </c>
      <c r="J6" s="20" t="str">
        <f t="shared" si="4"/>
        <v>Fluid</v>
      </c>
      <c r="K6" s="20" t="s">
        <v>140</v>
      </c>
      <c r="L6" s="20" t="s">
        <v>138</v>
      </c>
      <c r="M6" s="22"/>
      <c r="N6" s="22" t="str">
        <f>Findings!B39</f>
        <v>Vulnerability 4</v>
      </c>
      <c r="O6" s="22" t="str">
        <f>Findings!C39</f>
        <v>-</v>
      </c>
      <c r="P6" s="22" t="str">
        <f>Findings!D39</f>
        <v>-</v>
      </c>
      <c r="Q6" s="22"/>
      <c r="R6" s="22"/>
      <c r="S6" s="22"/>
      <c r="T6" s="22" t="s">
        <v>141</v>
      </c>
      <c r="U6" s="22" t="s">
        <v>142</v>
      </c>
      <c r="V6" s="22" t="str">
        <f>Findings!F50</f>
        <v>(AV:/AC:H/PR:N/UI:N/S:C/C:H/I:H/A:H/E:H/RL:/RC:)</v>
      </c>
      <c r="W6" s="22" t="e">
        <f>Findings!H39</f>
        <v>#VALUE!</v>
      </c>
      <c r="X6" s="22" t="e">
        <f t="shared" si="0"/>
        <v>#VALUE!</v>
      </c>
      <c r="Y6" s="22">
        <f>Findings!I39</f>
        <v>0</v>
      </c>
      <c r="Z6" s="22"/>
      <c r="AA6" s="22"/>
      <c r="AB6" s="25">
        <f t="shared" si="1"/>
        <v>0</v>
      </c>
      <c r="AC6" s="26" t="str">
        <f t="shared" si="2"/>
        <v>x &lt; 2 - Tolerable</v>
      </c>
      <c r="AD6" s="22"/>
      <c r="AE6" s="22"/>
      <c r="AF6" s="22"/>
      <c r="AG6" s="22"/>
      <c r="AH6" s="20" t="s">
        <v>143</v>
      </c>
      <c r="AI6" s="20"/>
      <c r="AJ6" s="22">
        <f t="shared" si="6"/>
        <v>0</v>
      </c>
      <c r="AK6" s="22" t="str">
        <f t="shared" si="5"/>
        <v>&lt;Report Delivery Date&gt;</v>
      </c>
      <c r="AL6" s="22"/>
      <c r="AM6" s="22"/>
      <c r="AN6" s="22"/>
      <c r="AO6" s="22" t="str">
        <f>Findings!K39</f>
        <v>-</v>
      </c>
      <c r="AP6" s="22" t="str">
        <f>Findings!L39</f>
        <v>-</v>
      </c>
      <c r="AQ6" s="22" t="s">
        <v>14</v>
      </c>
    </row>
    <row r="7" spans="1:43" ht="14.25" x14ac:dyDescent="0.2">
      <c r="A7" s="19" t="str">
        <f t="shared" si="3"/>
        <v>Route in QC</v>
      </c>
      <c r="B7" s="20"/>
      <c r="C7" s="20"/>
      <c r="D7" s="21"/>
      <c r="E7" s="20"/>
      <c r="F7" s="20"/>
      <c r="G7" s="20"/>
      <c r="H7" s="22" t="s">
        <v>14</v>
      </c>
      <c r="I7" s="23" t="s">
        <v>14</v>
      </c>
      <c r="J7" s="20" t="str">
        <f t="shared" si="4"/>
        <v>Fluid</v>
      </c>
      <c r="K7" s="20" t="s">
        <v>140</v>
      </c>
      <c r="L7" s="20" t="s">
        <v>138</v>
      </c>
      <c r="M7" s="22"/>
      <c r="N7" s="22" t="str">
        <f>Findings!B51</f>
        <v>Vulnerability 5</v>
      </c>
      <c r="O7" s="22" t="str">
        <f>Findings!C51</f>
        <v>-</v>
      </c>
      <c r="P7" s="22" t="str">
        <f>Findings!D51</f>
        <v>-</v>
      </c>
      <c r="Q7" s="22"/>
      <c r="R7" s="22"/>
      <c r="S7" s="22"/>
      <c r="T7" s="22" t="s">
        <v>141</v>
      </c>
      <c r="U7" s="22" t="s">
        <v>142</v>
      </c>
      <c r="V7" s="22" t="str">
        <f>Findings!F62</f>
        <v>(AV:/AC:H/PR:N/UI:N/S:C/C:H/I:H/A:H/E:H/RL:/RC:)</v>
      </c>
      <c r="W7" s="22" t="e">
        <f>Findings!H51</f>
        <v>#VALUE!</v>
      </c>
      <c r="X7" s="22" t="e">
        <f t="shared" si="0"/>
        <v>#VALUE!</v>
      </c>
      <c r="Y7" s="22">
        <f>Findings!I51</f>
        <v>0</v>
      </c>
      <c r="Z7" s="22"/>
      <c r="AA7" s="22"/>
      <c r="AB7" s="25">
        <f t="shared" si="1"/>
        <v>0</v>
      </c>
      <c r="AC7" s="26" t="str">
        <f t="shared" si="2"/>
        <v>x &lt; 2 - Tolerable</v>
      </c>
      <c r="AD7" s="22"/>
      <c r="AE7" s="22"/>
      <c r="AF7" s="22"/>
      <c r="AG7" s="22"/>
      <c r="AH7" s="20" t="s">
        <v>143</v>
      </c>
      <c r="AI7" s="20"/>
      <c r="AJ7" s="22">
        <f t="shared" si="6"/>
        <v>0</v>
      </c>
      <c r="AK7" s="22" t="str">
        <f t="shared" si="5"/>
        <v>&lt;Report Delivery Date&gt;</v>
      </c>
      <c r="AL7" s="22"/>
      <c r="AM7" s="22"/>
      <c r="AN7" s="22"/>
      <c r="AO7" s="22" t="str">
        <f>Findings!K51</f>
        <v>-</v>
      </c>
      <c r="AP7" s="22" t="str">
        <f>Findings!L51</f>
        <v>-</v>
      </c>
      <c r="AQ7" s="22" t="s">
        <v>14</v>
      </c>
    </row>
    <row r="8" spans="1:43" ht="14.25" x14ac:dyDescent="0.2">
      <c r="A8" s="19" t="str">
        <f t="shared" si="3"/>
        <v>Route in QC</v>
      </c>
      <c r="B8" s="20"/>
      <c r="C8" s="20"/>
      <c r="D8" s="21"/>
      <c r="E8" s="20"/>
      <c r="F8" s="20"/>
      <c r="G8" s="20"/>
      <c r="H8" s="22" t="s">
        <v>14</v>
      </c>
      <c r="I8" s="23" t="s">
        <v>14</v>
      </c>
      <c r="J8" s="20" t="str">
        <f t="shared" si="4"/>
        <v>Fluid</v>
      </c>
      <c r="K8" s="20" t="s">
        <v>140</v>
      </c>
      <c r="L8" s="20" t="s">
        <v>138</v>
      </c>
      <c r="M8" s="22"/>
      <c r="N8" s="22" t="str">
        <f>Findings!B63</f>
        <v>Vulnerability 6</v>
      </c>
      <c r="O8" s="22" t="str">
        <f>Findings!C63</f>
        <v>-</v>
      </c>
      <c r="P8" s="22" t="str">
        <f>Findings!D63</f>
        <v>-</v>
      </c>
      <c r="Q8" s="22"/>
      <c r="R8" s="22"/>
      <c r="S8" s="22"/>
      <c r="T8" s="22" t="s">
        <v>141</v>
      </c>
      <c r="U8" s="22" t="s">
        <v>142</v>
      </c>
      <c r="V8" s="22" t="str">
        <f>Findings!F74</f>
        <v>(AV:/AC:H/PR:N/UI:N/S:C/C:H/I:H/A:H/E:H/RL:/RC:)</v>
      </c>
      <c r="W8" s="22" t="e">
        <f>Findings!H63</f>
        <v>#VALUE!</v>
      </c>
      <c r="X8" s="22" t="e">
        <f t="shared" si="0"/>
        <v>#VALUE!</v>
      </c>
      <c r="Y8" s="22">
        <f>Findings!I63</f>
        <v>0</v>
      </c>
      <c r="Z8" s="22"/>
      <c r="AA8" s="22"/>
      <c r="AB8" s="25">
        <f t="shared" si="1"/>
        <v>0</v>
      </c>
      <c r="AC8" s="26" t="str">
        <f t="shared" si="2"/>
        <v>x &lt; 2 - Tolerable</v>
      </c>
      <c r="AD8" s="22"/>
      <c r="AE8" s="22"/>
      <c r="AF8" s="22"/>
      <c r="AG8" s="22"/>
      <c r="AH8" s="20" t="s">
        <v>143</v>
      </c>
      <c r="AI8" s="20"/>
      <c r="AJ8" s="22">
        <f t="shared" si="6"/>
        <v>0</v>
      </c>
      <c r="AK8" s="22" t="str">
        <f t="shared" si="5"/>
        <v>&lt;Report Delivery Date&gt;</v>
      </c>
      <c r="AL8" s="22"/>
      <c r="AM8" s="22"/>
      <c r="AN8" s="22"/>
      <c r="AO8" s="22" t="str">
        <f>Findings!K63</f>
        <v>-</v>
      </c>
      <c r="AP8" s="22" t="str">
        <f>Findings!L63</f>
        <v>-</v>
      </c>
      <c r="AQ8" s="22" t="s">
        <v>14</v>
      </c>
    </row>
    <row r="9" spans="1:43" ht="14.25" x14ac:dyDescent="0.2">
      <c r="A9" s="19" t="str">
        <f t="shared" si="3"/>
        <v>Route in QC</v>
      </c>
      <c r="B9" s="20"/>
      <c r="C9" s="20"/>
      <c r="D9" s="21"/>
      <c r="E9" s="20"/>
      <c r="F9" s="20"/>
      <c r="G9" s="20"/>
      <c r="H9" s="22" t="s">
        <v>14</v>
      </c>
      <c r="I9" s="23" t="s">
        <v>14</v>
      </c>
      <c r="J9" s="20" t="str">
        <f t="shared" si="4"/>
        <v>Fluid</v>
      </c>
      <c r="K9" s="20" t="s">
        <v>140</v>
      </c>
      <c r="L9" s="20" t="s">
        <v>138</v>
      </c>
      <c r="M9" s="22"/>
      <c r="N9" s="22" t="str">
        <f>Findings!B75</f>
        <v>Vulnerability 7</v>
      </c>
      <c r="O9" s="22" t="str">
        <f>Findings!C75</f>
        <v>-</v>
      </c>
      <c r="P9" s="22" t="str">
        <f>Findings!D75</f>
        <v>-</v>
      </c>
      <c r="Q9" s="22"/>
      <c r="R9" s="22"/>
      <c r="S9" s="22"/>
      <c r="T9" s="22" t="s">
        <v>141</v>
      </c>
      <c r="U9" s="22" t="s">
        <v>142</v>
      </c>
      <c r="V9" s="22" t="str">
        <f>Findings!F86</f>
        <v>(AV:/AC:H/PR:N/UI:N/S:C/C:H/I:H/A:H/E:H/RL:/RC:)</v>
      </c>
      <c r="W9" s="22" t="e">
        <f>Findings!H75</f>
        <v>#VALUE!</v>
      </c>
      <c r="X9" s="22" t="e">
        <f t="shared" si="0"/>
        <v>#VALUE!</v>
      </c>
      <c r="Y9" s="22">
        <f>Findings!I75</f>
        <v>0</v>
      </c>
      <c r="Z9" s="22"/>
      <c r="AA9" s="22"/>
      <c r="AB9" s="25">
        <f t="shared" si="1"/>
        <v>0</v>
      </c>
      <c r="AC9" s="26" t="str">
        <f t="shared" si="2"/>
        <v>x &lt; 2 - Tolerable</v>
      </c>
      <c r="AD9" s="22"/>
      <c r="AE9" s="22"/>
      <c r="AF9" s="22"/>
      <c r="AG9" s="22"/>
      <c r="AH9" s="20" t="s">
        <v>143</v>
      </c>
      <c r="AI9" s="20"/>
      <c r="AJ9" s="22">
        <f t="shared" si="6"/>
        <v>0</v>
      </c>
      <c r="AK9" s="22" t="str">
        <f t="shared" si="5"/>
        <v>&lt;Report Delivery Date&gt;</v>
      </c>
      <c r="AL9" s="22"/>
      <c r="AM9" s="22"/>
      <c r="AN9" s="22"/>
      <c r="AO9" s="22" t="str">
        <f>Findings!K75</f>
        <v>-</v>
      </c>
      <c r="AP9" s="22" t="str">
        <f>Findings!L75</f>
        <v>-</v>
      </c>
      <c r="AQ9" s="22" t="s">
        <v>14</v>
      </c>
    </row>
    <row r="10" spans="1:43" ht="14.25" x14ac:dyDescent="0.2">
      <c r="A10" s="19" t="str">
        <f t="shared" si="3"/>
        <v>Route in QC</v>
      </c>
      <c r="B10" s="20"/>
      <c r="C10" s="20"/>
      <c r="D10" s="21"/>
      <c r="E10" s="20"/>
      <c r="F10" s="20"/>
      <c r="G10" s="20"/>
      <c r="H10" s="22" t="s">
        <v>14</v>
      </c>
      <c r="I10" s="23" t="s">
        <v>14</v>
      </c>
      <c r="J10" s="20" t="str">
        <f t="shared" si="4"/>
        <v>Fluid</v>
      </c>
      <c r="K10" s="20" t="s">
        <v>140</v>
      </c>
      <c r="L10" s="20" t="s">
        <v>138</v>
      </c>
      <c r="M10" s="22"/>
      <c r="N10" s="22" t="str">
        <f>Findings!B87</f>
        <v>Vulnerability 8</v>
      </c>
      <c r="O10" s="22" t="str">
        <f>Findings!C87</f>
        <v>-</v>
      </c>
      <c r="P10" s="22" t="str">
        <f>Findings!D87</f>
        <v>-</v>
      </c>
      <c r="Q10" s="22"/>
      <c r="R10" s="22"/>
      <c r="S10" s="22"/>
      <c r="T10" s="22" t="s">
        <v>141</v>
      </c>
      <c r="U10" s="22" t="s">
        <v>142</v>
      </c>
      <c r="V10" s="22" t="str">
        <f>Findings!F98</f>
        <v>(AV:/AC:/PR:/UI:/S:/C:/I:/A:/E:/RL:/RC:)</v>
      </c>
      <c r="W10" s="22" t="e">
        <f>Findings!H87</f>
        <v>#VALUE!</v>
      </c>
      <c r="X10" s="22" t="e">
        <f t="shared" si="0"/>
        <v>#VALUE!</v>
      </c>
      <c r="Y10" s="22">
        <f>Findings!I87</f>
        <v>0</v>
      </c>
      <c r="Z10" s="22"/>
      <c r="AA10" s="22"/>
      <c r="AB10" s="25">
        <f t="shared" si="1"/>
        <v>0</v>
      </c>
      <c r="AC10" s="26" t="str">
        <f t="shared" si="2"/>
        <v>x &lt; 2 - Tolerable</v>
      </c>
      <c r="AD10" s="22"/>
      <c r="AE10" s="22"/>
      <c r="AF10" s="22"/>
      <c r="AG10" s="22"/>
      <c r="AH10" s="20" t="s">
        <v>143</v>
      </c>
      <c r="AI10" s="20"/>
      <c r="AJ10" s="22">
        <f t="shared" si="6"/>
        <v>0</v>
      </c>
      <c r="AK10" s="22" t="str">
        <f t="shared" si="5"/>
        <v>&lt;Report Delivery Date&gt;</v>
      </c>
      <c r="AL10" s="22"/>
      <c r="AM10" s="22"/>
      <c r="AN10" s="22"/>
      <c r="AO10" s="22" t="str">
        <f>Findings!K87</f>
        <v>-</v>
      </c>
      <c r="AP10" s="22" t="str">
        <f>Findings!L87</f>
        <v>-</v>
      </c>
      <c r="AQ10" s="22" t="s">
        <v>14</v>
      </c>
    </row>
    <row r="11" spans="1:43" ht="14.25" x14ac:dyDescent="0.2">
      <c r="A11" s="19" t="str">
        <f t="shared" si="3"/>
        <v>Route in QC</v>
      </c>
      <c r="B11" s="20"/>
      <c r="C11" s="20"/>
      <c r="D11" s="21"/>
      <c r="E11" s="20"/>
      <c r="F11" s="20"/>
      <c r="G11" s="20"/>
      <c r="H11" s="22" t="s">
        <v>14</v>
      </c>
      <c r="I11" s="23" t="s">
        <v>14</v>
      </c>
      <c r="J11" s="20" t="str">
        <f t="shared" si="4"/>
        <v>Fluid</v>
      </c>
      <c r="K11" s="20" t="s">
        <v>140</v>
      </c>
      <c r="L11" s="20" t="s">
        <v>138</v>
      </c>
      <c r="M11" s="22"/>
      <c r="N11" s="22" t="str">
        <f>Findings!B99</f>
        <v>Vulnerability 9</v>
      </c>
      <c r="O11" s="22" t="str">
        <f>Findings!C99</f>
        <v>-</v>
      </c>
      <c r="P11" s="22" t="str">
        <f>Findings!D99</f>
        <v>-</v>
      </c>
      <c r="Q11" s="22"/>
      <c r="R11" s="22"/>
      <c r="S11" s="22"/>
      <c r="T11" s="22" t="s">
        <v>141</v>
      </c>
      <c r="U11" s="22" t="s">
        <v>142</v>
      </c>
      <c r="V11" s="22" t="str">
        <f>Findings!F110</f>
        <v>(AV:/AC:/PR:/UI:/S:/C:/I:/A:/E:/RL:/RC:)</v>
      </c>
      <c r="W11" s="22" t="e">
        <f>Findings!H99</f>
        <v>#VALUE!</v>
      </c>
      <c r="X11" s="22" t="e">
        <f t="shared" si="0"/>
        <v>#VALUE!</v>
      </c>
      <c r="Y11" s="22">
        <f>Findings!I99</f>
        <v>0</v>
      </c>
      <c r="Z11" s="22"/>
      <c r="AA11" s="22"/>
      <c r="AB11" s="25">
        <f t="shared" si="1"/>
        <v>0</v>
      </c>
      <c r="AC11" s="26" t="str">
        <f t="shared" si="2"/>
        <v>x &lt; 2 - Tolerable</v>
      </c>
      <c r="AD11" s="22"/>
      <c r="AE11" s="22"/>
      <c r="AF11" s="22"/>
      <c r="AG11" s="22"/>
      <c r="AH11" s="20" t="s">
        <v>143</v>
      </c>
      <c r="AI11" s="20"/>
      <c r="AJ11" s="22">
        <f t="shared" si="6"/>
        <v>0</v>
      </c>
      <c r="AK11" s="22" t="str">
        <f t="shared" si="5"/>
        <v>&lt;Report Delivery Date&gt;</v>
      </c>
      <c r="AL11" s="22"/>
      <c r="AM11" s="22"/>
      <c r="AN11" s="22"/>
      <c r="AO11" s="22" t="str">
        <f>Findings!K99</f>
        <v>-</v>
      </c>
      <c r="AP11" s="22" t="str">
        <f>Findings!L99</f>
        <v>-</v>
      </c>
      <c r="AQ11" s="22" t="s">
        <v>14</v>
      </c>
    </row>
    <row r="12" spans="1:43" ht="14.25" x14ac:dyDescent="0.2">
      <c r="A12" s="19" t="str">
        <f t="shared" si="3"/>
        <v>Route in QC</v>
      </c>
      <c r="B12" s="20"/>
      <c r="C12" s="20"/>
      <c r="D12" s="21"/>
      <c r="E12" s="20"/>
      <c r="F12" s="20"/>
      <c r="G12" s="20"/>
      <c r="H12" s="22" t="s">
        <v>14</v>
      </c>
      <c r="I12" s="23" t="s">
        <v>14</v>
      </c>
      <c r="J12" s="20" t="str">
        <f t="shared" si="4"/>
        <v>Fluid</v>
      </c>
      <c r="K12" s="20" t="s">
        <v>140</v>
      </c>
      <c r="L12" s="20" t="s">
        <v>138</v>
      </c>
      <c r="M12" s="22"/>
      <c r="N12" s="22" t="str">
        <f>Findings!B111</f>
        <v>Vulnerability 10</v>
      </c>
      <c r="O12" s="22" t="str">
        <f>Findings!C111</f>
        <v>-</v>
      </c>
      <c r="P12" s="22" t="str">
        <f>Findings!D111</f>
        <v>-</v>
      </c>
      <c r="Q12" s="22"/>
      <c r="R12" s="22"/>
      <c r="S12" s="22"/>
      <c r="T12" s="22" t="s">
        <v>141</v>
      </c>
      <c r="U12" s="22" t="s">
        <v>142</v>
      </c>
      <c r="V12" s="22" t="str">
        <f>Findings!F122</f>
        <v>(AV:/AC:/PR:/UI:/S:/C:/I:/A:/E:/RL:/RC:)</v>
      </c>
      <c r="W12" s="22" t="e">
        <f>Findings!H111</f>
        <v>#VALUE!</v>
      </c>
      <c r="X12" s="22" t="e">
        <f t="shared" si="0"/>
        <v>#VALUE!</v>
      </c>
      <c r="Y12" s="22">
        <f>Findings!I111</f>
        <v>0</v>
      </c>
      <c r="Z12" s="22"/>
      <c r="AA12" s="22"/>
      <c r="AB12" s="25">
        <f t="shared" si="1"/>
        <v>0</v>
      </c>
      <c r="AC12" s="26" t="str">
        <f t="shared" si="2"/>
        <v>x &lt; 2 - Tolerable</v>
      </c>
      <c r="AD12" s="22"/>
      <c r="AE12" s="22"/>
      <c r="AF12" s="22"/>
      <c r="AG12" s="22"/>
      <c r="AH12" s="20" t="s">
        <v>143</v>
      </c>
      <c r="AI12" s="20"/>
      <c r="AJ12" s="22">
        <f t="shared" si="6"/>
        <v>0</v>
      </c>
      <c r="AK12" s="22" t="str">
        <f t="shared" si="5"/>
        <v>&lt;Report Delivery Date&gt;</v>
      </c>
      <c r="AL12" s="22"/>
      <c r="AM12" s="22"/>
      <c r="AN12" s="22"/>
      <c r="AO12" s="22" t="str">
        <f>Findings!K111</f>
        <v>-</v>
      </c>
      <c r="AP12" s="22" t="str">
        <f>Findings!L111</f>
        <v>-</v>
      </c>
      <c r="AQ12" s="22" t="s">
        <v>14</v>
      </c>
    </row>
    <row r="13" spans="1:43" ht="14.25" x14ac:dyDescent="0.2">
      <c r="A13" s="19" t="str">
        <f t="shared" si="3"/>
        <v>Route in QC</v>
      </c>
      <c r="B13" s="20"/>
      <c r="C13" s="20"/>
      <c r="D13" s="21"/>
      <c r="E13" s="20"/>
      <c r="F13" s="20"/>
      <c r="G13" s="20"/>
      <c r="H13" s="22" t="s">
        <v>14</v>
      </c>
      <c r="I13" s="23" t="s">
        <v>14</v>
      </c>
      <c r="J13" s="20" t="s">
        <v>139</v>
      </c>
      <c r="K13" s="20" t="s">
        <v>140</v>
      </c>
      <c r="L13" s="20" t="s">
        <v>138</v>
      </c>
      <c r="M13" s="22"/>
      <c r="N13" s="22" t="str">
        <f>Findings!B123</f>
        <v>Vulnerability 11</v>
      </c>
      <c r="O13" s="24" t="str">
        <f>Findings!C123</f>
        <v>-</v>
      </c>
      <c r="P13" s="22" t="str">
        <f>Findings!D123</f>
        <v>-</v>
      </c>
      <c r="Q13" s="22"/>
      <c r="R13" s="22"/>
      <c r="S13" s="22"/>
      <c r="T13" s="22" t="s">
        <v>141</v>
      </c>
      <c r="U13" s="22" t="s">
        <v>142</v>
      </c>
      <c r="V13" s="22" t="str">
        <f>Findings!F134</f>
        <v>(AV:/AC:/PR:/UI:/S:/C:/I:/A:/E:/RL:/RC:)</v>
      </c>
      <c r="W13" s="22" t="e">
        <f>Findings!H123</f>
        <v>#VALUE!</v>
      </c>
      <c r="X13" s="22" t="e">
        <f t="shared" si="0"/>
        <v>#VALUE!</v>
      </c>
      <c r="Y13" s="22">
        <f>Findings!I123</f>
        <v>0</v>
      </c>
      <c r="Z13" s="22"/>
      <c r="AA13" s="22"/>
      <c r="AB13" s="25">
        <f t="shared" si="1"/>
        <v>0</v>
      </c>
      <c r="AC13" s="26" t="str">
        <f t="shared" si="2"/>
        <v>x &lt; 2 - Tolerable</v>
      </c>
      <c r="AD13" s="22"/>
      <c r="AE13" s="22"/>
      <c r="AF13" s="22"/>
      <c r="AG13" s="22"/>
      <c r="AH13" s="20" t="s">
        <v>143</v>
      </c>
      <c r="AI13" s="20"/>
      <c r="AJ13" s="22">
        <f t="shared" si="6"/>
        <v>0</v>
      </c>
      <c r="AK13" s="22" t="str">
        <f t="shared" si="5"/>
        <v>&lt;Report Delivery Date&gt;</v>
      </c>
      <c r="AL13" s="22"/>
      <c r="AM13" s="22"/>
      <c r="AN13" s="22"/>
      <c r="AO13" s="22" t="str">
        <f>Findings!K123</f>
        <v>-</v>
      </c>
      <c r="AP13" s="22" t="str">
        <f>Findings!L123</f>
        <v>-</v>
      </c>
      <c r="AQ13" s="22" t="s">
        <v>14</v>
      </c>
    </row>
    <row r="14" spans="1:43" ht="14.25" x14ac:dyDescent="0.2">
      <c r="A14" s="19" t="str">
        <f t="shared" si="3"/>
        <v>Route in QC</v>
      </c>
      <c r="B14" s="20"/>
      <c r="C14" s="20"/>
      <c r="D14" s="21"/>
      <c r="E14" s="20"/>
      <c r="F14" s="20"/>
      <c r="G14" s="20"/>
      <c r="H14" s="22" t="s">
        <v>14</v>
      </c>
      <c r="I14" s="23" t="s">
        <v>14</v>
      </c>
      <c r="J14" s="20" t="str">
        <f t="shared" ref="J14:J45" si="7">J13</f>
        <v>Fluid</v>
      </c>
      <c r="K14" s="20" t="s">
        <v>140</v>
      </c>
      <c r="L14" s="20" t="s">
        <v>138</v>
      </c>
      <c r="M14" s="22"/>
      <c r="N14" s="22" t="str">
        <f>Findings!B135</f>
        <v>Vulnerability 12</v>
      </c>
      <c r="O14" s="22" t="str">
        <f>Findings!C135</f>
        <v>-</v>
      </c>
      <c r="P14" s="22" t="str">
        <f>Findings!D135</f>
        <v>-</v>
      </c>
      <c r="Q14" s="22"/>
      <c r="R14" s="22"/>
      <c r="S14" s="22"/>
      <c r="T14" s="22" t="s">
        <v>141</v>
      </c>
      <c r="U14" s="22" t="s">
        <v>142</v>
      </c>
      <c r="V14" s="22" t="str">
        <f>Findings!F146</f>
        <v>(AV:/AC:/PR:/UI:/S:/C:/I:/A:/E:/RL:/RC:)</v>
      </c>
      <c r="W14" s="22" t="e">
        <f>Findings!H135</f>
        <v>#VALUE!</v>
      </c>
      <c r="X14" s="22" t="e">
        <f t="shared" si="0"/>
        <v>#VALUE!</v>
      </c>
      <c r="Y14" s="22">
        <f>Findings!I135</f>
        <v>0</v>
      </c>
      <c r="Z14" s="22"/>
      <c r="AA14" s="22"/>
      <c r="AB14" s="25">
        <f t="shared" si="1"/>
        <v>0</v>
      </c>
      <c r="AC14" s="26" t="str">
        <f t="shared" si="2"/>
        <v>x &lt; 2 - Tolerable</v>
      </c>
      <c r="AD14" s="22"/>
      <c r="AE14" s="22"/>
      <c r="AF14" s="22"/>
      <c r="AG14" s="22"/>
      <c r="AH14" s="20" t="s">
        <v>143</v>
      </c>
      <c r="AI14" s="20"/>
      <c r="AJ14" s="22">
        <f t="shared" si="6"/>
        <v>0</v>
      </c>
      <c r="AK14" s="22" t="str">
        <f t="shared" si="5"/>
        <v>&lt;Report Delivery Date&gt;</v>
      </c>
      <c r="AL14" s="22"/>
      <c r="AM14" s="22"/>
      <c r="AN14" s="22"/>
      <c r="AO14" s="22" t="str">
        <f>Findings!K135</f>
        <v>-</v>
      </c>
      <c r="AP14" s="22" t="str">
        <f>Findings!L135</f>
        <v>-</v>
      </c>
      <c r="AQ14" s="22" t="s">
        <v>14</v>
      </c>
    </row>
    <row r="15" spans="1:43" ht="14.25" x14ac:dyDescent="0.2">
      <c r="A15" s="19" t="str">
        <f t="shared" si="3"/>
        <v>Route in QC</v>
      </c>
      <c r="B15" s="20"/>
      <c r="C15" s="20"/>
      <c r="D15" s="21"/>
      <c r="E15" s="20"/>
      <c r="F15" s="20"/>
      <c r="G15" s="20"/>
      <c r="H15" s="22" t="s">
        <v>14</v>
      </c>
      <c r="I15" s="23" t="s">
        <v>14</v>
      </c>
      <c r="J15" s="20" t="str">
        <f t="shared" si="7"/>
        <v>Fluid</v>
      </c>
      <c r="K15" s="20" t="s">
        <v>140</v>
      </c>
      <c r="L15" s="20" t="s">
        <v>138</v>
      </c>
      <c r="M15" s="22"/>
      <c r="N15" s="22" t="str">
        <f>Findings!B147</f>
        <v>Vulnerability 13</v>
      </c>
      <c r="O15" s="22" t="str">
        <f>Findings!C147</f>
        <v>-</v>
      </c>
      <c r="P15" s="22" t="str">
        <f>Findings!D147</f>
        <v>-</v>
      </c>
      <c r="Q15" s="22"/>
      <c r="R15" s="22"/>
      <c r="S15" s="22"/>
      <c r="T15" s="22" t="s">
        <v>141</v>
      </c>
      <c r="U15" s="22" t="s">
        <v>142</v>
      </c>
      <c r="V15" s="22" t="str">
        <f>Findings!F158</f>
        <v>(AV:/AC:/PR:/UI:/S:/C:/I:/A:/E:/RL:/RC:)</v>
      </c>
      <c r="W15" s="22" t="e">
        <f>Findings!H147</f>
        <v>#VALUE!</v>
      </c>
      <c r="X15" s="22" t="e">
        <f t="shared" si="0"/>
        <v>#VALUE!</v>
      </c>
      <c r="Y15" s="22">
        <f>Findings!I147</f>
        <v>0</v>
      </c>
      <c r="Z15" s="22"/>
      <c r="AA15" s="22"/>
      <c r="AB15" s="25">
        <f t="shared" si="1"/>
        <v>0</v>
      </c>
      <c r="AC15" s="26" t="str">
        <f t="shared" si="2"/>
        <v>x &lt; 2 - Tolerable</v>
      </c>
      <c r="AD15" s="22"/>
      <c r="AE15" s="22"/>
      <c r="AF15" s="22"/>
      <c r="AG15" s="22"/>
      <c r="AH15" s="20" t="s">
        <v>143</v>
      </c>
      <c r="AI15" s="20"/>
      <c r="AJ15" s="22">
        <f t="shared" si="6"/>
        <v>0</v>
      </c>
      <c r="AK15" s="22" t="str">
        <f t="shared" si="5"/>
        <v>&lt;Report Delivery Date&gt;</v>
      </c>
      <c r="AL15" s="22"/>
      <c r="AM15" s="22"/>
      <c r="AN15" s="22"/>
      <c r="AO15" s="22" t="str">
        <f>Findings!K147</f>
        <v>-</v>
      </c>
      <c r="AP15" s="22" t="str">
        <f>Findings!L147</f>
        <v>-</v>
      </c>
      <c r="AQ15" s="22" t="s">
        <v>14</v>
      </c>
    </row>
    <row r="16" spans="1:43" ht="14.25" x14ac:dyDescent="0.2">
      <c r="A16" s="19" t="str">
        <f t="shared" si="3"/>
        <v>Route in QC</v>
      </c>
      <c r="B16" s="20"/>
      <c r="C16" s="20"/>
      <c r="D16" s="21"/>
      <c r="E16" s="20"/>
      <c r="F16" s="20"/>
      <c r="G16" s="20"/>
      <c r="H16" s="22" t="s">
        <v>14</v>
      </c>
      <c r="I16" s="23" t="s">
        <v>14</v>
      </c>
      <c r="J16" s="20" t="str">
        <f t="shared" si="7"/>
        <v>Fluid</v>
      </c>
      <c r="K16" s="20" t="s">
        <v>140</v>
      </c>
      <c r="L16" s="20" t="s">
        <v>138</v>
      </c>
      <c r="M16" s="22"/>
      <c r="N16" s="22" t="str">
        <f>Findings!B159</f>
        <v>Vulnerability 14</v>
      </c>
      <c r="O16" s="22" t="str">
        <f>Findings!C159</f>
        <v>-</v>
      </c>
      <c r="P16" s="22" t="str">
        <f>Findings!D159</f>
        <v>-</v>
      </c>
      <c r="Q16" s="22"/>
      <c r="R16" s="22"/>
      <c r="S16" s="22"/>
      <c r="T16" s="22" t="s">
        <v>141</v>
      </c>
      <c r="U16" s="22" t="s">
        <v>142</v>
      </c>
      <c r="V16" s="22" t="str">
        <f>Findings!F170</f>
        <v>(AV:/AC:/PR:/UI:/S:/C:/I:/A:/E:/RL:/RC:)</v>
      </c>
      <c r="W16" s="22" t="e">
        <f>Findings!H159</f>
        <v>#VALUE!</v>
      </c>
      <c r="X16" s="22" t="e">
        <f t="shared" si="0"/>
        <v>#VALUE!</v>
      </c>
      <c r="Y16" s="22">
        <f>Findings!I159</f>
        <v>0</v>
      </c>
      <c r="Z16" s="22"/>
      <c r="AA16" s="22"/>
      <c r="AB16" s="25">
        <f t="shared" si="1"/>
        <v>0</v>
      </c>
      <c r="AC16" s="26" t="str">
        <f t="shared" si="2"/>
        <v>x &lt; 2 - Tolerable</v>
      </c>
      <c r="AD16" s="22"/>
      <c r="AE16" s="22"/>
      <c r="AF16" s="22"/>
      <c r="AG16" s="22"/>
      <c r="AH16" s="20" t="s">
        <v>143</v>
      </c>
      <c r="AI16" s="20"/>
      <c r="AJ16" s="22">
        <f t="shared" si="6"/>
        <v>0</v>
      </c>
      <c r="AK16" s="22" t="str">
        <f t="shared" si="5"/>
        <v>&lt;Report Delivery Date&gt;</v>
      </c>
      <c r="AL16" s="22"/>
      <c r="AM16" s="22"/>
      <c r="AN16" s="22"/>
      <c r="AO16" s="22" t="str">
        <f>Findings!K159</f>
        <v>-</v>
      </c>
      <c r="AP16" s="22" t="str">
        <f>Findings!L159</f>
        <v>-</v>
      </c>
      <c r="AQ16" s="22" t="s">
        <v>14</v>
      </c>
    </row>
    <row r="17" spans="1:43" ht="14.25" x14ac:dyDescent="0.2">
      <c r="A17" s="19" t="str">
        <f t="shared" si="3"/>
        <v>Route in QC</v>
      </c>
      <c r="B17" s="20"/>
      <c r="C17" s="20"/>
      <c r="D17" s="21"/>
      <c r="E17" s="20"/>
      <c r="F17" s="20"/>
      <c r="G17" s="20"/>
      <c r="H17" s="22" t="s">
        <v>14</v>
      </c>
      <c r="I17" s="23" t="s">
        <v>14</v>
      </c>
      <c r="J17" s="20" t="str">
        <f t="shared" si="7"/>
        <v>Fluid</v>
      </c>
      <c r="K17" s="20" t="s">
        <v>140</v>
      </c>
      <c r="L17" s="20" t="s">
        <v>138</v>
      </c>
      <c r="M17" s="22"/>
      <c r="N17" s="22" t="str">
        <f>Findings!B171</f>
        <v>Vulnerability 15</v>
      </c>
      <c r="O17" s="22" t="str">
        <f>Findings!C171</f>
        <v>-</v>
      </c>
      <c r="P17" s="22" t="str">
        <f>Findings!D171</f>
        <v>-</v>
      </c>
      <c r="Q17" s="22"/>
      <c r="R17" s="22"/>
      <c r="S17" s="22"/>
      <c r="T17" s="22" t="s">
        <v>141</v>
      </c>
      <c r="U17" s="22" t="s">
        <v>142</v>
      </c>
      <c r="V17" s="22" t="str">
        <f>Findings!F182</f>
        <v>(AV:/AC:/PR:/UI:/S:/C:/I:/A:/E:/RL:/RC:)</v>
      </c>
      <c r="W17" s="22" t="e">
        <f>Findings!H171</f>
        <v>#VALUE!</v>
      </c>
      <c r="X17" s="22" t="e">
        <f t="shared" si="0"/>
        <v>#VALUE!</v>
      </c>
      <c r="Y17" s="22">
        <f>Findings!I171</f>
        <v>0</v>
      </c>
      <c r="Z17" s="22"/>
      <c r="AA17" s="22"/>
      <c r="AB17" s="25">
        <f t="shared" si="1"/>
        <v>0</v>
      </c>
      <c r="AC17" s="26" t="str">
        <f t="shared" si="2"/>
        <v>x &lt; 2 - Tolerable</v>
      </c>
      <c r="AD17" s="22"/>
      <c r="AE17" s="22"/>
      <c r="AF17" s="22"/>
      <c r="AG17" s="22"/>
      <c r="AH17" s="20" t="s">
        <v>143</v>
      </c>
      <c r="AI17" s="20"/>
      <c r="AJ17" s="22">
        <f t="shared" si="6"/>
        <v>0</v>
      </c>
      <c r="AK17" s="22" t="str">
        <f t="shared" si="5"/>
        <v>&lt;Report Delivery Date&gt;</v>
      </c>
      <c r="AL17" s="22"/>
      <c r="AM17" s="22"/>
      <c r="AN17" s="22"/>
      <c r="AO17" s="22" t="str">
        <f>Findings!K171</f>
        <v>-</v>
      </c>
      <c r="AP17" s="22" t="str">
        <f>Findings!L171</f>
        <v>-</v>
      </c>
      <c r="AQ17" s="22" t="s">
        <v>14</v>
      </c>
    </row>
    <row r="18" spans="1:43" ht="14.25" x14ac:dyDescent="0.2">
      <c r="A18" s="19" t="str">
        <f t="shared" si="3"/>
        <v>Route in QC</v>
      </c>
      <c r="B18" s="20"/>
      <c r="C18" s="20"/>
      <c r="D18" s="21"/>
      <c r="E18" s="20"/>
      <c r="F18" s="20"/>
      <c r="G18" s="20"/>
      <c r="H18" s="22" t="s">
        <v>14</v>
      </c>
      <c r="I18" s="23" t="s">
        <v>14</v>
      </c>
      <c r="J18" s="20" t="str">
        <f t="shared" si="7"/>
        <v>Fluid</v>
      </c>
      <c r="K18" s="20" t="s">
        <v>140</v>
      </c>
      <c r="L18" s="20" t="s">
        <v>138</v>
      </c>
      <c r="M18" s="22"/>
      <c r="N18" s="22" t="str">
        <f>Findings!B183</f>
        <v>Vulnerability 16</v>
      </c>
      <c r="O18" s="22" t="str">
        <f>Findings!C183</f>
        <v>-</v>
      </c>
      <c r="P18" s="22" t="str">
        <f>Findings!D183</f>
        <v>-</v>
      </c>
      <c r="Q18" s="22"/>
      <c r="R18" s="22"/>
      <c r="S18" s="22"/>
      <c r="T18" s="22" t="s">
        <v>141</v>
      </c>
      <c r="U18" s="22" t="s">
        <v>142</v>
      </c>
      <c r="V18" s="22" t="str">
        <f>Findings!F194</f>
        <v>(AV:/AC:/PR:/UI:/S:/C:/I:/A:/E:/RL:/RC:)</v>
      </c>
      <c r="W18" s="22" t="e">
        <f>Findings!H183</f>
        <v>#VALUE!</v>
      </c>
      <c r="X18" s="22" t="e">
        <f t="shared" si="0"/>
        <v>#VALUE!</v>
      </c>
      <c r="Y18" s="22">
        <f>Findings!I183</f>
        <v>0</v>
      </c>
      <c r="Z18" s="22"/>
      <c r="AA18" s="22"/>
      <c r="AB18" s="25">
        <f t="shared" si="1"/>
        <v>0</v>
      </c>
      <c r="AC18" s="26" t="str">
        <f t="shared" si="2"/>
        <v>x &lt; 2 - Tolerable</v>
      </c>
      <c r="AD18" s="22"/>
      <c r="AE18" s="22"/>
      <c r="AF18" s="22"/>
      <c r="AG18" s="22"/>
      <c r="AH18" s="20" t="s">
        <v>143</v>
      </c>
      <c r="AI18" s="20"/>
      <c r="AJ18" s="22">
        <f t="shared" si="6"/>
        <v>0</v>
      </c>
      <c r="AK18" s="22" t="str">
        <f t="shared" si="5"/>
        <v>&lt;Report Delivery Date&gt;</v>
      </c>
      <c r="AL18" s="22"/>
      <c r="AM18" s="22"/>
      <c r="AN18" s="22"/>
      <c r="AO18" s="22" t="str">
        <f>Findings!K183</f>
        <v>-</v>
      </c>
      <c r="AP18" s="22" t="str">
        <f>Findings!L183</f>
        <v>-</v>
      </c>
      <c r="AQ18" s="22" t="s">
        <v>14</v>
      </c>
    </row>
    <row r="19" spans="1:43" ht="14.25" x14ac:dyDescent="0.2">
      <c r="A19" s="19" t="str">
        <f t="shared" si="3"/>
        <v>Route in QC</v>
      </c>
      <c r="B19" s="20"/>
      <c r="C19" s="20"/>
      <c r="D19" s="21"/>
      <c r="E19" s="20"/>
      <c r="F19" s="20"/>
      <c r="G19" s="20"/>
      <c r="H19" s="22" t="s">
        <v>14</v>
      </c>
      <c r="I19" s="23" t="s">
        <v>14</v>
      </c>
      <c r="J19" s="20" t="str">
        <f t="shared" si="7"/>
        <v>Fluid</v>
      </c>
      <c r="K19" s="20" t="s">
        <v>140</v>
      </c>
      <c r="L19" s="20" t="s">
        <v>138</v>
      </c>
      <c r="M19" s="22"/>
      <c r="N19" s="22" t="str">
        <f>Findings!B195</f>
        <v>Vulnerability 17</v>
      </c>
      <c r="O19" s="22" t="str">
        <f>Findings!C195</f>
        <v>-</v>
      </c>
      <c r="P19" s="22" t="str">
        <f>Findings!D195</f>
        <v>-</v>
      </c>
      <c r="Q19" s="22"/>
      <c r="R19" s="22"/>
      <c r="S19" s="22"/>
      <c r="T19" s="22" t="s">
        <v>141</v>
      </c>
      <c r="U19" s="22" t="s">
        <v>142</v>
      </c>
      <c r="V19" s="22" t="str">
        <f>Findings!F206</f>
        <v>(AV:/AC:/PR:/UI:/S:/C:/I:/A:/E:/RL:/RC:)</v>
      </c>
      <c r="W19" s="22" t="e">
        <f>Findings!H195</f>
        <v>#VALUE!</v>
      </c>
      <c r="X19" s="22" t="e">
        <f t="shared" si="0"/>
        <v>#VALUE!</v>
      </c>
      <c r="Y19" s="22">
        <f>Findings!I195</f>
        <v>0</v>
      </c>
      <c r="Z19" s="22"/>
      <c r="AA19" s="22"/>
      <c r="AB19" s="25">
        <f t="shared" si="1"/>
        <v>0</v>
      </c>
      <c r="AC19" s="26" t="str">
        <f t="shared" si="2"/>
        <v>x &lt; 2 - Tolerable</v>
      </c>
      <c r="AD19" s="22"/>
      <c r="AE19" s="22"/>
      <c r="AF19" s="22"/>
      <c r="AG19" s="22"/>
      <c r="AH19" s="20" t="s">
        <v>143</v>
      </c>
      <c r="AI19" s="20"/>
      <c r="AJ19" s="22">
        <f t="shared" si="6"/>
        <v>0</v>
      </c>
      <c r="AK19" s="22" t="str">
        <f t="shared" si="5"/>
        <v>&lt;Report Delivery Date&gt;</v>
      </c>
      <c r="AL19" s="22"/>
      <c r="AM19" s="22"/>
      <c r="AN19" s="22"/>
      <c r="AO19" s="22" t="str">
        <f>Findings!K195</f>
        <v>-</v>
      </c>
      <c r="AP19" s="22" t="str">
        <f>Findings!L195</f>
        <v>-</v>
      </c>
      <c r="AQ19" s="22" t="s">
        <v>14</v>
      </c>
    </row>
    <row r="20" spans="1:43" ht="14.25" x14ac:dyDescent="0.2">
      <c r="A20" s="19" t="str">
        <f t="shared" si="3"/>
        <v>Route in QC</v>
      </c>
      <c r="B20" s="20"/>
      <c r="C20" s="20"/>
      <c r="D20" s="21"/>
      <c r="E20" s="20"/>
      <c r="F20" s="20"/>
      <c r="G20" s="20"/>
      <c r="H20" s="22" t="s">
        <v>14</v>
      </c>
      <c r="I20" s="23" t="s">
        <v>14</v>
      </c>
      <c r="J20" s="20" t="str">
        <f t="shared" si="7"/>
        <v>Fluid</v>
      </c>
      <c r="K20" s="20" t="s">
        <v>140</v>
      </c>
      <c r="L20" s="20" t="s">
        <v>138</v>
      </c>
      <c r="M20" s="22"/>
      <c r="N20" s="22" t="str">
        <f>Findings!B207</f>
        <v>Vulnerability 18</v>
      </c>
      <c r="O20" s="22" t="str">
        <f>Findings!C207</f>
        <v>-</v>
      </c>
      <c r="P20" s="22" t="str">
        <f>Findings!D207</f>
        <v>-</v>
      </c>
      <c r="Q20" s="22"/>
      <c r="R20" s="22"/>
      <c r="S20" s="22"/>
      <c r="T20" s="22" t="s">
        <v>141</v>
      </c>
      <c r="U20" s="22" t="s">
        <v>142</v>
      </c>
      <c r="V20" s="22" t="str">
        <f>Findings!F218</f>
        <v>(AV:/AC:/PR:/UI:/S:/C:/I:/A:/E:/RL:/RC:)</v>
      </c>
      <c r="W20" s="22" t="e">
        <f>Findings!H207</f>
        <v>#VALUE!</v>
      </c>
      <c r="X20" s="22" t="e">
        <f t="shared" si="0"/>
        <v>#VALUE!</v>
      </c>
      <c r="Y20" s="22">
        <f>Findings!I207</f>
        <v>0</v>
      </c>
      <c r="Z20" s="22"/>
      <c r="AA20" s="22"/>
      <c r="AB20" s="25">
        <f t="shared" si="1"/>
        <v>0</v>
      </c>
      <c r="AC20" s="26" t="str">
        <f t="shared" si="2"/>
        <v>x &lt; 2 - Tolerable</v>
      </c>
      <c r="AD20" s="22"/>
      <c r="AE20" s="22"/>
      <c r="AF20" s="22"/>
      <c r="AG20" s="22"/>
      <c r="AH20" s="20" t="s">
        <v>143</v>
      </c>
      <c r="AI20" s="20"/>
      <c r="AJ20" s="22">
        <f t="shared" si="6"/>
        <v>0</v>
      </c>
      <c r="AK20" s="22" t="str">
        <f t="shared" si="5"/>
        <v>&lt;Report Delivery Date&gt;</v>
      </c>
      <c r="AL20" s="22"/>
      <c r="AM20" s="22"/>
      <c r="AN20" s="22"/>
      <c r="AO20" s="22" t="str">
        <f>Findings!K207</f>
        <v>-</v>
      </c>
      <c r="AP20" s="22" t="str">
        <f>Findings!L207</f>
        <v>-</v>
      </c>
      <c r="AQ20" s="22" t="s">
        <v>14</v>
      </c>
    </row>
    <row r="21" spans="1:43" ht="14.25" x14ac:dyDescent="0.2">
      <c r="A21" s="19" t="str">
        <f t="shared" si="3"/>
        <v>Route in QC</v>
      </c>
      <c r="B21" s="20"/>
      <c r="C21" s="20"/>
      <c r="D21" s="21"/>
      <c r="E21" s="20"/>
      <c r="F21" s="20"/>
      <c r="G21" s="20"/>
      <c r="H21" s="22" t="s">
        <v>14</v>
      </c>
      <c r="I21" s="23" t="s">
        <v>14</v>
      </c>
      <c r="J21" s="20" t="str">
        <f t="shared" si="7"/>
        <v>Fluid</v>
      </c>
      <c r="K21" s="20" t="s">
        <v>140</v>
      </c>
      <c r="L21" s="20" t="s">
        <v>138</v>
      </c>
      <c r="M21" s="22"/>
      <c r="N21" s="22" t="str">
        <f>Findings!B219</f>
        <v>Vulnerability 19</v>
      </c>
      <c r="O21" s="22" t="str">
        <f>Findings!C219</f>
        <v>-</v>
      </c>
      <c r="P21" s="22" t="str">
        <f>Findings!D219</f>
        <v>-</v>
      </c>
      <c r="Q21" s="22"/>
      <c r="R21" s="22"/>
      <c r="S21" s="22"/>
      <c r="T21" s="22" t="s">
        <v>141</v>
      </c>
      <c r="U21" s="22" t="s">
        <v>142</v>
      </c>
      <c r="V21" s="22" t="str">
        <f>Findings!F230</f>
        <v>(AV:/AC:/PR:/UI:/S:/C:/I:/A:/E:/RL:/RC:)</v>
      </c>
      <c r="W21" s="22" t="e">
        <f>Findings!H219</f>
        <v>#VALUE!</v>
      </c>
      <c r="X21" s="22" t="e">
        <f t="shared" si="0"/>
        <v>#VALUE!</v>
      </c>
      <c r="Y21" s="22">
        <f>Findings!I219</f>
        <v>0</v>
      </c>
      <c r="Z21" s="22"/>
      <c r="AA21" s="22"/>
      <c r="AB21" s="25">
        <f t="shared" si="1"/>
        <v>0</v>
      </c>
      <c r="AC21" s="26" t="str">
        <f t="shared" si="2"/>
        <v>x &lt; 2 - Tolerable</v>
      </c>
      <c r="AD21" s="22"/>
      <c r="AE21" s="22"/>
      <c r="AF21" s="22"/>
      <c r="AG21" s="22"/>
      <c r="AH21" s="20" t="s">
        <v>143</v>
      </c>
      <c r="AI21" s="20"/>
      <c r="AJ21" s="22">
        <f t="shared" si="6"/>
        <v>0</v>
      </c>
      <c r="AK21" s="22" t="str">
        <f t="shared" si="5"/>
        <v>&lt;Report Delivery Date&gt;</v>
      </c>
      <c r="AL21" s="22"/>
      <c r="AM21" s="22"/>
      <c r="AN21" s="22"/>
      <c r="AO21" s="22" t="str">
        <f>Findings!K219</f>
        <v>-</v>
      </c>
      <c r="AP21" s="22" t="str">
        <f>Findings!L219</f>
        <v>-</v>
      </c>
      <c r="AQ21" s="22" t="s">
        <v>14</v>
      </c>
    </row>
    <row r="22" spans="1:43" ht="14.25" x14ac:dyDescent="0.2">
      <c r="A22" s="19" t="str">
        <f t="shared" si="3"/>
        <v>Route in QC</v>
      </c>
      <c r="B22" s="20"/>
      <c r="C22" s="20"/>
      <c r="D22" s="21"/>
      <c r="E22" s="20"/>
      <c r="F22" s="20"/>
      <c r="G22" s="20"/>
      <c r="H22" s="22" t="s">
        <v>14</v>
      </c>
      <c r="I22" s="23" t="s">
        <v>14</v>
      </c>
      <c r="J22" s="20" t="str">
        <f t="shared" si="7"/>
        <v>Fluid</v>
      </c>
      <c r="K22" s="20" t="s">
        <v>140</v>
      </c>
      <c r="L22" s="20" t="s">
        <v>138</v>
      </c>
      <c r="M22" s="22"/>
      <c r="N22" s="22" t="str">
        <f>Findings!B231</f>
        <v>Vulnerability 20</v>
      </c>
      <c r="O22" s="22" t="str">
        <f>Findings!C231</f>
        <v>-</v>
      </c>
      <c r="P22" s="22" t="str">
        <f>Findings!D231</f>
        <v>-</v>
      </c>
      <c r="Q22" s="22"/>
      <c r="R22" s="22"/>
      <c r="S22" s="22"/>
      <c r="T22" s="22" t="s">
        <v>141</v>
      </c>
      <c r="U22" s="22" t="s">
        <v>142</v>
      </c>
      <c r="V22" s="22" t="str">
        <f>Findings!F242</f>
        <v>(AV:/AC:/PR:/UI:/S:/C:/I:/A:/E:/RL:/RC:)</v>
      </c>
      <c r="W22" s="22" t="e">
        <f>Findings!H231</f>
        <v>#VALUE!</v>
      </c>
      <c r="X22" s="22" t="e">
        <f t="shared" si="0"/>
        <v>#VALUE!</v>
      </c>
      <c r="Y22" s="22">
        <f>Findings!I231</f>
        <v>0</v>
      </c>
      <c r="Z22" s="22"/>
      <c r="AA22" s="22"/>
      <c r="AB22" s="25">
        <f t="shared" si="1"/>
        <v>0</v>
      </c>
      <c r="AC22" s="26" t="str">
        <f t="shared" si="2"/>
        <v>x &lt; 2 - Tolerable</v>
      </c>
      <c r="AD22" s="22"/>
      <c r="AE22" s="22"/>
      <c r="AF22" s="22"/>
      <c r="AG22" s="22"/>
      <c r="AH22" s="20" t="s">
        <v>143</v>
      </c>
      <c r="AI22" s="20"/>
      <c r="AJ22" s="22">
        <f t="shared" si="6"/>
        <v>0</v>
      </c>
      <c r="AK22" s="22" t="str">
        <f t="shared" si="5"/>
        <v>&lt;Report Delivery Date&gt;</v>
      </c>
      <c r="AL22" s="22"/>
      <c r="AM22" s="22"/>
      <c r="AN22" s="22"/>
      <c r="AO22" s="22" t="str">
        <f>Findings!K231</f>
        <v>-</v>
      </c>
      <c r="AP22" s="22" t="str">
        <f>Findings!L231</f>
        <v>-</v>
      </c>
      <c r="AQ22" s="22" t="s">
        <v>14</v>
      </c>
    </row>
    <row r="23" spans="1:43" ht="14.25" x14ac:dyDescent="0.2">
      <c r="A23" s="19" t="str">
        <f t="shared" si="3"/>
        <v>Route in QC</v>
      </c>
      <c r="B23" s="20"/>
      <c r="C23" s="20"/>
      <c r="D23" s="21"/>
      <c r="E23" s="20"/>
      <c r="F23" s="20"/>
      <c r="G23" s="20"/>
      <c r="H23" s="22" t="s">
        <v>14</v>
      </c>
      <c r="I23" s="23" t="s">
        <v>14</v>
      </c>
      <c r="J23" s="20" t="str">
        <f t="shared" si="7"/>
        <v>Fluid</v>
      </c>
      <c r="K23" s="20" t="s">
        <v>140</v>
      </c>
      <c r="L23" s="20" t="s">
        <v>138</v>
      </c>
      <c r="M23" s="22"/>
      <c r="N23" s="22" t="str">
        <f>Findings!B243</f>
        <v>Vulnerability 21</v>
      </c>
      <c r="O23" s="22" t="str">
        <f>Findings!C243</f>
        <v>-</v>
      </c>
      <c r="P23" s="22" t="str">
        <f>Findings!D243</f>
        <v>-</v>
      </c>
      <c r="Q23" s="22"/>
      <c r="R23" s="22"/>
      <c r="S23" s="22"/>
      <c r="T23" s="22" t="s">
        <v>141</v>
      </c>
      <c r="U23" s="22" t="s">
        <v>142</v>
      </c>
      <c r="V23" s="22" t="str">
        <f>Findings!F254</f>
        <v>(AV:/AC:/PR:/UI:/S:/C:/I:/A:/E:/RL:/RC:)</v>
      </c>
      <c r="W23" s="22" t="e">
        <f>Findings!H243</f>
        <v>#VALUE!</v>
      </c>
      <c r="X23" s="22" t="e">
        <f t="shared" si="0"/>
        <v>#VALUE!</v>
      </c>
      <c r="Y23" s="22">
        <f>Findings!I243</f>
        <v>0</v>
      </c>
      <c r="Z23" s="22"/>
      <c r="AA23" s="22"/>
      <c r="AB23" s="25">
        <f t="shared" si="1"/>
        <v>0</v>
      </c>
      <c r="AC23" s="26" t="str">
        <f t="shared" si="2"/>
        <v>x &lt; 2 - Tolerable</v>
      </c>
      <c r="AD23" s="22"/>
      <c r="AE23" s="22"/>
      <c r="AF23" s="22"/>
      <c r="AG23" s="22"/>
      <c r="AH23" s="20" t="s">
        <v>143</v>
      </c>
      <c r="AI23" s="20"/>
      <c r="AJ23" s="22">
        <f t="shared" si="6"/>
        <v>0</v>
      </c>
      <c r="AK23" s="22" t="str">
        <f t="shared" si="5"/>
        <v>&lt;Report Delivery Date&gt;</v>
      </c>
      <c r="AL23" s="22"/>
      <c r="AM23" s="22"/>
      <c r="AN23" s="22"/>
      <c r="AO23" s="22" t="str">
        <f>Findings!K243</f>
        <v>-</v>
      </c>
      <c r="AP23" s="22" t="str">
        <f>Findings!L243</f>
        <v>-</v>
      </c>
      <c r="AQ23" s="22" t="s">
        <v>14</v>
      </c>
    </row>
    <row r="24" spans="1:43" ht="14.25" x14ac:dyDescent="0.2">
      <c r="A24" s="19" t="str">
        <f t="shared" si="3"/>
        <v>Route in QC</v>
      </c>
      <c r="B24" s="20"/>
      <c r="C24" s="20"/>
      <c r="D24" s="21"/>
      <c r="E24" s="20"/>
      <c r="F24" s="20"/>
      <c r="G24" s="20"/>
      <c r="H24" s="22" t="s">
        <v>14</v>
      </c>
      <c r="I24" s="23" t="s">
        <v>14</v>
      </c>
      <c r="J24" s="20" t="str">
        <f t="shared" si="7"/>
        <v>Fluid</v>
      </c>
      <c r="K24" s="20" t="s">
        <v>140</v>
      </c>
      <c r="L24" s="20" t="s">
        <v>138</v>
      </c>
      <c r="M24" s="22"/>
      <c r="N24" s="22" t="str">
        <f>Findings!B255</f>
        <v>Vulnerability 22</v>
      </c>
      <c r="O24" s="22" t="str">
        <f>Findings!C255</f>
        <v>-</v>
      </c>
      <c r="P24" s="22" t="str">
        <f>Findings!D255</f>
        <v>-</v>
      </c>
      <c r="Q24" s="22"/>
      <c r="R24" s="22"/>
      <c r="S24" s="22"/>
      <c r="T24" s="22" t="s">
        <v>141</v>
      </c>
      <c r="U24" s="22" t="s">
        <v>142</v>
      </c>
      <c r="V24" s="22" t="str">
        <f>Findings!F266</f>
        <v>(AV:/AC:/PR:/UI:/S:/C:/I:/A:/E:/RL:/RC:)</v>
      </c>
      <c r="W24" s="22" t="e">
        <f>Findings!H255</f>
        <v>#VALUE!</v>
      </c>
      <c r="X24" s="22" t="e">
        <f t="shared" si="0"/>
        <v>#VALUE!</v>
      </c>
      <c r="Y24" s="22">
        <f>Findings!I255</f>
        <v>0</v>
      </c>
      <c r="Z24" s="22"/>
      <c r="AA24" s="22"/>
      <c r="AB24" s="25">
        <f t="shared" si="1"/>
        <v>0</v>
      </c>
      <c r="AC24" s="26" t="str">
        <f t="shared" si="2"/>
        <v>x &lt; 2 - Tolerable</v>
      </c>
      <c r="AD24" s="22"/>
      <c r="AE24" s="22"/>
      <c r="AF24" s="22"/>
      <c r="AG24" s="22"/>
      <c r="AH24" s="20" t="s">
        <v>143</v>
      </c>
      <c r="AI24" s="20"/>
      <c r="AJ24" s="22">
        <f t="shared" si="6"/>
        <v>0</v>
      </c>
      <c r="AK24" s="22" t="str">
        <f t="shared" si="5"/>
        <v>&lt;Report Delivery Date&gt;</v>
      </c>
      <c r="AL24" s="22"/>
      <c r="AM24" s="22"/>
      <c r="AN24" s="22"/>
      <c r="AO24" s="22" t="str">
        <f>Findings!K255</f>
        <v>-</v>
      </c>
      <c r="AP24" s="22" t="str">
        <f>Findings!L255</f>
        <v>-</v>
      </c>
      <c r="AQ24" s="22" t="s">
        <v>14</v>
      </c>
    </row>
    <row r="25" spans="1:43" ht="14.25" x14ac:dyDescent="0.2">
      <c r="A25" s="19" t="str">
        <f t="shared" si="3"/>
        <v>Route in QC</v>
      </c>
      <c r="B25" s="20"/>
      <c r="C25" s="20"/>
      <c r="D25" s="21"/>
      <c r="E25" s="20"/>
      <c r="F25" s="20"/>
      <c r="G25" s="20"/>
      <c r="H25" s="22" t="s">
        <v>14</v>
      </c>
      <c r="I25" s="23" t="s">
        <v>14</v>
      </c>
      <c r="J25" s="20" t="str">
        <f t="shared" si="7"/>
        <v>Fluid</v>
      </c>
      <c r="K25" s="20" t="s">
        <v>140</v>
      </c>
      <c r="L25" s="20" t="s">
        <v>138</v>
      </c>
      <c r="M25" s="22"/>
      <c r="N25" s="22" t="str">
        <f>Findings!B267</f>
        <v>Vulnerability 23</v>
      </c>
      <c r="O25" s="22" t="str">
        <f>Findings!C267</f>
        <v>-</v>
      </c>
      <c r="P25" s="22" t="str">
        <f>Findings!D267</f>
        <v>-</v>
      </c>
      <c r="Q25" s="22"/>
      <c r="R25" s="22"/>
      <c r="S25" s="22"/>
      <c r="T25" s="22" t="s">
        <v>141</v>
      </c>
      <c r="U25" s="22" t="s">
        <v>142</v>
      </c>
      <c r="V25" s="22" t="str">
        <f>Findings!F278</f>
        <v>(AV:/AC:/PR:/UI:/S:/C:/I:/A:/E:/RL:/RC:)</v>
      </c>
      <c r="W25" s="22" t="e">
        <f>Findings!H267</f>
        <v>#VALUE!</v>
      </c>
      <c r="X25" s="22" t="e">
        <f t="shared" si="0"/>
        <v>#VALUE!</v>
      </c>
      <c r="Y25" s="22">
        <f>Findings!I267</f>
        <v>0</v>
      </c>
      <c r="Z25" s="22"/>
      <c r="AA25" s="22"/>
      <c r="AB25" s="25">
        <f t="shared" si="1"/>
        <v>0</v>
      </c>
      <c r="AC25" s="26" t="str">
        <f t="shared" si="2"/>
        <v>x &lt; 2 - Tolerable</v>
      </c>
      <c r="AD25" s="22"/>
      <c r="AE25" s="22"/>
      <c r="AF25" s="22"/>
      <c r="AG25" s="22"/>
      <c r="AH25" s="20" t="s">
        <v>143</v>
      </c>
      <c r="AI25" s="20"/>
      <c r="AJ25" s="22">
        <f t="shared" si="6"/>
        <v>0</v>
      </c>
      <c r="AK25" s="22" t="str">
        <f t="shared" si="5"/>
        <v>&lt;Report Delivery Date&gt;</v>
      </c>
      <c r="AL25" s="22"/>
      <c r="AM25" s="22"/>
      <c r="AN25" s="22"/>
      <c r="AO25" s="22" t="str">
        <f>Findings!K267</f>
        <v>-</v>
      </c>
      <c r="AP25" s="22" t="str">
        <f>Findings!L267</f>
        <v>-</v>
      </c>
      <c r="AQ25" s="22" t="s">
        <v>14</v>
      </c>
    </row>
    <row r="26" spans="1:43" ht="14.25" x14ac:dyDescent="0.2">
      <c r="A26" s="19" t="str">
        <f t="shared" si="3"/>
        <v>Route in QC</v>
      </c>
      <c r="B26" s="20"/>
      <c r="C26" s="20"/>
      <c r="D26" s="21"/>
      <c r="E26" s="20"/>
      <c r="F26" s="20"/>
      <c r="G26" s="20"/>
      <c r="H26" s="22" t="s">
        <v>14</v>
      </c>
      <c r="I26" s="23" t="s">
        <v>14</v>
      </c>
      <c r="J26" s="20" t="str">
        <f t="shared" si="7"/>
        <v>Fluid</v>
      </c>
      <c r="K26" s="20" t="s">
        <v>140</v>
      </c>
      <c r="L26" s="20" t="s">
        <v>138</v>
      </c>
      <c r="M26" s="22"/>
      <c r="N26" s="22" t="str">
        <f>Findings!B279</f>
        <v>Vulnerability 24</v>
      </c>
      <c r="O26" s="22" t="str">
        <f>Findings!C279</f>
        <v>-</v>
      </c>
      <c r="P26" s="22" t="str">
        <f>Findings!D279</f>
        <v>-</v>
      </c>
      <c r="Q26" s="22"/>
      <c r="R26" s="22"/>
      <c r="S26" s="22"/>
      <c r="T26" s="22" t="s">
        <v>141</v>
      </c>
      <c r="U26" s="22" t="s">
        <v>142</v>
      </c>
      <c r="V26" s="22" t="str">
        <f>Findings!F290</f>
        <v>(AV:/AC:/PR:/UI:/S:/C:/I:/A:/E:/RL:/RC:)</v>
      </c>
      <c r="W26" s="22" t="e">
        <f>Findings!H279</f>
        <v>#VALUE!</v>
      </c>
      <c r="X26" s="22" t="e">
        <f t="shared" si="0"/>
        <v>#VALUE!</v>
      </c>
      <c r="Y26" s="22">
        <f>Findings!I279</f>
        <v>0</v>
      </c>
      <c r="Z26" s="22"/>
      <c r="AA26" s="22"/>
      <c r="AB26" s="25">
        <f t="shared" si="1"/>
        <v>0</v>
      </c>
      <c r="AC26" s="26" t="str">
        <f t="shared" si="2"/>
        <v>x &lt; 2 - Tolerable</v>
      </c>
      <c r="AD26" s="22"/>
      <c r="AE26" s="22"/>
      <c r="AF26" s="22"/>
      <c r="AG26" s="22"/>
      <c r="AH26" s="20" t="s">
        <v>143</v>
      </c>
      <c r="AI26" s="20"/>
      <c r="AJ26" s="22">
        <f t="shared" si="6"/>
        <v>0</v>
      </c>
      <c r="AK26" s="22" t="str">
        <f t="shared" si="5"/>
        <v>&lt;Report Delivery Date&gt;</v>
      </c>
      <c r="AL26" s="22"/>
      <c r="AM26" s="22"/>
      <c r="AN26" s="22"/>
      <c r="AO26" s="22" t="str">
        <f>Findings!K279</f>
        <v>-</v>
      </c>
      <c r="AP26" s="22" t="str">
        <f>Findings!L279</f>
        <v>-</v>
      </c>
      <c r="AQ26" s="22" t="s">
        <v>14</v>
      </c>
    </row>
    <row r="27" spans="1:43" ht="14.25" x14ac:dyDescent="0.2">
      <c r="A27" s="19" t="str">
        <f t="shared" si="3"/>
        <v>Route in QC</v>
      </c>
      <c r="B27" s="20"/>
      <c r="C27" s="20"/>
      <c r="D27" s="21"/>
      <c r="E27" s="20"/>
      <c r="F27" s="20"/>
      <c r="G27" s="20"/>
      <c r="H27" s="22" t="s">
        <v>14</v>
      </c>
      <c r="I27" s="23" t="s">
        <v>14</v>
      </c>
      <c r="J27" s="20" t="str">
        <f t="shared" si="7"/>
        <v>Fluid</v>
      </c>
      <c r="K27" s="20" t="s">
        <v>140</v>
      </c>
      <c r="L27" s="20" t="s">
        <v>138</v>
      </c>
      <c r="M27" s="22"/>
      <c r="N27" s="22" t="str">
        <f>Findings!B291</f>
        <v>Vulnerability 25</v>
      </c>
      <c r="O27" s="22" t="str">
        <f>Findings!C291</f>
        <v>-</v>
      </c>
      <c r="P27" s="22" t="str">
        <f>Findings!D291</f>
        <v>-</v>
      </c>
      <c r="Q27" s="22"/>
      <c r="R27" s="22"/>
      <c r="S27" s="22"/>
      <c r="T27" s="22" t="s">
        <v>141</v>
      </c>
      <c r="U27" s="22" t="s">
        <v>142</v>
      </c>
      <c r="V27" s="22" t="str">
        <f>Findings!F302</f>
        <v>(AV:/AC:/PR:/UI:/S:/C:/I:/A:/E:/RL:/RC:)</v>
      </c>
      <c r="W27" s="22" t="e">
        <f>Findings!H291</f>
        <v>#VALUE!</v>
      </c>
      <c r="X27" s="22" t="e">
        <f t="shared" si="0"/>
        <v>#VALUE!</v>
      </c>
      <c r="Y27" s="22">
        <f>Findings!I291</f>
        <v>0</v>
      </c>
      <c r="Z27" s="22"/>
      <c r="AA27" s="22"/>
      <c r="AB27" s="25">
        <f t="shared" si="1"/>
        <v>0</v>
      </c>
      <c r="AC27" s="26" t="str">
        <f t="shared" si="2"/>
        <v>x &lt; 2 - Tolerable</v>
      </c>
      <c r="AD27" s="22"/>
      <c r="AE27" s="22"/>
      <c r="AF27" s="22"/>
      <c r="AG27" s="22"/>
      <c r="AH27" s="20" t="s">
        <v>143</v>
      </c>
      <c r="AI27" s="20"/>
      <c r="AJ27" s="22">
        <f t="shared" si="6"/>
        <v>0</v>
      </c>
      <c r="AK27" s="22" t="str">
        <f t="shared" si="5"/>
        <v>&lt;Report Delivery Date&gt;</v>
      </c>
      <c r="AL27" s="22"/>
      <c r="AM27" s="22"/>
      <c r="AN27" s="22"/>
      <c r="AO27" s="22" t="str">
        <f>Findings!K291</f>
        <v>-</v>
      </c>
      <c r="AP27" s="22" t="str">
        <f>Findings!L291</f>
        <v>-</v>
      </c>
      <c r="AQ27" s="22" t="s">
        <v>14</v>
      </c>
    </row>
    <row r="28" spans="1:43" ht="14.25" x14ac:dyDescent="0.2">
      <c r="A28" s="19" t="str">
        <f t="shared" si="3"/>
        <v>Route in QC</v>
      </c>
      <c r="B28" s="20"/>
      <c r="C28" s="20"/>
      <c r="D28" s="21"/>
      <c r="E28" s="20"/>
      <c r="F28" s="20"/>
      <c r="G28" s="20"/>
      <c r="H28" s="22" t="s">
        <v>14</v>
      </c>
      <c r="I28" s="23" t="s">
        <v>14</v>
      </c>
      <c r="J28" s="20" t="str">
        <f t="shared" si="7"/>
        <v>Fluid</v>
      </c>
      <c r="K28" s="20" t="s">
        <v>140</v>
      </c>
      <c r="L28" s="20" t="s">
        <v>138</v>
      </c>
      <c r="M28" s="22"/>
      <c r="N28" s="22" t="str">
        <f>Findings!B303</f>
        <v>Vulnerability 26</v>
      </c>
      <c r="O28" s="22" t="str">
        <f>Findings!C303</f>
        <v>-</v>
      </c>
      <c r="P28" s="22" t="str">
        <f>Findings!D303</f>
        <v>-</v>
      </c>
      <c r="Q28" s="22"/>
      <c r="R28" s="22"/>
      <c r="S28" s="22"/>
      <c r="T28" s="22" t="s">
        <v>141</v>
      </c>
      <c r="U28" s="22" t="s">
        <v>142</v>
      </c>
      <c r="V28" s="22" t="str">
        <f>Findings!F314</f>
        <v>(AV:/AC:/PR:/UI:/S:/C:/I:/A:/E:/RL:/RC:)</v>
      </c>
      <c r="W28" s="22" t="e">
        <f>Findings!H303</f>
        <v>#VALUE!</v>
      </c>
      <c r="X28" s="22" t="e">
        <f t="shared" si="0"/>
        <v>#VALUE!</v>
      </c>
      <c r="Y28" s="22">
        <f>Findings!I303</f>
        <v>0</v>
      </c>
      <c r="Z28" s="22"/>
      <c r="AA28" s="22"/>
      <c r="AB28" s="25">
        <f t="shared" si="1"/>
        <v>0</v>
      </c>
      <c r="AC28" s="26" t="str">
        <f t="shared" si="2"/>
        <v>x &lt; 2 - Tolerable</v>
      </c>
      <c r="AD28" s="22"/>
      <c r="AE28" s="22"/>
      <c r="AF28" s="22"/>
      <c r="AG28" s="22"/>
      <c r="AH28" s="20" t="s">
        <v>143</v>
      </c>
      <c r="AI28" s="20"/>
      <c r="AJ28" s="22">
        <f t="shared" si="6"/>
        <v>0</v>
      </c>
      <c r="AK28" s="22" t="str">
        <f t="shared" si="5"/>
        <v>&lt;Report Delivery Date&gt;</v>
      </c>
      <c r="AL28" s="22"/>
      <c r="AM28" s="22"/>
      <c r="AN28" s="22"/>
      <c r="AO28" s="22" t="str">
        <f>Findings!K303</f>
        <v>-</v>
      </c>
      <c r="AP28" s="22" t="str">
        <f>Findings!L303</f>
        <v>-</v>
      </c>
      <c r="AQ28" s="22" t="s">
        <v>14</v>
      </c>
    </row>
    <row r="29" spans="1:43" ht="14.25" x14ac:dyDescent="0.2">
      <c r="A29" s="19" t="str">
        <f t="shared" si="3"/>
        <v>Route in QC</v>
      </c>
      <c r="B29" s="20"/>
      <c r="C29" s="20"/>
      <c r="D29" s="21"/>
      <c r="E29" s="20"/>
      <c r="F29" s="20"/>
      <c r="G29" s="20"/>
      <c r="H29" s="22" t="s">
        <v>14</v>
      </c>
      <c r="I29" s="23" t="s">
        <v>14</v>
      </c>
      <c r="J29" s="20" t="str">
        <f t="shared" si="7"/>
        <v>Fluid</v>
      </c>
      <c r="K29" s="20" t="s">
        <v>140</v>
      </c>
      <c r="L29" s="20" t="s">
        <v>138</v>
      </c>
      <c r="M29" s="22"/>
      <c r="N29" s="22" t="str">
        <f>Findings!B315</f>
        <v>Vulnerability 27</v>
      </c>
      <c r="O29" s="22" t="str">
        <f>Findings!C315</f>
        <v>-</v>
      </c>
      <c r="P29" s="22" t="str">
        <f>Findings!D315</f>
        <v>-</v>
      </c>
      <c r="Q29" s="22"/>
      <c r="R29" s="22"/>
      <c r="S29" s="22"/>
      <c r="T29" s="22" t="s">
        <v>141</v>
      </c>
      <c r="U29" s="22" t="s">
        <v>142</v>
      </c>
      <c r="V29" s="22" t="str">
        <f>Findings!F326</f>
        <v>(AV:/AC:/PR:/UI:/S:/C:/I:/A:/E:/RL:/RC:)</v>
      </c>
      <c r="W29" s="22" t="e">
        <f>Findings!H315</f>
        <v>#VALUE!</v>
      </c>
      <c r="X29" s="22" t="e">
        <f t="shared" si="0"/>
        <v>#VALUE!</v>
      </c>
      <c r="Y29" s="22">
        <f>Findings!I315</f>
        <v>0</v>
      </c>
      <c r="Z29" s="22"/>
      <c r="AA29" s="22"/>
      <c r="AB29" s="25">
        <f t="shared" si="1"/>
        <v>0</v>
      </c>
      <c r="AC29" s="26" t="str">
        <f t="shared" si="2"/>
        <v>x &lt; 2 - Tolerable</v>
      </c>
      <c r="AD29" s="22"/>
      <c r="AE29" s="22"/>
      <c r="AF29" s="22"/>
      <c r="AG29" s="22"/>
      <c r="AH29" s="20" t="s">
        <v>143</v>
      </c>
      <c r="AI29" s="20"/>
      <c r="AJ29" s="22">
        <f t="shared" si="6"/>
        <v>0</v>
      </c>
      <c r="AK29" s="22" t="str">
        <f t="shared" si="5"/>
        <v>&lt;Report Delivery Date&gt;</v>
      </c>
      <c r="AL29" s="22"/>
      <c r="AM29" s="22"/>
      <c r="AN29" s="22"/>
      <c r="AO29" s="22" t="str">
        <f>Findings!K315</f>
        <v>-</v>
      </c>
      <c r="AP29" s="22" t="str">
        <f>Findings!L315</f>
        <v>-</v>
      </c>
      <c r="AQ29" s="22" t="s">
        <v>14</v>
      </c>
    </row>
    <row r="30" spans="1:43" ht="14.25" x14ac:dyDescent="0.2">
      <c r="A30" s="19" t="str">
        <f t="shared" si="3"/>
        <v>Route in QC</v>
      </c>
      <c r="B30" s="20"/>
      <c r="C30" s="20"/>
      <c r="D30" s="21"/>
      <c r="E30" s="20"/>
      <c r="F30" s="20"/>
      <c r="G30" s="20"/>
      <c r="H30" s="22" t="s">
        <v>14</v>
      </c>
      <c r="I30" s="23" t="s">
        <v>14</v>
      </c>
      <c r="J30" s="20" t="str">
        <f t="shared" si="7"/>
        <v>Fluid</v>
      </c>
      <c r="K30" s="20" t="s">
        <v>140</v>
      </c>
      <c r="L30" s="20" t="s">
        <v>138</v>
      </c>
      <c r="M30" s="22"/>
      <c r="N30" s="22" t="str">
        <f>Findings!B327</f>
        <v>Vulnerability 28</v>
      </c>
      <c r="O30" s="22" t="str">
        <f>Findings!C327</f>
        <v>-</v>
      </c>
      <c r="P30" s="22" t="str">
        <f>Findings!D327</f>
        <v>-</v>
      </c>
      <c r="Q30" s="22"/>
      <c r="R30" s="22"/>
      <c r="S30" s="22"/>
      <c r="T30" s="22" t="s">
        <v>141</v>
      </c>
      <c r="U30" s="22" t="s">
        <v>142</v>
      </c>
      <c r="V30" s="22" t="str">
        <f>Findings!F338</f>
        <v>(AV:/AC:/PR:/UI:/S:/C:/I:/A:/E:/RL:/RC:)</v>
      </c>
      <c r="W30" s="22" t="e">
        <f>Findings!H327</f>
        <v>#VALUE!</v>
      </c>
      <c r="X30" s="22" t="e">
        <f t="shared" si="0"/>
        <v>#VALUE!</v>
      </c>
      <c r="Y30" s="22">
        <f>Findings!I327</f>
        <v>0</v>
      </c>
      <c r="Z30" s="22"/>
      <c r="AA30" s="22"/>
      <c r="AB30" s="25">
        <f t="shared" si="1"/>
        <v>0</v>
      </c>
      <c r="AC30" s="26" t="str">
        <f t="shared" si="2"/>
        <v>x &lt; 2 - Tolerable</v>
      </c>
      <c r="AD30" s="22"/>
      <c r="AE30" s="22"/>
      <c r="AF30" s="22"/>
      <c r="AG30" s="22"/>
      <c r="AH30" s="20" t="s">
        <v>143</v>
      </c>
      <c r="AI30" s="20"/>
      <c r="AJ30" s="22">
        <f t="shared" si="6"/>
        <v>0</v>
      </c>
      <c r="AK30" s="22" t="str">
        <f t="shared" si="5"/>
        <v>&lt;Report Delivery Date&gt;</v>
      </c>
      <c r="AL30" s="22"/>
      <c r="AM30" s="22"/>
      <c r="AN30" s="22"/>
      <c r="AO30" s="22" t="str">
        <f>Findings!K327</f>
        <v>-</v>
      </c>
      <c r="AP30" s="22" t="str">
        <f>Findings!L327</f>
        <v>-</v>
      </c>
      <c r="AQ30" s="22" t="s">
        <v>14</v>
      </c>
    </row>
    <row r="31" spans="1:43" ht="14.25" x14ac:dyDescent="0.2">
      <c r="A31" s="19" t="str">
        <f t="shared" si="3"/>
        <v>Route in QC</v>
      </c>
      <c r="B31" s="20"/>
      <c r="C31" s="20"/>
      <c r="D31" s="21"/>
      <c r="E31" s="20"/>
      <c r="F31" s="20"/>
      <c r="G31" s="20"/>
      <c r="H31" s="22" t="s">
        <v>14</v>
      </c>
      <c r="I31" s="23" t="s">
        <v>14</v>
      </c>
      <c r="J31" s="20" t="str">
        <f t="shared" si="7"/>
        <v>Fluid</v>
      </c>
      <c r="K31" s="20" t="s">
        <v>140</v>
      </c>
      <c r="L31" s="20" t="s">
        <v>138</v>
      </c>
      <c r="M31" s="22"/>
      <c r="N31" s="22" t="str">
        <f>Findings!B339</f>
        <v>Vulnerability 29</v>
      </c>
      <c r="O31" s="22" t="str">
        <f>Findings!C339</f>
        <v>-</v>
      </c>
      <c r="P31" s="22" t="str">
        <f>Findings!D339</f>
        <v>-</v>
      </c>
      <c r="Q31" s="22"/>
      <c r="R31" s="22"/>
      <c r="S31" s="22"/>
      <c r="T31" s="22" t="s">
        <v>141</v>
      </c>
      <c r="U31" s="22" t="s">
        <v>142</v>
      </c>
      <c r="V31" s="22" t="str">
        <f>Findings!F350</f>
        <v>(AV:/AC:/PR:/UI:/S:/C:/I:/A:/E:/RL:/RC:)</v>
      </c>
      <c r="W31" s="22" t="e">
        <f>Findings!H339</f>
        <v>#VALUE!</v>
      </c>
      <c r="X31" s="22" t="e">
        <f t="shared" si="0"/>
        <v>#VALUE!</v>
      </c>
      <c r="Y31" s="22">
        <f>Findings!I339</f>
        <v>0</v>
      </c>
      <c r="Z31" s="22"/>
      <c r="AA31" s="22"/>
      <c r="AB31" s="25">
        <f t="shared" si="1"/>
        <v>0</v>
      </c>
      <c r="AC31" s="26" t="str">
        <f t="shared" si="2"/>
        <v>x &lt; 2 - Tolerable</v>
      </c>
      <c r="AD31" s="22"/>
      <c r="AE31" s="22"/>
      <c r="AF31" s="22"/>
      <c r="AG31" s="22"/>
      <c r="AH31" s="20" t="s">
        <v>143</v>
      </c>
      <c r="AI31" s="20"/>
      <c r="AJ31" s="22">
        <f t="shared" si="6"/>
        <v>0</v>
      </c>
      <c r="AK31" s="22" t="str">
        <f t="shared" si="5"/>
        <v>&lt;Report Delivery Date&gt;</v>
      </c>
      <c r="AL31" s="22"/>
      <c r="AM31" s="22"/>
      <c r="AN31" s="22"/>
      <c r="AO31" s="22" t="str">
        <f>Findings!K339</f>
        <v>-</v>
      </c>
      <c r="AP31" s="22" t="str">
        <f>Findings!L339</f>
        <v>-</v>
      </c>
      <c r="AQ31" s="22" t="s">
        <v>14</v>
      </c>
    </row>
    <row r="32" spans="1:43" ht="14.25" x14ac:dyDescent="0.2">
      <c r="A32" s="19" t="str">
        <f t="shared" si="3"/>
        <v>Route in QC</v>
      </c>
      <c r="B32" s="20"/>
      <c r="C32" s="20"/>
      <c r="D32" s="21"/>
      <c r="E32" s="20"/>
      <c r="F32" s="20"/>
      <c r="G32" s="20"/>
      <c r="H32" s="22" t="s">
        <v>14</v>
      </c>
      <c r="I32" s="23" t="s">
        <v>14</v>
      </c>
      <c r="J32" s="20" t="str">
        <f t="shared" si="7"/>
        <v>Fluid</v>
      </c>
      <c r="K32" s="20" t="s">
        <v>140</v>
      </c>
      <c r="L32" s="20" t="s">
        <v>138</v>
      </c>
      <c r="M32" s="24"/>
      <c r="N32" s="22" t="str">
        <f>Findings!B351</f>
        <v>Vulnerability 30</v>
      </c>
      <c r="O32" s="22" t="str">
        <f>Findings!C351</f>
        <v>-</v>
      </c>
      <c r="P32" s="24" t="str">
        <f>Findings!D351</f>
        <v>-</v>
      </c>
      <c r="Q32" s="22"/>
      <c r="R32" s="22"/>
      <c r="S32" s="22"/>
      <c r="T32" s="22" t="s">
        <v>141</v>
      </c>
      <c r="U32" s="22" t="s">
        <v>142</v>
      </c>
      <c r="V32" s="22" t="str">
        <f>Findings!F362</f>
        <v>(AV:/AC:/PR:/UI:/S:/C:/I:/A:/E:/RL:/RC:)</v>
      </c>
      <c r="W32" s="22" t="e">
        <f>Findings!H351</f>
        <v>#VALUE!</v>
      </c>
      <c r="X32" s="22" t="e">
        <f t="shared" si="0"/>
        <v>#VALUE!</v>
      </c>
      <c r="Y32" s="24">
        <f>Findings!I351</f>
        <v>0</v>
      </c>
      <c r="Z32" s="22"/>
      <c r="AA32" s="22"/>
      <c r="AB32" s="25">
        <f t="shared" si="1"/>
        <v>0</v>
      </c>
      <c r="AC32" s="26" t="str">
        <f t="shared" si="2"/>
        <v>x &lt; 2 - Tolerable</v>
      </c>
      <c r="AD32" s="24"/>
      <c r="AE32" s="24"/>
      <c r="AF32" s="22"/>
      <c r="AG32" s="24"/>
      <c r="AH32" s="20" t="s">
        <v>143</v>
      </c>
      <c r="AJ32" s="22">
        <f t="shared" si="6"/>
        <v>0</v>
      </c>
      <c r="AK32" s="22" t="str">
        <f t="shared" si="5"/>
        <v>&lt;Report Delivery Date&gt;</v>
      </c>
      <c r="AN32" s="22"/>
      <c r="AO32" s="24" t="str">
        <f>Findings!K351</f>
        <v>-</v>
      </c>
      <c r="AP32" s="24" t="str">
        <f>Findings!L351</f>
        <v>-</v>
      </c>
      <c r="AQ32" s="22" t="s">
        <v>14</v>
      </c>
    </row>
    <row r="33" spans="1:43" ht="14.25" x14ac:dyDescent="0.2">
      <c r="A33" s="19" t="str">
        <f t="shared" si="3"/>
        <v>Route in QC</v>
      </c>
      <c r="B33" s="20"/>
      <c r="C33" s="20"/>
      <c r="D33" s="21"/>
      <c r="E33" s="20"/>
      <c r="F33" s="20"/>
      <c r="G33" s="20"/>
      <c r="H33" s="22" t="s">
        <v>14</v>
      </c>
      <c r="I33" s="23" t="s">
        <v>14</v>
      </c>
      <c r="J33" s="20" t="str">
        <f t="shared" si="7"/>
        <v>Fluid</v>
      </c>
      <c r="K33" s="20" t="s">
        <v>140</v>
      </c>
      <c r="L33" s="20" t="s">
        <v>138</v>
      </c>
      <c r="M33" s="24"/>
      <c r="N33" s="22" t="str">
        <f>Findings!B363</f>
        <v>Vulnerability 31</v>
      </c>
      <c r="O33" s="22" t="str">
        <f>Findings!C363</f>
        <v>-</v>
      </c>
      <c r="P33" s="24" t="str">
        <f>Findings!D363</f>
        <v>-</v>
      </c>
      <c r="Q33" s="22"/>
      <c r="R33" s="22"/>
      <c r="S33" s="22"/>
      <c r="T33" s="22" t="s">
        <v>141</v>
      </c>
      <c r="U33" s="22" t="s">
        <v>142</v>
      </c>
      <c r="V33" s="22" t="str">
        <f>Findings!F374</f>
        <v>(AV:/AC:/PR:/UI:/S:/C:/I:/A:/E:/RL:/RC:)</v>
      </c>
      <c r="W33" s="22" t="e">
        <f>Findings!H363</f>
        <v>#VALUE!</v>
      </c>
      <c r="X33" s="22" t="e">
        <f t="shared" si="0"/>
        <v>#VALUE!</v>
      </c>
      <c r="Y33" s="24">
        <f>Findings!I363</f>
        <v>0</v>
      </c>
      <c r="Z33" s="22"/>
      <c r="AA33" s="22"/>
      <c r="AB33" s="25">
        <f t="shared" si="1"/>
        <v>0</v>
      </c>
      <c r="AC33" s="26" t="str">
        <f t="shared" si="2"/>
        <v>x &lt; 2 - Tolerable</v>
      </c>
      <c r="AD33" s="24"/>
      <c r="AE33" s="24"/>
      <c r="AF33" s="22"/>
      <c r="AG33" s="24"/>
      <c r="AH33" s="20" t="s">
        <v>143</v>
      </c>
      <c r="AJ33" s="22">
        <f t="shared" si="6"/>
        <v>0</v>
      </c>
      <c r="AK33" s="22" t="str">
        <f t="shared" si="5"/>
        <v>&lt;Report Delivery Date&gt;</v>
      </c>
      <c r="AN33" s="22"/>
      <c r="AO33" s="24" t="str">
        <f>Findings!K363</f>
        <v>-</v>
      </c>
      <c r="AP33" s="24" t="str">
        <f>Findings!L363</f>
        <v>-</v>
      </c>
      <c r="AQ33" s="22" t="s">
        <v>14</v>
      </c>
    </row>
    <row r="34" spans="1:43" ht="14.25" x14ac:dyDescent="0.2">
      <c r="A34" s="19" t="str">
        <f t="shared" si="3"/>
        <v>Route in QC</v>
      </c>
      <c r="B34" s="20"/>
      <c r="C34" s="20"/>
      <c r="D34" s="21"/>
      <c r="E34" s="20"/>
      <c r="F34" s="20"/>
      <c r="G34" s="20"/>
      <c r="H34" s="22" t="s">
        <v>14</v>
      </c>
      <c r="I34" s="23" t="s">
        <v>14</v>
      </c>
      <c r="J34" s="20" t="str">
        <f t="shared" si="7"/>
        <v>Fluid</v>
      </c>
      <c r="K34" s="20" t="s">
        <v>140</v>
      </c>
      <c r="L34" s="20" t="s">
        <v>138</v>
      </c>
      <c r="M34" s="24"/>
      <c r="N34" s="22" t="str">
        <f>Findings!B375</f>
        <v>Vulnerability 32</v>
      </c>
      <c r="O34" s="22" t="str">
        <f>Findings!C375</f>
        <v>-</v>
      </c>
      <c r="P34" s="24" t="str">
        <f>Findings!D375</f>
        <v>-</v>
      </c>
      <c r="Q34" s="22"/>
      <c r="R34" s="22"/>
      <c r="S34" s="22"/>
      <c r="T34" s="22" t="s">
        <v>141</v>
      </c>
      <c r="U34" s="22" t="s">
        <v>142</v>
      </c>
      <c r="V34" s="22" t="str">
        <f>Findings!F386</f>
        <v>(AV:/AC:/PR:/UI:/S:/C:/I:/A:/E:/RL:/RC:)</v>
      </c>
      <c r="W34" s="22" t="e">
        <f>Findings!H375</f>
        <v>#VALUE!</v>
      </c>
      <c r="X34" s="22" t="e">
        <f t="shared" si="0"/>
        <v>#VALUE!</v>
      </c>
      <c r="Y34" s="24">
        <f>Findings!I375</f>
        <v>0</v>
      </c>
      <c r="Z34" s="22"/>
      <c r="AA34" s="22"/>
      <c r="AB34" s="25">
        <f t="shared" si="1"/>
        <v>0</v>
      </c>
      <c r="AC34" s="26" t="str">
        <f t="shared" si="2"/>
        <v>x &lt; 2 - Tolerable</v>
      </c>
      <c r="AD34" s="24"/>
      <c r="AE34" s="24"/>
      <c r="AF34" s="22"/>
      <c r="AG34" s="24"/>
      <c r="AH34" s="20" t="s">
        <v>143</v>
      </c>
      <c r="AJ34" s="22">
        <f t="shared" si="6"/>
        <v>0</v>
      </c>
      <c r="AK34" s="22" t="str">
        <f t="shared" si="5"/>
        <v>&lt;Report Delivery Date&gt;</v>
      </c>
      <c r="AN34" s="22"/>
      <c r="AO34" s="24" t="str">
        <f>Findings!K375</f>
        <v>-</v>
      </c>
      <c r="AP34" s="24" t="str">
        <f>Findings!L375</f>
        <v>-</v>
      </c>
      <c r="AQ34" s="22" t="s">
        <v>14</v>
      </c>
    </row>
    <row r="35" spans="1:43" ht="14.25" x14ac:dyDescent="0.2">
      <c r="A35" s="19" t="str">
        <f t="shared" si="3"/>
        <v>Route in QC</v>
      </c>
      <c r="B35" s="20"/>
      <c r="C35" s="20"/>
      <c r="D35" s="21"/>
      <c r="E35" s="20"/>
      <c r="F35" s="20"/>
      <c r="G35" s="20"/>
      <c r="H35" s="22" t="s">
        <v>14</v>
      </c>
      <c r="I35" s="23" t="s">
        <v>14</v>
      </c>
      <c r="J35" s="20" t="str">
        <f t="shared" si="7"/>
        <v>Fluid</v>
      </c>
      <c r="K35" s="20" t="s">
        <v>140</v>
      </c>
      <c r="L35" s="20" t="s">
        <v>138</v>
      </c>
      <c r="M35" s="24"/>
      <c r="N35" s="22" t="str">
        <f>Findings!B387</f>
        <v>Vulnerability 33</v>
      </c>
      <c r="O35" s="22" t="str">
        <f>Findings!C387</f>
        <v>-</v>
      </c>
      <c r="P35" s="24" t="str">
        <f>Findings!D387</f>
        <v>-</v>
      </c>
      <c r="Q35" s="22"/>
      <c r="R35" s="22"/>
      <c r="S35" s="22"/>
      <c r="T35" s="22" t="s">
        <v>141</v>
      </c>
      <c r="U35" s="22" t="s">
        <v>142</v>
      </c>
      <c r="V35" s="22" t="str">
        <f>Findings!F398</f>
        <v>(AV:/AC:/PR:/UI:/S:/C:/I:/A:/E:/RL:/RC:)</v>
      </c>
      <c r="W35" s="22" t="e">
        <f>Findings!H387</f>
        <v>#VALUE!</v>
      </c>
      <c r="X35" s="22" t="e">
        <f t="shared" ref="X35:X62" si="8">IF(W35&lt;4,"Low",IF(AND(W35&gt;=4,W35&lt;7),"Media",IF(AND(W35&gt;=7,W35&lt;9),"High","Critical")))</f>
        <v>#VALUE!</v>
      </c>
      <c r="Y35" s="24">
        <f>Findings!I387</f>
        <v>0</v>
      </c>
      <c r="Z35" s="22"/>
      <c r="AA35" s="22"/>
      <c r="AB35" s="25">
        <f t="shared" ref="AB35:AB62" si="9">IF(Z35="100% Vulnerado Anteriormente",100/100 *AA35,IF(Z35="75% Fácil de vulnerar",75/100*AA35,IF(Z35="50% Posible de vulnerar",50/100*AA35,IF(Z35="25% Difícil de vulnerar",25/100*AA35,0))))</f>
        <v>0</v>
      </c>
      <c r="AC35" s="26" t="str">
        <f t="shared" ref="AC35:AC62" si="10">IF(AB35&lt;2,"x &lt; 2 - Tolerable",IF(AND(AB35&gt;=2,AB35&lt;3),"2 &lt;= x &lt; 3 - Moderado","x&gt;= 3 - Critico"))</f>
        <v>x &lt; 2 - Tolerable</v>
      </c>
      <c r="AD35" s="24"/>
      <c r="AE35" s="24"/>
      <c r="AF35" s="22"/>
      <c r="AG35" s="24"/>
      <c r="AH35" s="20" t="s">
        <v>143</v>
      </c>
      <c r="AJ35" s="22">
        <f t="shared" si="6"/>
        <v>0</v>
      </c>
      <c r="AK35" s="22" t="str">
        <f t="shared" si="5"/>
        <v>&lt;Report Delivery Date&gt;</v>
      </c>
      <c r="AN35" s="22"/>
      <c r="AO35" s="24" t="str">
        <f>Findings!K387</f>
        <v>-</v>
      </c>
      <c r="AP35" s="24" t="str">
        <f>Findings!L387</f>
        <v>-</v>
      </c>
      <c r="AQ35" s="22" t="s">
        <v>14</v>
      </c>
    </row>
    <row r="36" spans="1:43" ht="14.25" x14ac:dyDescent="0.2">
      <c r="A36" s="19" t="str">
        <f t="shared" ref="A36:A62" si="11">A35</f>
        <v>Route in QC</v>
      </c>
      <c r="B36" s="20"/>
      <c r="C36" s="20"/>
      <c r="D36" s="21"/>
      <c r="E36" s="20"/>
      <c r="F36" s="20"/>
      <c r="G36" s="20"/>
      <c r="H36" s="22" t="s">
        <v>14</v>
      </c>
      <c r="I36" s="23" t="s">
        <v>14</v>
      </c>
      <c r="J36" s="20" t="str">
        <f t="shared" si="7"/>
        <v>Fluid</v>
      </c>
      <c r="K36" s="20" t="s">
        <v>140</v>
      </c>
      <c r="L36" s="20" t="s">
        <v>138</v>
      </c>
      <c r="M36" s="24"/>
      <c r="N36" s="22" t="str">
        <f>Findings!B399</f>
        <v>Vulnerability 34</v>
      </c>
      <c r="O36" s="22" t="str">
        <f>Findings!C399</f>
        <v>-</v>
      </c>
      <c r="P36" s="24" t="str">
        <f>Findings!D399</f>
        <v>-</v>
      </c>
      <c r="Q36" s="22"/>
      <c r="R36" s="22"/>
      <c r="S36" s="22"/>
      <c r="T36" s="22" t="s">
        <v>141</v>
      </c>
      <c r="U36" s="22" t="s">
        <v>142</v>
      </c>
      <c r="V36" s="22" t="str">
        <f>Findings!F410</f>
        <v>(AV:/AC:/PR:/UI:/S:/C:/I:/A:/E:/RL:/RC:)</v>
      </c>
      <c r="W36" s="22" t="e">
        <f>Findings!H399</f>
        <v>#VALUE!</v>
      </c>
      <c r="X36" s="22" t="e">
        <f t="shared" si="8"/>
        <v>#VALUE!</v>
      </c>
      <c r="Y36" s="24">
        <f>Findings!I399</f>
        <v>0</v>
      </c>
      <c r="Z36" s="22"/>
      <c r="AA36" s="22"/>
      <c r="AB36" s="25">
        <f t="shared" si="9"/>
        <v>0</v>
      </c>
      <c r="AC36" s="26" t="str">
        <f t="shared" si="10"/>
        <v>x &lt; 2 - Tolerable</v>
      </c>
      <c r="AD36" s="24"/>
      <c r="AE36" s="24"/>
      <c r="AF36" s="22"/>
      <c r="AG36" s="24"/>
      <c r="AH36" s="20" t="s">
        <v>143</v>
      </c>
      <c r="AJ36" s="22">
        <f t="shared" si="6"/>
        <v>0</v>
      </c>
      <c r="AK36" s="22" t="str">
        <f t="shared" ref="AK36:AK62" si="12">AK35</f>
        <v>&lt;Report Delivery Date&gt;</v>
      </c>
      <c r="AN36" s="22"/>
      <c r="AO36" s="24" t="str">
        <f>Findings!K399</f>
        <v>-</v>
      </c>
      <c r="AP36" s="24" t="str">
        <f>Findings!L399</f>
        <v>-</v>
      </c>
      <c r="AQ36" s="22" t="s">
        <v>14</v>
      </c>
    </row>
    <row r="37" spans="1:43" ht="14.25" x14ac:dyDescent="0.2">
      <c r="A37" s="19" t="str">
        <f t="shared" si="11"/>
        <v>Route in QC</v>
      </c>
      <c r="B37" s="20"/>
      <c r="C37" s="20"/>
      <c r="D37" s="21"/>
      <c r="E37" s="20"/>
      <c r="F37" s="20"/>
      <c r="G37" s="20"/>
      <c r="H37" s="22" t="s">
        <v>14</v>
      </c>
      <c r="I37" s="23" t="s">
        <v>14</v>
      </c>
      <c r="J37" s="20" t="str">
        <f t="shared" si="7"/>
        <v>Fluid</v>
      </c>
      <c r="K37" s="20" t="s">
        <v>140</v>
      </c>
      <c r="L37" s="20" t="s">
        <v>138</v>
      </c>
      <c r="M37" s="24"/>
      <c r="N37" s="22" t="str">
        <f>Findings!B411</f>
        <v>Vulnerability 35</v>
      </c>
      <c r="O37" s="22" t="str">
        <f>Findings!C411</f>
        <v>-</v>
      </c>
      <c r="P37" s="24" t="str">
        <f>Findings!D411</f>
        <v>-</v>
      </c>
      <c r="Q37" s="22"/>
      <c r="R37" s="22"/>
      <c r="S37" s="22"/>
      <c r="T37" s="22" t="s">
        <v>141</v>
      </c>
      <c r="U37" s="22" t="s">
        <v>142</v>
      </c>
      <c r="V37" s="22" t="str">
        <f>Findings!F422</f>
        <v>(AV:/AC:/PR:/UI:/S:/C:/I:/A:/E:/RL:/RC:)</v>
      </c>
      <c r="W37" s="22" t="e">
        <f>Findings!H411</f>
        <v>#VALUE!</v>
      </c>
      <c r="X37" s="22" t="e">
        <f t="shared" si="8"/>
        <v>#VALUE!</v>
      </c>
      <c r="Y37" s="24">
        <f>Findings!I411</f>
        <v>0</v>
      </c>
      <c r="Z37" s="22"/>
      <c r="AA37" s="22"/>
      <c r="AB37" s="25">
        <f t="shared" si="9"/>
        <v>0</v>
      </c>
      <c r="AC37" s="26" t="str">
        <f t="shared" si="10"/>
        <v>x &lt; 2 - Tolerable</v>
      </c>
      <c r="AD37" s="24"/>
      <c r="AE37" s="24"/>
      <c r="AF37" s="22"/>
      <c r="AG37" s="24"/>
      <c r="AH37" s="20" t="s">
        <v>143</v>
      </c>
      <c r="AJ37" s="22">
        <f t="shared" ref="AJ37:AJ62" si="13">AJ36</f>
        <v>0</v>
      </c>
      <c r="AK37" s="22" t="str">
        <f t="shared" si="12"/>
        <v>&lt;Report Delivery Date&gt;</v>
      </c>
      <c r="AN37" s="22"/>
      <c r="AO37" s="24" t="str">
        <f>Findings!K411</f>
        <v>-</v>
      </c>
      <c r="AP37" s="24" t="str">
        <f>Findings!L411</f>
        <v>-</v>
      </c>
      <c r="AQ37" s="22" t="s">
        <v>14</v>
      </c>
    </row>
    <row r="38" spans="1:43" ht="14.25" x14ac:dyDescent="0.2">
      <c r="A38" s="19" t="str">
        <f t="shared" si="11"/>
        <v>Route in QC</v>
      </c>
      <c r="B38" s="20"/>
      <c r="C38" s="20"/>
      <c r="D38" s="21"/>
      <c r="E38" s="20"/>
      <c r="F38" s="20"/>
      <c r="G38" s="20"/>
      <c r="H38" s="22" t="s">
        <v>14</v>
      </c>
      <c r="I38" s="23" t="s">
        <v>14</v>
      </c>
      <c r="J38" s="20" t="str">
        <f t="shared" si="7"/>
        <v>Fluid</v>
      </c>
      <c r="K38" s="20" t="s">
        <v>140</v>
      </c>
      <c r="L38" s="20" t="s">
        <v>138</v>
      </c>
      <c r="M38" s="24"/>
      <c r="N38" s="22" t="str">
        <f>Findings!B423</f>
        <v>Vulnerability 36</v>
      </c>
      <c r="O38" s="22" t="str">
        <f>Findings!C423</f>
        <v>-</v>
      </c>
      <c r="P38" s="24" t="str">
        <f>Findings!D423</f>
        <v>-</v>
      </c>
      <c r="Q38" s="22"/>
      <c r="R38" s="22"/>
      <c r="S38" s="22"/>
      <c r="T38" s="22" t="s">
        <v>141</v>
      </c>
      <c r="U38" s="22" t="s">
        <v>142</v>
      </c>
      <c r="V38" s="22" t="str">
        <f>Findings!F434</f>
        <v>(AV:/AC:/PR:/UI:/S:/C:/I:/A:/E:/RL:/RC:)</v>
      </c>
      <c r="W38" s="22" t="e">
        <f>Findings!H423</f>
        <v>#VALUE!</v>
      </c>
      <c r="X38" s="22" t="e">
        <f t="shared" si="8"/>
        <v>#VALUE!</v>
      </c>
      <c r="Y38" s="24">
        <f>Findings!I423</f>
        <v>0</v>
      </c>
      <c r="Z38" s="22"/>
      <c r="AA38" s="22"/>
      <c r="AB38" s="25">
        <f t="shared" si="9"/>
        <v>0</v>
      </c>
      <c r="AC38" s="26" t="str">
        <f t="shared" si="10"/>
        <v>x &lt; 2 - Tolerable</v>
      </c>
      <c r="AD38" s="24"/>
      <c r="AE38" s="24"/>
      <c r="AF38" s="22"/>
      <c r="AG38" s="24"/>
      <c r="AH38" s="20" t="s">
        <v>143</v>
      </c>
      <c r="AJ38" s="22">
        <f t="shared" si="13"/>
        <v>0</v>
      </c>
      <c r="AK38" s="22" t="str">
        <f t="shared" si="12"/>
        <v>&lt;Report Delivery Date&gt;</v>
      </c>
      <c r="AN38" s="22"/>
      <c r="AO38" s="24" t="str">
        <f>Findings!K423</f>
        <v>-</v>
      </c>
      <c r="AP38" s="24" t="str">
        <f>Findings!L423</f>
        <v>-</v>
      </c>
      <c r="AQ38" s="22" t="s">
        <v>14</v>
      </c>
    </row>
    <row r="39" spans="1:43" ht="14.25" x14ac:dyDescent="0.2">
      <c r="A39" s="19" t="str">
        <f t="shared" si="11"/>
        <v>Route in QC</v>
      </c>
      <c r="B39" s="20"/>
      <c r="C39" s="20"/>
      <c r="D39" s="21"/>
      <c r="E39" s="20"/>
      <c r="F39" s="20"/>
      <c r="G39" s="20"/>
      <c r="H39" s="22" t="s">
        <v>14</v>
      </c>
      <c r="I39" s="23" t="s">
        <v>14</v>
      </c>
      <c r="J39" s="20" t="str">
        <f t="shared" si="7"/>
        <v>Fluid</v>
      </c>
      <c r="K39" s="20" t="s">
        <v>140</v>
      </c>
      <c r="L39" s="20" t="s">
        <v>138</v>
      </c>
      <c r="M39" s="24"/>
      <c r="N39" s="22" t="str">
        <f>Findings!B435</f>
        <v>Vulnerability 37</v>
      </c>
      <c r="O39" s="22" t="str">
        <f>Findings!C435</f>
        <v>-</v>
      </c>
      <c r="P39" s="24" t="str">
        <f>Findings!D435</f>
        <v>-</v>
      </c>
      <c r="Q39" s="22"/>
      <c r="R39" s="22"/>
      <c r="S39" s="22"/>
      <c r="T39" s="22" t="s">
        <v>141</v>
      </c>
      <c r="U39" s="22" t="s">
        <v>142</v>
      </c>
      <c r="V39" s="22" t="str">
        <f>Findings!F446</f>
        <v>(AV:/AC:/PR:/UI:/S:/C:/I:/A:/E:/RL:/RC:)</v>
      </c>
      <c r="W39" s="22" t="e">
        <f>Findings!H435</f>
        <v>#VALUE!</v>
      </c>
      <c r="X39" s="22" t="e">
        <f t="shared" si="8"/>
        <v>#VALUE!</v>
      </c>
      <c r="Y39" s="24">
        <f>Findings!I435</f>
        <v>0</v>
      </c>
      <c r="Z39" s="22"/>
      <c r="AA39" s="22"/>
      <c r="AB39" s="25">
        <f t="shared" si="9"/>
        <v>0</v>
      </c>
      <c r="AC39" s="26" t="str">
        <f t="shared" si="10"/>
        <v>x &lt; 2 - Tolerable</v>
      </c>
      <c r="AD39" s="24"/>
      <c r="AE39" s="24"/>
      <c r="AF39" s="22"/>
      <c r="AG39" s="24"/>
      <c r="AH39" s="20" t="s">
        <v>143</v>
      </c>
      <c r="AJ39" s="22">
        <f t="shared" si="13"/>
        <v>0</v>
      </c>
      <c r="AK39" s="22" t="str">
        <f t="shared" si="12"/>
        <v>&lt;Report Delivery Date&gt;</v>
      </c>
      <c r="AN39" s="22"/>
      <c r="AO39" s="24" t="str">
        <f>Findings!K435</f>
        <v>-</v>
      </c>
      <c r="AP39" s="24" t="str">
        <f>Findings!L435</f>
        <v>-</v>
      </c>
      <c r="AQ39" s="22" t="s">
        <v>14</v>
      </c>
    </row>
    <row r="40" spans="1:43" ht="14.25" x14ac:dyDescent="0.2">
      <c r="A40" s="19" t="str">
        <f t="shared" si="11"/>
        <v>Route in QC</v>
      </c>
      <c r="B40" s="20"/>
      <c r="C40" s="20"/>
      <c r="D40" s="21"/>
      <c r="E40" s="20"/>
      <c r="F40" s="20"/>
      <c r="G40" s="20"/>
      <c r="H40" s="22" t="s">
        <v>14</v>
      </c>
      <c r="I40" s="23" t="s">
        <v>14</v>
      </c>
      <c r="J40" s="20" t="str">
        <f t="shared" si="7"/>
        <v>Fluid</v>
      </c>
      <c r="K40" s="20" t="s">
        <v>140</v>
      </c>
      <c r="L40" s="20" t="s">
        <v>138</v>
      </c>
      <c r="M40" s="24"/>
      <c r="N40" s="22" t="str">
        <f>Findings!B447</f>
        <v>Vulnerability 38</v>
      </c>
      <c r="O40" s="22" t="str">
        <f>Findings!C447</f>
        <v>-</v>
      </c>
      <c r="P40" s="24" t="str">
        <f>Findings!D447</f>
        <v>-</v>
      </c>
      <c r="Q40" s="22"/>
      <c r="R40" s="22"/>
      <c r="S40" s="22"/>
      <c r="T40" s="22" t="s">
        <v>141</v>
      </c>
      <c r="U40" s="22" t="s">
        <v>142</v>
      </c>
      <c r="V40" s="22" t="str">
        <f>Findings!F458</f>
        <v>(AV:/AC:/PR:/UI:/S:/C:/I:/A:/E:/RL:/RC:)</v>
      </c>
      <c r="W40" s="22" t="e">
        <f>Findings!H447</f>
        <v>#VALUE!</v>
      </c>
      <c r="X40" s="22" t="e">
        <f t="shared" si="8"/>
        <v>#VALUE!</v>
      </c>
      <c r="Y40" s="24">
        <f>Findings!I447</f>
        <v>0</v>
      </c>
      <c r="Z40" s="22"/>
      <c r="AA40" s="22"/>
      <c r="AB40" s="25">
        <f t="shared" si="9"/>
        <v>0</v>
      </c>
      <c r="AC40" s="26" t="str">
        <f t="shared" si="10"/>
        <v>x &lt; 2 - Tolerable</v>
      </c>
      <c r="AD40" s="24"/>
      <c r="AE40" s="24"/>
      <c r="AF40" s="22"/>
      <c r="AG40" s="24"/>
      <c r="AH40" s="20" t="s">
        <v>143</v>
      </c>
      <c r="AJ40" s="22">
        <f t="shared" si="13"/>
        <v>0</v>
      </c>
      <c r="AK40" s="22" t="str">
        <f t="shared" si="12"/>
        <v>&lt;Report Delivery Date&gt;</v>
      </c>
      <c r="AN40" s="22"/>
      <c r="AO40" s="24" t="str">
        <f>Findings!K447</f>
        <v>-</v>
      </c>
      <c r="AP40" s="24" t="str">
        <f>Findings!L447</f>
        <v>-</v>
      </c>
      <c r="AQ40" s="22" t="s">
        <v>14</v>
      </c>
    </row>
    <row r="41" spans="1:43" ht="14.25" x14ac:dyDescent="0.2">
      <c r="A41" s="19" t="str">
        <f t="shared" si="11"/>
        <v>Route in QC</v>
      </c>
      <c r="B41" s="20"/>
      <c r="C41" s="20"/>
      <c r="D41" s="21"/>
      <c r="E41" s="20"/>
      <c r="F41" s="20"/>
      <c r="G41" s="20"/>
      <c r="H41" s="22" t="s">
        <v>14</v>
      </c>
      <c r="I41" s="23" t="s">
        <v>14</v>
      </c>
      <c r="J41" s="20" t="str">
        <f t="shared" si="7"/>
        <v>Fluid</v>
      </c>
      <c r="K41" s="20" t="s">
        <v>140</v>
      </c>
      <c r="L41" s="20" t="s">
        <v>138</v>
      </c>
      <c r="M41" s="24"/>
      <c r="N41" s="22" t="str">
        <f>Findings!B459</f>
        <v>Vulnerability 39</v>
      </c>
      <c r="O41" s="22" t="str">
        <f>Findings!C459</f>
        <v>-</v>
      </c>
      <c r="P41" s="24" t="str">
        <f>Findings!D459</f>
        <v>-</v>
      </c>
      <c r="Q41" s="22"/>
      <c r="R41" s="22"/>
      <c r="S41" s="22"/>
      <c r="T41" s="22" t="s">
        <v>141</v>
      </c>
      <c r="U41" s="22" t="s">
        <v>142</v>
      </c>
      <c r="V41" s="22" t="str">
        <f>Findings!F470</f>
        <v>(AV:/AC:/PR:/UI:/S:/C:/I:/A:/E:/RL:/RC:)</v>
      </c>
      <c r="W41" s="22" t="e">
        <f>Findings!H459</f>
        <v>#VALUE!</v>
      </c>
      <c r="X41" s="22" t="e">
        <f t="shared" si="8"/>
        <v>#VALUE!</v>
      </c>
      <c r="Y41" s="24">
        <f>Findings!I459</f>
        <v>0</v>
      </c>
      <c r="Z41" s="22"/>
      <c r="AA41" s="22"/>
      <c r="AB41" s="25">
        <f t="shared" si="9"/>
        <v>0</v>
      </c>
      <c r="AC41" s="26" t="str">
        <f t="shared" si="10"/>
        <v>x &lt; 2 - Tolerable</v>
      </c>
      <c r="AD41" s="24"/>
      <c r="AE41" s="24"/>
      <c r="AF41" s="22"/>
      <c r="AG41" s="24"/>
      <c r="AH41" s="20" t="s">
        <v>143</v>
      </c>
      <c r="AJ41" s="22">
        <f t="shared" si="13"/>
        <v>0</v>
      </c>
      <c r="AK41" s="22" t="str">
        <f t="shared" si="12"/>
        <v>&lt;Report Delivery Date&gt;</v>
      </c>
      <c r="AN41" s="22"/>
      <c r="AO41" s="24" t="str">
        <f>Findings!K459</f>
        <v>-</v>
      </c>
      <c r="AP41" s="24" t="str">
        <f>Findings!L459</f>
        <v>-</v>
      </c>
      <c r="AQ41" s="22" t="s">
        <v>14</v>
      </c>
    </row>
    <row r="42" spans="1:43" ht="14.25" x14ac:dyDescent="0.2">
      <c r="A42" s="19" t="str">
        <f t="shared" si="11"/>
        <v>Route in QC</v>
      </c>
      <c r="B42" s="20"/>
      <c r="C42" s="20"/>
      <c r="D42" s="21"/>
      <c r="E42" s="20"/>
      <c r="F42" s="20"/>
      <c r="G42" s="20"/>
      <c r="H42" s="22" t="s">
        <v>14</v>
      </c>
      <c r="I42" s="23" t="s">
        <v>14</v>
      </c>
      <c r="J42" s="20" t="str">
        <f t="shared" si="7"/>
        <v>Fluid</v>
      </c>
      <c r="K42" s="20" t="s">
        <v>140</v>
      </c>
      <c r="L42" s="20" t="s">
        <v>138</v>
      </c>
      <c r="M42" s="24"/>
      <c r="N42" s="22" t="str">
        <f>Findings!B471</f>
        <v>Vulnerability 40</v>
      </c>
      <c r="O42" s="22" t="str">
        <f>Findings!C471</f>
        <v>-</v>
      </c>
      <c r="P42" s="24" t="str">
        <f>Findings!D471</f>
        <v>-</v>
      </c>
      <c r="Q42" s="22"/>
      <c r="R42" s="22"/>
      <c r="S42" s="22"/>
      <c r="T42" s="22" t="s">
        <v>141</v>
      </c>
      <c r="U42" s="22" t="s">
        <v>142</v>
      </c>
      <c r="V42" s="22" t="str">
        <f>Findings!F482</f>
        <v>(AV:/AC:/PR:/UI:/S:/C:/I:/A:/E:/RL:/RC:)</v>
      </c>
      <c r="W42" s="22" t="e">
        <f>Findings!H471</f>
        <v>#VALUE!</v>
      </c>
      <c r="X42" s="22" t="e">
        <f t="shared" si="8"/>
        <v>#VALUE!</v>
      </c>
      <c r="Y42" s="24">
        <f>Findings!I471</f>
        <v>0</v>
      </c>
      <c r="Z42" s="22"/>
      <c r="AA42" s="22"/>
      <c r="AB42" s="25">
        <f t="shared" si="9"/>
        <v>0</v>
      </c>
      <c r="AC42" s="26" t="str">
        <f t="shared" si="10"/>
        <v>x &lt; 2 - Tolerable</v>
      </c>
      <c r="AD42" s="24"/>
      <c r="AE42" s="24"/>
      <c r="AF42" s="22"/>
      <c r="AG42" s="24"/>
      <c r="AH42" s="20" t="s">
        <v>143</v>
      </c>
      <c r="AJ42" s="22">
        <f t="shared" si="13"/>
        <v>0</v>
      </c>
      <c r="AK42" s="22" t="str">
        <f t="shared" si="12"/>
        <v>&lt;Report Delivery Date&gt;</v>
      </c>
      <c r="AN42" s="22"/>
      <c r="AO42" s="24" t="str">
        <f>Findings!K471</f>
        <v>-</v>
      </c>
      <c r="AP42" s="24" t="str">
        <f>Findings!L471</f>
        <v>-</v>
      </c>
      <c r="AQ42" s="22" t="s">
        <v>14</v>
      </c>
    </row>
    <row r="43" spans="1:43" ht="14.25" x14ac:dyDescent="0.2">
      <c r="A43" s="19" t="str">
        <f t="shared" si="11"/>
        <v>Route in QC</v>
      </c>
      <c r="B43" s="20"/>
      <c r="C43" s="20"/>
      <c r="D43" s="21"/>
      <c r="E43" s="20"/>
      <c r="F43" s="20"/>
      <c r="G43" s="20"/>
      <c r="H43" s="22" t="s">
        <v>14</v>
      </c>
      <c r="I43" s="23" t="s">
        <v>14</v>
      </c>
      <c r="J43" s="20" t="str">
        <f t="shared" si="7"/>
        <v>Fluid</v>
      </c>
      <c r="K43" s="20" t="s">
        <v>140</v>
      </c>
      <c r="L43" s="20" t="s">
        <v>138</v>
      </c>
      <c r="M43" s="24"/>
      <c r="N43" s="22" t="str">
        <f>Findings!B483</f>
        <v>Vulnerability 41</v>
      </c>
      <c r="O43" s="22" t="str">
        <f>Findings!C483</f>
        <v>-</v>
      </c>
      <c r="P43" s="24" t="str">
        <f>Findings!D483</f>
        <v>-</v>
      </c>
      <c r="Q43" s="22"/>
      <c r="R43" s="22"/>
      <c r="S43" s="22"/>
      <c r="T43" s="22" t="s">
        <v>141</v>
      </c>
      <c r="U43" s="22" t="s">
        <v>142</v>
      </c>
      <c r="V43" s="22" t="str">
        <f>Findings!F494</f>
        <v>(AV:/AC:/PR:/UI:/S:/C:/I:/A:/E:/RL:/RC:)</v>
      </c>
      <c r="W43" s="22" t="e">
        <f>Findings!H483</f>
        <v>#VALUE!</v>
      </c>
      <c r="X43" s="22" t="e">
        <f t="shared" si="8"/>
        <v>#VALUE!</v>
      </c>
      <c r="Y43" s="24">
        <f>Findings!I483</f>
        <v>0</v>
      </c>
      <c r="Z43" s="22"/>
      <c r="AA43" s="22"/>
      <c r="AB43" s="25">
        <f t="shared" si="9"/>
        <v>0</v>
      </c>
      <c r="AC43" s="26" t="str">
        <f t="shared" si="10"/>
        <v>x &lt; 2 - Tolerable</v>
      </c>
      <c r="AD43" s="24"/>
      <c r="AE43" s="24"/>
      <c r="AF43" s="22"/>
      <c r="AG43" s="24"/>
      <c r="AH43" s="20" t="s">
        <v>143</v>
      </c>
      <c r="AJ43" s="22">
        <f t="shared" si="13"/>
        <v>0</v>
      </c>
      <c r="AK43" s="22" t="str">
        <f t="shared" si="12"/>
        <v>&lt;Report Delivery Date&gt;</v>
      </c>
      <c r="AN43" s="22"/>
      <c r="AO43" s="24" t="str">
        <f>Findings!K483</f>
        <v>-</v>
      </c>
      <c r="AP43" s="24" t="str">
        <f>Findings!L483</f>
        <v>-</v>
      </c>
      <c r="AQ43" s="22" t="s">
        <v>14</v>
      </c>
    </row>
    <row r="44" spans="1:43" ht="14.25" x14ac:dyDescent="0.2">
      <c r="A44" s="19" t="str">
        <f t="shared" si="11"/>
        <v>Route in QC</v>
      </c>
      <c r="B44" s="20"/>
      <c r="C44" s="20"/>
      <c r="D44" s="21"/>
      <c r="E44" s="20"/>
      <c r="F44" s="20"/>
      <c r="G44" s="20"/>
      <c r="H44" s="22" t="s">
        <v>14</v>
      </c>
      <c r="I44" s="23" t="s">
        <v>14</v>
      </c>
      <c r="J44" s="20" t="str">
        <f t="shared" si="7"/>
        <v>Fluid</v>
      </c>
      <c r="K44" s="20" t="s">
        <v>140</v>
      </c>
      <c r="L44" s="20" t="s">
        <v>138</v>
      </c>
      <c r="M44" s="24"/>
      <c r="N44" s="22" t="str">
        <f>Findings!B495</f>
        <v>Vulnerability 42</v>
      </c>
      <c r="O44" s="22" t="str">
        <f>Findings!C495</f>
        <v>-</v>
      </c>
      <c r="P44" s="24" t="str">
        <f>Findings!D495</f>
        <v>-</v>
      </c>
      <c r="Q44" s="22"/>
      <c r="R44" s="22"/>
      <c r="S44" s="22"/>
      <c r="T44" s="22" t="s">
        <v>141</v>
      </c>
      <c r="U44" s="22" t="s">
        <v>142</v>
      </c>
      <c r="V44" s="22" t="str">
        <f>Findings!F506</f>
        <v>(AV:/AC:/PR:/UI:/S:/C:/I:/A:/E:/RL:/RC:)</v>
      </c>
      <c r="W44" s="22" t="e">
        <f>Findings!H495</f>
        <v>#VALUE!</v>
      </c>
      <c r="X44" s="22" t="e">
        <f t="shared" si="8"/>
        <v>#VALUE!</v>
      </c>
      <c r="Y44" s="24">
        <f>Findings!I495</f>
        <v>0</v>
      </c>
      <c r="Z44" s="22"/>
      <c r="AA44" s="22"/>
      <c r="AB44" s="25">
        <f t="shared" si="9"/>
        <v>0</v>
      </c>
      <c r="AC44" s="26" t="str">
        <f t="shared" si="10"/>
        <v>x &lt; 2 - Tolerable</v>
      </c>
      <c r="AD44" s="24"/>
      <c r="AE44" s="24"/>
      <c r="AF44" s="22"/>
      <c r="AG44" s="24"/>
      <c r="AH44" s="20" t="s">
        <v>143</v>
      </c>
      <c r="AJ44" s="22">
        <f t="shared" si="13"/>
        <v>0</v>
      </c>
      <c r="AK44" s="22" t="str">
        <f t="shared" si="12"/>
        <v>&lt;Report Delivery Date&gt;</v>
      </c>
      <c r="AN44" s="22"/>
      <c r="AO44" s="24" t="str">
        <f>Findings!K495</f>
        <v>-</v>
      </c>
      <c r="AP44" s="24" t="str">
        <f>Findings!L495</f>
        <v>-</v>
      </c>
      <c r="AQ44" s="22" t="s">
        <v>14</v>
      </c>
    </row>
    <row r="45" spans="1:43" ht="14.25" x14ac:dyDescent="0.2">
      <c r="A45" s="19" t="str">
        <f t="shared" si="11"/>
        <v>Route in QC</v>
      </c>
      <c r="B45" s="20"/>
      <c r="C45" s="20"/>
      <c r="D45" s="21"/>
      <c r="E45" s="20"/>
      <c r="F45" s="20"/>
      <c r="G45" s="20"/>
      <c r="H45" s="22" t="s">
        <v>14</v>
      </c>
      <c r="I45" s="23" t="s">
        <v>14</v>
      </c>
      <c r="J45" s="20" t="str">
        <f t="shared" si="7"/>
        <v>Fluid</v>
      </c>
      <c r="K45" s="20" t="s">
        <v>140</v>
      </c>
      <c r="L45" s="20" t="s">
        <v>138</v>
      </c>
      <c r="M45" s="24"/>
      <c r="N45" s="22" t="str">
        <f>Findings!B507</f>
        <v>Vulnerability 43</v>
      </c>
      <c r="O45" s="22" t="str">
        <f>Findings!C507</f>
        <v>-</v>
      </c>
      <c r="P45" s="24" t="str">
        <f>Findings!D507</f>
        <v>-</v>
      </c>
      <c r="Q45" s="22"/>
      <c r="R45" s="22"/>
      <c r="S45" s="22"/>
      <c r="T45" s="22" t="s">
        <v>141</v>
      </c>
      <c r="U45" s="22" t="s">
        <v>142</v>
      </c>
      <c r="V45" s="22" t="str">
        <f>Findings!F518</f>
        <v>(AV:/AC:/PR:/UI:/S:/C:/I:/A:/E:/RL:/RC:)</v>
      </c>
      <c r="W45" s="22" t="e">
        <f>Findings!H507</f>
        <v>#VALUE!</v>
      </c>
      <c r="X45" s="22" t="e">
        <f t="shared" si="8"/>
        <v>#VALUE!</v>
      </c>
      <c r="Y45" s="24">
        <f>Findings!I507</f>
        <v>0</v>
      </c>
      <c r="Z45" s="22"/>
      <c r="AA45" s="22"/>
      <c r="AB45" s="25">
        <f t="shared" si="9"/>
        <v>0</v>
      </c>
      <c r="AC45" s="26" t="str">
        <f t="shared" si="10"/>
        <v>x &lt; 2 - Tolerable</v>
      </c>
      <c r="AD45" s="24"/>
      <c r="AE45" s="24"/>
      <c r="AF45" s="22"/>
      <c r="AG45" s="24"/>
      <c r="AH45" s="20" t="s">
        <v>143</v>
      </c>
      <c r="AJ45" s="22">
        <f t="shared" si="13"/>
        <v>0</v>
      </c>
      <c r="AK45" s="22" t="str">
        <f t="shared" si="12"/>
        <v>&lt;Report Delivery Date&gt;</v>
      </c>
      <c r="AN45" s="22"/>
      <c r="AO45" s="24" t="str">
        <f>Findings!K507</f>
        <v>-</v>
      </c>
      <c r="AP45" s="24" t="str">
        <f>Findings!L507</f>
        <v>-</v>
      </c>
      <c r="AQ45" s="22" t="s">
        <v>14</v>
      </c>
    </row>
    <row r="46" spans="1:43" ht="14.25" x14ac:dyDescent="0.2">
      <c r="A46" s="19" t="str">
        <f t="shared" si="11"/>
        <v>Route in QC</v>
      </c>
      <c r="B46" s="20"/>
      <c r="C46" s="20"/>
      <c r="D46" s="21"/>
      <c r="E46" s="20"/>
      <c r="F46" s="20"/>
      <c r="G46" s="20"/>
      <c r="H46" s="22" t="s">
        <v>14</v>
      </c>
      <c r="I46" s="23" t="s">
        <v>14</v>
      </c>
      <c r="J46" s="20" t="str">
        <f t="shared" ref="J46:J62" si="14">J45</f>
        <v>Fluid</v>
      </c>
      <c r="K46" s="20" t="s">
        <v>140</v>
      </c>
      <c r="L46" s="20" t="s">
        <v>138</v>
      </c>
      <c r="M46" s="24"/>
      <c r="N46" s="22" t="str">
        <f>Findings!B519</f>
        <v>Vulnerability 44</v>
      </c>
      <c r="O46" s="22" t="str">
        <f>Findings!C519</f>
        <v>-</v>
      </c>
      <c r="P46" s="24" t="str">
        <f>Findings!D519</f>
        <v>-</v>
      </c>
      <c r="Q46" s="22"/>
      <c r="R46" s="22"/>
      <c r="S46" s="22"/>
      <c r="T46" s="22" t="s">
        <v>141</v>
      </c>
      <c r="U46" s="22" t="s">
        <v>142</v>
      </c>
      <c r="V46" s="22" t="str">
        <f>Findings!F530</f>
        <v>(AV:/AC:/PR:/UI:/S:/C:/I:/A:/E:/RL:/RC:)</v>
      </c>
      <c r="W46" s="22" t="e">
        <f>Findings!H519</f>
        <v>#VALUE!</v>
      </c>
      <c r="X46" s="22" t="e">
        <f t="shared" si="8"/>
        <v>#VALUE!</v>
      </c>
      <c r="Y46" s="24">
        <f>Findings!I519</f>
        <v>0</v>
      </c>
      <c r="Z46" s="22"/>
      <c r="AA46" s="22"/>
      <c r="AB46" s="25">
        <f t="shared" si="9"/>
        <v>0</v>
      </c>
      <c r="AC46" s="26" t="str">
        <f t="shared" si="10"/>
        <v>x &lt; 2 - Tolerable</v>
      </c>
      <c r="AD46" s="24"/>
      <c r="AE46" s="24"/>
      <c r="AF46" s="22"/>
      <c r="AG46" s="24"/>
      <c r="AH46" s="20" t="s">
        <v>143</v>
      </c>
      <c r="AJ46" s="22">
        <f t="shared" si="13"/>
        <v>0</v>
      </c>
      <c r="AK46" s="22" t="str">
        <f t="shared" si="12"/>
        <v>&lt;Report Delivery Date&gt;</v>
      </c>
      <c r="AN46" s="22"/>
      <c r="AO46" s="24" t="str">
        <f>Findings!K519</f>
        <v>-</v>
      </c>
      <c r="AP46" s="24" t="str">
        <f>Findings!L519</f>
        <v>-</v>
      </c>
      <c r="AQ46" s="22" t="s">
        <v>14</v>
      </c>
    </row>
    <row r="47" spans="1:43" ht="14.25" x14ac:dyDescent="0.2">
      <c r="A47" s="19" t="str">
        <f t="shared" si="11"/>
        <v>Route in QC</v>
      </c>
      <c r="B47" s="20"/>
      <c r="C47" s="20"/>
      <c r="D47" s="21"/>
      <c r="E47" s="20"/>
      <c r="F47" s="20"/>
      <c r="G47" s="20"/>
      <c r="H47" s="22" t="s">
        <v>14</v>
      </c>
      <c r="I47" s="23" t="s">
        <v>14</v>
      </c>
      <c r="J47" s="20" t="str">
        <f t="shared" si="14"/>
        <v>Fluid</v>
      </c>
      <c r="K47" s="20" t="s">
        <v>140</v>
      </c>
      <c r="L47" s="20" t="s">
        <v>138</v>
      </c>
      <c r="M47" s="24"/>
      <c r="N47" s="22" t="str">
        <f>Findings!B531</f>
        <v>Vulnerability 45</v>
      </c>
      <c r="O47" s="22" t="str">
        <f>Findings!C531</f>
        <v>-</v>
      </c>
      <c r="P47" s="24" t="str">
        <f>Findings!D531</f>
        <v>-</v>
      </c>
      <c r="Q47" s="22"/>
      <c r="R47" s="22"/>
      <c r="S47" s="22"/>
      <c r="T47" s="22" t="s">
        <v>141</v>
      </c>
      <c r="U47" s="22" t="s">
        <v>142</v>
      </c>
      <c r="V47" s="22" t="str">
        <f>Findings!F542</f>
        <v>(AV:/AC:/PR:/UI:/S:/C:/I:/A:/E:/RL:/RC:)</v>
      </c>
      <c r="W47" s="22" t="e">
        <f>Findings!H531</f>
        <v>#VALUE!</v>
      </c>
      <c r="X47" s="22" t="e">
        <f t="shared" si="8"/>
        <v>#VALUE!</v>
      </c>
      <c r="Y47" s="24">
        <f>Findings!I531</f>
        <v>0</v>
      </c>
      <c r="Z47" s="22"/>
      <c r="AA47" s="22"/>
      <c r="AB47" s="25">
        <f t="shared" si="9"/>
        <v>0</v>
      </c>
      <c r="AC47" s="26" t="str">
        <f t="shared" si="10"/>
        <v>x &lt; 2 - Tolerable</v>
      </c>
      <c r="AD47" s="24"/>
      <c r="AE47" s="24"/>
      <c r="AF47" s="22"/>
      <c r="AG47" s="24"/>
      <c r="AH47" s="20" t="s">
        <v>143</v>
      </c>
      <c r="AJ47" s="22">
        <f t="shared" si="13"/>
        <v>0</v>
      </c>
      <c r="AK47" s="22" t="str">
        <f t="shared" si="12"/>
        <v>&lt;Report Delivery Date&gt;</v>
      </c>
      <c r="AN47" s="22"/>
      <c r="AO47" s="24" t="str">
        <f>Findings!K531</f>
        <v>-</v>
      </c>
      <c r="AP47" s="24" t="str">
        <f>Findings!L531</f>
        <v>-</v>
      </c>
      <c r="AQ47" s="22" t="s">
        <v>14</v>
      </c>
    </row>
    <row r="48" spans="1:43" ht="14.25" x14ac:dyDescent="0.2">
      <c r="A48" s="19" t="str">
        <f t="shared" si="11"/>
        <v>Route in QC</v>
      </c>
      <c r="B48" s="20"/>
      <c r="C48" s="20"/>
      <c r="D48" s="21"/>
      <c r="E48" s="20"/>
      <c r="F48" s="20"/>
      <c r="G48" s="20"/>
      <c r="H48" s="22" t="s">
        <v>14</v>
      </c>
      <c r="I48" s="23" t="s">
        <v>14</v>
      </c>
      <c r="J48" s="20" t="str">
        <f t="shared" si="14"/>
        <v>Fluid</v>
      </c>
      <c r="K48" s="20" t="s">
        <v>140</v>
      </c>
      <c r="L48" s="20" t="s">
        <v>138</v>
      </c>
      <c r="M48" s="24"/>
      <c r="N48" s="22" t="str">
        <f>Findings!B543</f>
        <v>Vulnerability 46</v>
      </c>
      <c r="O48" s="22" t="str">
        <f>Findings!C543</f>
        <v>-</v>
      </c>
      <c r="P48" s="24" t="str">
        <f>Findings!D543</f>
        <v>-</v>
      </c>
      <c r="Q48" s="22"/>
      <c r="R48" s="22"/>
      <c r="S48" s="22"/>
      <c r="T48" s="22" t="s">
        <v>141</v>
      </c>
      <c r="U48" s="22" t="s">
        <v>142</v>
      </c>
      <c r="V48" s="22" t="str">
        <f>Findings!F554</f>
        <v>(AV:/AC:/PR:/UI:/S:/C:/I:/A:/E:/RL:/RC:)</v>
      </c>
      <c r="W48" s="22" t="e">
        <f>Findings!H543</f>
        <v>#VALUE!</v>
      </c>
      <c r="X48" s="22" t="e">
        <f t="shared" si="8"/>
        <v>#VALUE!</v>
      </c>
      <c r="Y48" s="24">
        <f>Findings!I543</f>
        <v>0</v>
      </c>
      <c r="Z48" s="22"/>
      <c r="AA48" s="22"/>
      <c r="AB48" s="25">
        <f t="shared" si="9"/>
        <v>0</v>
      </c>
      <c r="AC48" s="26" t="str">
        <f t="shared" si="10"/>
        <v>x &lt; 2 - Tolerable</v>
      </c>
      <c r="AD48" s="24"/>
      <c r="AE48" s="24"/>
      <c r="AF48" s="22"/>
      <c r="AG48" s="24"/>
      <c r="AH48" s="20" t="s">
        <v>143</v>
      </c>
      <c r="AJ48" s="22">
        <f t="shared" si="13"/>
        <v>0</v>
      </c>
      <c r="AK48" s="22" t="str">
        <f t="shared" si="12"/>
        <v>&lt;Report Delivery Date&gt;</v>
      </c>
      <c r="AN48" s="22"/>
      <c r="AO48" s="24" t="str">
        <f>Findings!K543</f>
        <v>-</v>
      </c>
      <c r="AP48" s="24" t="str">
        <f>Findings!L543</f>
        <v>-</v>
      </c>
      <c r="AQ48" s="22" t="s">
        <v>14</v>
      </c>
    </row>
    <row r="49" spans="1:43" ht="14.25" x14ac:dyDescent="0.2">
      <c r="A49" s="19" t="str">
        <f t="shared" si="11"/>
        <v>Route in QC</v>
      </c>
      <c r="B49" s="20"/>
      <c r="C49" s="20"/>
      <c r="D49" s="21"/>
      <c r="E49" s="20"/>
      <c r="F49" s="20"/>
      <c r="G49" s="20"/>
      <c r="H49" s="22" t="s">
        <v>14</v>
      </c>
      <c r="I49" s="23" t="s">
        <v>14</v>
      </c>
      <c r="J49" s="20" t="str">
        <f t="shared" si="14"/>
        <v>Fluid</v>
      </c>
      <c r="K49" s="20" t="s">
        <v>140</v>
      </c>
      <c r="L49" s="20" t="s">
        <v>138</v>
      </c>
      <c r="M49" s="24"/>
      <c r="N49" s="22" t="str">
        <f>Findings!B555</f>
        <v>Vulnerability 47</v>
      </c>
      <c r="O49" s="22" t="str">
        <f>Findings!C555</f>
        <v>-</v>
      </c>
      <c r="P49" s="24" t="str">
        <f>Findings!D555</f>
        <v>-</v>
      </c>
      <c r="Q49" s="22"/>
      <c r="R49" s="22"/>
      <c r="S49" s="22"/>
      <c r="T49" s="22" t="s">
        <v>141</v>
      </c>
      <c r="U49" s="22" t="s">
        <v>142</v>
      </c>
      <c r="V49" s="22" t="str">
        <f>Findings!F566</f>
        <v>(AV:/AC:/PR:/UI:/S:/C:/I:/A:/E:/RL:/RC:)</v>
      </c>
      <c r="W49" s="22" t="e">
        <f>Findings!H555</f>
        <v>#VALUE!</v>
      </c>
      <c r="X49" s="22" t="e">
        <f t="shared" si="8"/>
        <v>#VALUE!</v>
      </c>
      <c r="Y49" s="24">
        <f>Findings!I555</f>
        <v>0</v>
      </c>
      <c r="Z49" s="22"/>
      <c r="AA49" s="22"/>
      <c r="AB49" s="25">
        <f t="shared" si="9"/>
        <v>0</v>
      </c>
      <c r="AC49" s="26" t="str">
        <f t="shared" si="10"/>
        <v>x &lt; 2 - Tolerable</v>
      </c>
      <c r="AD49" s="24"/>
      <c r="AE49" s="24"/>
      <c r="AF49" s="22"/>
      <c r="AG49" s="24"/>
      <c r="AH49" s="20" t="s">
        <v>143</v>
      </c>
      <c r="AJ49" s="22">
        <f t="shared" si="13"/>
        <v>0</v>
      </c>
      <c r="AK49" s="22" t="str">
        <f t="shared" si="12"/>
        <v>&lt;Report Delivery Date&gt;</v>
      </c>
      <c r="AN49" s="22"/>
      <c r="AO49" s="24" t="str">
        <f>Findings!K555</f>
        <v>-</v>
      </c>
      <c r="AP49" s="24" t="str">
        <f>Findings!L555</f>
        <v>-</v>
      </c>
      <c r="AQ49" s="22" t="s">
        <v>14</v>
      </c>
    </row>
    <row r="50" spans="1:43" ht="14.25" x14ac:dyDescent="0.2">
      <c r="A50" s="19" t="str">
        <f t="shared" si="11"/>
        <v>Route in QC</v>
      </c>
      <c r="B50" s="20"/>
      <c r="C50" s="20"/>
      <c r="D50" s="21"/>
      <c r="E50" s="20"/>
      <c r="F50" s="20"/>
      <c r="G50" s="20"/>
      <c r="H50" s="22" t="s">
        <v>14</v>
      </c>
      <c r="I50" s="23" t="s">
        <v>14</v>
      </c>
      <c r="J50" s="20" t="str">
        <f t="shared" si="14"/>
        <v>Fluid</v>
      </c>
      <c r="K50" s="20" t="s">
        <v>140</v>
      </c>
      <c r="L50" s="20" t="s">
        <v>138</v>
      </c>
      <c r="M50" s="24"/>
      <c r="N50" s="22" t="str">
        <f>Findings!B567</f>
        <v>Vulnerability 48</v>
      </c>
      <c r="O50" s="22" t="str">
        <f>Findings!C567</f>
        <v>-</v>
      </c>
      <c r="P50" s="24" t="str">
        <f>Findings!D567</f>
        <v>-</v>
      </c>
      <c r="Q50" s="22"/>
      <c r="R50" s="22"/>
      <c r="S50" s="22"/>
      <c r="T50" s="22" t="s">
        <v>141</v>
      </c>
      <c r="U50" s="22" t="s">
        <v>142</v>
      </c>
      <c r="V50" s="22" t="str">
        <f>Findings!F578</f>
        <v>(AV:/AC:/PR:/UI:/S:/C:/I:/A:/E:/RL:/RC:)</v>
      </c>
      <c r="W50" s="22" t="e">
        <f>Findings!H567</f>
        <v>#VALUE!</v>
      </c>
      <c r="X50" s="22" t="e">
        <f t="shared" si="8"/>
        <v>#VALUE!</v>
      </c>
      <c r="Y50" s="24">
        <f>Findings!I567</f>
        <v>0</v>
      </c>
      <c r="Z50" s="22"/>
      <c r="AA50" s="22"/>
      <c r="AB50" s="25">
        <f t="shared" si="9"/>
        <v>0</v>
      </c>
      <c r="AC50" s="26" t="str">
        <f t="shared" si="10"/>
        <v>x &lt; 2 - Tolerable</v>
      </c>
      <c r="AD50" s="24"/>
      <c r="AE50" s="24"/>
      <c r="AF50" s="22"/>
      <c r="AG50" s="24"/>
      <c r="AH50" s="20" t="s">
        <v>143</v>
      </c>
      <c r="AJ50" s="22">
        <f t="shared" si="13"/>
        <v>0</v>
      </c>
      <c r="AK50" s="22" t="str">
        <f t="shared" si="12"/>
        <v>&lt;Report Delivery Date&gt;</v>
      </c>
      <c r="AN50" s="22"/>
      <c r="AO50" s="24" t="str">
        <f>Findings!K567</f>
        <v>-</v>
      </c>
      <c r="AP50" s="24" t="str">
        <f>Findings!L567</f>
        <v>-</v>
      </c>
      <c r="AQ50" s="22" t="s">
        <v>14</v>
      </c>
    </row>
    <row r="51" spans="1:43" ht="14.25" x14ac:dyDescent="0.2">
      <c r="A51" s="19" t="str">
        <f t="shared" si="11"/>
        <v>Route in QC</v>
      </c>
      <c r="B51" s="20"/>
      <c r="C51" s="20"/>
      <c r="D51" s="21"/>
      <c r="E51" s="20"/>
      <c r="F51" s="20"/>
      <c r="G51" s="20"/>
      <c r="H51" s="22" t="s">
        <v>14</v>
      </c>
      <c r="I51" s="23" t="s">
        <v>14</v>
      </c>
      <c r="J51" s="20" t="str">
        <f t="shared" si="14"/>
        <v>Fluid</v>
      </c>
      <c r="K51" s="20" t="s">
        <v>140</v>
      </c>
      <c r="L51" s="20" t="s">
        <v>138</v>
      </c>
      <c r="M51" s="24"/>
      <c r="N51" s="22" t="str">
        <f>Findings!B579</f>
        <v>Vulnerability 49</v>
      </c>
      <c r="O51" s="22" t="str">
        <f>Findings!C579</f>
        <v>-</v>
      </c>
      <c r="P51" s="24" t="str">
        <f>Findings!D579</f>
        <v>-</v>
      </c>
      <c r="Q51" s="22"/>
      <c r="R51" s="22"/>
      <c r="S51" s="22"/>
      <c r="T51" s="22" t="s">
        <v>141</v>
      </c>
      <c r="U51" s="22" t="s">
        <v>142</v>
      </c>
      <c r="V51" s="22" t="str">
        <f>Findings!F590</f>
        <v>(AV:/AC:/PR:/UI:/S:/C:/I:/A:/E:/RL:/RC:)</v>
      </c>
      <c r="W51" s="22" t="e">
        <f>Findings!H579</f>
        <v>#VALUE!</v>
      </c>
      <c r="X51" s="22" t="e">
        <f t="shared" si="8"/>
        <v>#VALUE!</v>
      </c>
      <c r="Y51" s="24">
        <f>Findings!I579</f>
        <v>0</v>
      </c>
      <c r="Z51" s="22"/>
      <c r="AA51" s="22"/>
      <c r="AB51" s="25">
        <f t="shared" si="9"/>
        <v>0</v>
      </c>
      <c r="AC51" s="26" t="str">
        <f t="shared" si="10"/>
        <v>x &lt; 2 - Tolerable</v>
      </c>
      <c r="AD51" s="24"/>
      <c r="AE51" s="24"/>
      <c r="AF51" s="22"/>
      <c r="AG51" s="24"/>
      <c r="AH51" s="20" t="s">
        <v>143</v>
      </c>
      <c r="AJ51" s="22">
        <f t="shared" si="13"/>
        <v>0</v>
      </c>
      <c r="AK51" s="22" t="str">
        <f t="shared" si="12"/>
        <v>&lt;Report Delivery Date&gt;</v>
      </c>
      <c r="AN51" s="22"/>
      <c r="AO51" s="24" t="str">
        <f>Findings!K579</f>
        <v>-</v>
      </c>
      <c r="AP51" s="24" t="str">
        <f>Findings!L579</f>
        <v>-</v>
      </c>
      <c r="AQ51" s="22" t="s">
        <v>14</v>
      </c>
    </row>
    <row r="52" spans="1:43" ht="14.25" x14ac:dyDescent="0.2">
      <c r="A52" s="19" t="str">
        <f t="shared" si="11"/>
        <v>Route in QC</v>
      </c>
      <c r="B52" s="20"/>
      <c r="C52" s="20"/>
      <c r="D52" s="21"/>
      <c r="E52" s="20"/>
      <c r="F52" s="20"/>
      <c r="G52" s="20"/>
      <c r="H52" s="22" t="s">
        <v>14</v>
      </c>
      <c r="I52" s="23" t="s">
        <v>14</v>
      </c>
      <c r="J52" s="20" t="str">
        <f t="shared" si="14"/>
        <v>Fluid</v>
      </c>
      <c r="K52" s="20" t="s">
        <v>140</v>
      </c>
      <c r="L52" s="20" t="s">
        <v>138</v>
      </c>
      <c r="M52" s="24"/>
      <c r="N52" s="22" t="str">
        <f>Findings!B591</f>
        <v>Vulnerability 50</v>
      </c>
      <c r="O52" s="22" t="str">
        <f>Findings!C591</f>
        <v>-</v>
      </c>
      <c r="P52" s="24" t="str">
        <f>Findings!D591</f>
        <v>-</v>
      </c>
      <c r="Q52" s="22"/>
      <c r="R52" s="22"/>
      <c r="S52" s="22"/>
      <c r="T52" s="22" t="s">
        <v>141</v>
      </c>
      <c r="U52" s="22" t="s">
        <v>142</v>
      </c>
      <c r="V52" s="22" t="str">
        <f>Findings!F602</f>
        <v>(AV:/AC:/PR:/UI:/S:/C:/I:/A:/E:/RL:/RC:)</v>
      </c>
      <c r="W52" s="22" t="e">
        <f>Findings!H591</f>
        <v>#VALUE!</v>
      </c>
      <c r="X52" s="22" t="e">
        <f t="shared" si="8"/>
        <v>#VALUE!</v>
      </c>
      <c r="Y52" s="24">
        <f>Findings!I591</f>
        <v>0</v>
      </c>
      <c r="Z52" s="22"/>
      <c r="AA52" s="22"/>
      <c r="AB52" s="25">
        <f t="shared" si="9"/>
        <v>0</v>
      </c>
      <c r="AC52" s="26" t="str">
        <f t="shared" si="10"/>
        <v>x &lt; 2 - Tolerable</v>
      </c>
      <c r="AD52" s="24"/>
      <c r="AE52" s="24"/>
      <c r="AF52" s="22"/>
      <c r="AG52" s="24"/>
      <c r="AH52" s="20" t="s">
        <v>143</v>
      </c>
      <c r="AJ52" s="22">
        <f t="shared" si="13"/>
        <v>0</v>
      </c>
      <c r="AK52" s="22" t="str">
        <f t="shared" si="12"/>
        <v>&lt;Report Delivery Date&gt;</v>
      </c>
      <c r="AN52" s="22"/>
      <c r="AO52" s="24" t="str">
        <f>Findings!K591</f>
        <v>-</v>
      </c>
      <c r="AP52" s="24" t="str">
        <f>Findings!L591</f>
        <v>-</v>
      </c>
      <c r="AQ52" s="22" t="s">
        <v>14</v>
      </c>
    </row>
    <row r="53" spans="1:43" ht="14.25" x14ac:dyDescent="0.2">
      <c r="A53" s="19" t="str">
        <f t="shared" si="11"/>
        <v>Route in QC</v>
      </c>
      <c r="B53" s="20"/>
      <c r="C53" s="20"/>
      <c r="D53" s="21"/>
      <c r="E53" s="20"/>
      <c r="F53" s="20"/>
      <c r="G53" s="20"/>
      <c r="H53" s="22" t="s">
        <v>14</v>
      </c>
      <c r="I53" s="23" t="s">
        <v>14</v>
      </c>
      <c r="J53" s="20" t="str">
        <f t="shared" si="14"/>
        <v>Fluid</v>
      </c>
      <c r="K53" s="20" t="s">
        <v>140</v>
      </c>
      <c r="L53" s="20" t="s">
        <v>138</v>
      </c>
      <c r="M53" s="24"/>
      <c r="N53" s="22" t="str">
        <f>Findings!B603</f>
        <v>Vulnerability 51</v>
      </c>
      <c r="O53" s="22" t="str">
        <f>Findings!C603</f>
        <v>-</v>
      </c>
      <c r="P53" s="24" t="str">
        <f>Findings!D603</f>
        <v>-</v>
      </c>
      <c r="Q53" s="22"/>
      <c r="R53" s="22"/>
      <c r="S53" s="22"/>
      <c r="T53" s="22" t="s">
        <v>141</v>
      </c>
      <c r="U53" s="22" t="s">
        <v>142</v>
      </c>
      <c r="V53" s="22" t="str">
        <f>Findings!F614</f>
        <v>(AV:/AC:/PR:/UI:/S:/C:/I:/A:/E:/RL:/RC:)</v>
      </c>
      <c r="W53" s="22" t="e">
        <f>Findings!H603</f>
        <v>#VALUE!</v>
      </c>
      <c r="X53" s="22" t="e">
        <f t="shared" si="8"/>
        <v>#VALUE!</v>
      </c>
      <c r="Y53" s="24">
        <f>Findings!I603</f>
        <v>0</v>
      </c>
      <c r="Z53" s="22"/>
      <c r="AA53" s="22"/>
      <c r="AB53" s="25">
        <f t="shared" si="9"/>
        <v>0</v>
      </c>
      <c r="AC53" s="26" t="str">
        <f t="shared" si="10"/>
        <v>x &lt; 2 - Tolerable</v>
      </c>
      <c r="AD53" s="24"/>
      <c r="AE53" s="24"/>
      <c r="AF53" s="22"/>
      <c r="AG53" s="24"/>
      <c r="AH53" s="20" t="s">
        <v>143</v>
      </c>
      <c r="AJ53" s="22">
        <f t="shared" si="13"/>
        <v>0</v>
      </c>
      <c r="AK53" s="22" t="str">
        <f t="shared" si="12"/>
        <v>&lt;Report Delivery Date&gt;</v>
      </c>
      <c r="AN53" s="22"/>
      <c r="AO53" s="24" t="str">
        <f>Findings!K603</f>
        <v>-</v>
      </c>
      <c r="AP53" s="24" t="str">
        <f>Findings!L603</f>
        <v>-</v>
      </c>
      <c r="AQ53" s="22" t="s">
        <v>14</v>
      </c>
    </row>
    <row r="54" spans="1:43" ht="14.25" x14ac:dyDescent="0.2">
      <c r="A54" s="19" t="str">
        <f t="shared" si="11"/>
        <v>Route in QC</v>
      </c>
      <c r="B54" s="20"/>
      <c r="C54" s="20"/>
      <c r="D54" s="21"/>
      <c r="E54" s="20"/>
      <c r="F54" s="20"/>
      <c r="G54" s="20"/>
      <c r="H54" s="22" t="s">
        <v>14</v>
      </c>
      <c r="I54" s="23" t="s">
        <v>14</v>
      </c>
      <c r="J54" s="20" t="str">
        <f t="shared" si="14"/>
        <v>Fluid</v>
      </c>
      <c r="K54" s="20" t="s">
        <v>140</v>
      </c>
      <c r="L54" s="20" t="s">
        <v>138</v>
      </c>
      <c r="M54" s="24"/>
      <c r="N54" s="22" t="str">
        <f>Findings!B615</f>
        <v>Vulnerability 52</v>
      </c>
      <c r="O54" s="22" t="str">
        <f>Findings!C615</f>
        <v>-</v>
      </c>
      <c r="P54" s="24" t="str">
        <f>Findings!D615</f>
        <v>-</v>
      </c>
      <c r="Q54" s="22"/>
      <c r="R54" s="22"/>
      <c r="S54" s="22"/>
      <c r="T54" s="22" t="s">
        <v>141</v>
      </c>
      <c r="U54" s="22" t="s">
        <v>142</v>
      </c>
      <c r="V54" s="22" t="str">
        <f>Findings!F626</f>
        <v>(AV:/AC:/PR:/UI:/S:/C:/I:/A:/E:/RL:/RC:)</v>
      </c>
      <c r="W54" s="22" t="e">
        <f>Findings!H615</f>
        <v>#VALUE!</v>
      </c>
      <c r="X54" s="22" t="e">
        <f t="shared" si="8"/>
        <v>#VALUE!</v>
      </c>
      <c r="Y54" s="24">
        <f>Findings!I615</f>
        <v>0</v>
      </c>
      <c r="Z54" s="22"/>
      <c r="AA54" s="22"/>
      <c r="AB54" s="25">
        <f t="shared" si="9"/>
        <v>0</v>
      </c>
      <c r="AC54" s="26" t="str">
        <f t="shared" si="10"/>
        <v>x &lt; 2 - Tolerable</v>
      </c>
      <c r="AD54" s="24"/>
      <c r="AE54" s="24"/>
      <c r="AF54" s="22"/>
      <c r="AG54" s="24"/>
      <c r="AH54" s="20" t="s">
        <v>143</v>
      </c>
      <c r="AJ54" s="22">
        <f t="shared" si="13"/>
        <v>0</v>
      </c>
      <c r="AK54" s="22" t="str">
        <f t="shared" si="12"/>
        <v>&lt;Report Delivery Date&gt;</v>
      </c>
      <c r="AN54" s="22"/>
      <c r="AO54" s="24" t="str">
        <f>Findings!K615</f>
        <v>-</v>
      </c>
      <c r="AP54" s="24" t="str">
        <f>Findings!L615</f>
        <v>-</v>
      </c>
      <c r="AQ54" s="22" t="s">
        <v>14</v>
      </c>
    </row>
    <row r="55" spans="1:43" ht="14.25" x14ac:dyDescent="0.2">
      <c r="A55" s="19" t="str">
        <f t="shared" si="11"/>
        <v>Route in QC</v>
      </c>
      <c r="B55" s="20"/>
      <c r="C55" s="20"/>
      <c r="D55" s="21"/>
      <c r="E55" s="20"/>
      <c r="F55" s="20"/>
      <c r="G55" s="20"/>
      <c r="H55" s="22" t="s">
        <v>14</v>
      </c>
      <c r="I55" s="23" t="s">
        <v>14</v>
      </c>
      <c r="J55" s="20" t="str">
        <f t="shared" si="14"/>
        <v>Fluid</v>
      </c>
      <c r="K55" s="20" t="s">
        <v>140</v>
      </c>
      <c r="L55" s="20" t="s">
        <v>138</v>
      </c>
      <c r="M55" s="24"/>
      <c r="N55" s="22" t="str">
        <f>Findings!B627</f>
        <v>Vulnerability 53</v>
      </c>
      <c r="O55" s="22" t="str">
        <f>Findings!C627</f>
        <v>-</v>
      </c>
      <c r="P55" s="24" t="str">
        <f>Findings!D627</f>
        <v>-</v>
      </c>
      <c r="Q55" s="22"/>
      <c r="R55" s="22"/>
      <c r="S55" s="22"/>
      <c r="T55" s="22" t="s">
        <v>141</v>
      </c>
      <c r="U55" s="22" t="s">
        <v>142</v>
      </c>
      <c r="V55" s="22" t="str">
        <f>Findings!F638</f>
        <v>(AV:/AC:/PR:/UI:/S:/C:/I:/A:/E:/RL:/RC:)</v>
      </c>
      <c r="W55" s="22" t="e">
        <f>Findings!H627</f>
        <v>#VALUE!</v>
      </c>
      <c r="X55" s="22" t="e">
        <f t="shared" si="8"/>
        <v>#VALUE!</v>
      </c>
      <c r="Y55" s="24">
        <f>Findings!I627</f>
        <v>0</v>
      </c>
      <c r="Z55" s="22"/>
      <c r="AA55" s="22"/>
      <c r="AB55" s="25">
        <f t="shared" si="9"/>
        <v>0</v>
      </c>
      <c r="AC55" s="26" t="str">
        <f t="shared" si="10"/>
        <v>x &lt; 2 - Tolerable</v>
      </c>
      <c r="AD55" s="24"/>
      <c r="AE55" s="24"/>
      <c r="AF55" s="22"/>
      <c r="AG55" s="24"/>
      <c r="AH55" s="20" t="s">
        <v>143</v>
      </c>
      <c r="AJ55" s="22">
        <f t="shared" si="13"/>
        <v>0</v>
      </c>
      <c r="AK55" s="22" t="str">
        <f t="shared" si="12"/>
        <v>&lt;Report Delivery Date&gt;</v>
      </c>
      <c r="AN55" s="22"/>
      <c r="AO55" s="24" t="str">
        <f>Findings!K627</f>
        <v>-</v>
      </c>
      <c r="AP55" s="24" t="str">
        <f>Findings!L627</f>
        <v>-</v>
      </c>
      <c r="AQ55" s="22" t="s">
        <v>14</v>
      </c>
    </row>
    <row r="56" spans="1:43" ht="14.25" x14ac:dyDescent="0.2">
      <c r="A56" s="19" t="str">
        <f t="shared" si="11"/>
        <v>Route in QC</v>
      </c>
      <c r="B56" s="20"/>
      <c r="C56" s="20"/>
      <c r="D56" s="21"/>
      <c r="E56" s="20"/>
      <c r="F56" s="20"/>
      <c r="G56" s="20"/>
      <c r="H56" s="22" t="s">
        <v>14</v>
      </c>
      <c r="I56" s="23" t="s">
        <v>14</v>
      </c>
      <c r="J56" s="20" t="str">
        <f t="shared" si="14"/>
        <v>Fluid</v>
      </c>
      <c r="K56" s="20" t="s">
        <v>140</v>
      </c>
      <c r="L56" s="20" t="s">
        <v>138</v>
      </c>
      <c r="M56" s="24"/>
      <c r="N56" s="22" t="str">
        <f>Findings!B639</f>
        <v>Vulnerability 54</v>
      </c>
      <c r="O56" s="22" t="str">
        <f>Findings!C639</f>
        <v>-</v>
      </c>
      <c r="P56" s="24" t="str">
        <f>Findings!D639</f>
        <v>-</v>
      </c>
      <c r="Q56" s="22"/>
      <c r="R56" s="22"/>
      <c r="S56" s="22"/>
      <c r="T56" s="22" t="s">
        <v>141</v>
      </c>
      <c r="U56" s="22" t="s">
        <v>142</v>
      </c>
      <c r="V56" s="22" t="str">
        <f>Findings!F650</f>
        <v>(AV:/AC:/PR:/UI:/S:/C:/I:/A:/E:/RL:/RC:)</v>
      </c>
      <c r="W56" s="22" t="e">
        <f>Findings!H639</f>
        <v>#VALUE!</v>
      </c>
      <c r="X56" s="22" t="e">
        <f t="shared" si="8"/>
        <v>#VALUE!</v>
      </c>
      <c r="Y56" s="24">
        <f>Findings!I639</f>
        <v>0</v>
      </c>
      <c r="Z56" s="22"/>
      <c r="AA56" s="22"/>
      <c r="AB56" s="25">
        <f t="shared" si="9"/>
        <v>0</v>
      </c>
      <c r="AC56" s="26" t="str">
        <f t="shared" si="10"/>
        <v>x &lt; 2 - Tolerable</v>
      </c>
      <c r="AD56" s="24"/>
      <c r="AE56" s="24"/>
      <c r="AF56" s="22"/>
      <c r="AG56" s="24"/>
      <c r="AH56" s="20" t="s">
        <v>143</v>
      </c>
      <c r="AJ56" s="22">
        <f t="shared" si="13"/>
        <v>0</v>
      </c>
      <c r="AK56" s="22" t="str">
        <f t="shared" si="12"/>
        <v>&lt;Report Delivery Date&gt;</v>
      </c>
      <c r="AN56" s="22"/>
      <c r="AO56" s="24" t="str">
        <f>Findings!K639</f>
        <v>-</v>
      </c>
      <c r="AP56" s="24" t="str">
        <f>Findings!L639</f>
        <v>-</v>
      </c>
      <c r="AQ56" s="22" t="s">
        <v>14</v>
      </c>
    </row>
    <row r="57" spans="1:43" ht="14.25" x14ac:dyDescent="0.2">
      <c r="A57" s="19" t="str">
        <f t="shared" si="11"/>
        <v>Route in QC</v>
      </c>
      <c r="B57" s="20"/>
      <c r="C57" s="20"/>
      <c r="D57" s="21"/>
      <c r="E57" s="20"/>
      <c r="F57" s="20"/>
      <c r="G57" s="20"/>
      <c r="H57" s="22" t="s">
        <v>14</v>
      </c>
      <c r="I57" s="23" t="s">
        <v>14</v>
      </c>
      <c r="J57" s="20" t="str">
        <f t="shared" si="14"/>
        <v>Fluid</v>
      </c>
      <c r="K57" s="20" t="s">
        <v>140</v>
      </c>
      <c r="L57" s="20" t="s">
        <v>138</v>
      </c>
      <c r="M57" s="24"/>
      <c r="N57" s="22" t="str">
        <f>Findings!B651</f>
        <v>Vulnerability 55</v>
      </c>
      <c r="O57" s="22" t="str">
        <f>Findings!C651</f>
        <v>-</v>
      </c>
      <c r="P57" s="24" t="str">
        <f>Findings!D651</f>
        <v>-</v>
      </c>
      <c r="Q57" s="22"/>
      <c r="R57" s="22"/>
      <c r="S57" s="22"/>
      <c r="T57" s="22" t="s">
        <v>141</v>
      </c>
      <c r="U57" s="22" t="s">
        <v>142</v>
      </c>
      <c r="V57" s="22" t="str">
        <f>Findings!F662</f>
        <v>(AV:/AC:/PR:/UI:/S:/C:/I:/A:/E:/RL:/RC:)</v>
      </c>
      <c r="W57" s="22" t="e">
        <f>Findings!H651</f>
        <v>#VALUE!</v>
      </c>
      <c r="X57" s="22" t="e">
        <f t="shared" si="8"/>
        <v>#VALUE!</v>
      </c>
      <c r="Y57" s="24">
        <f>Findings!I651</f>
        <v>0</v>
      </c>
      <c r="Z57" s="22"/>
      <c r="AA57" s="22"/>
      <c r="AB57" s="25">
        <f t="shared" si="9"/>
        <v>0</v>
      </c>
      <c r="AC57" s="26" t="str">
        <f t="shared" si="10"/>
        <v>x &lt; 2 - Tolerable</v>
      </c>
      <c r="AD57" s="24"/>
      <c r="AE57" s="24"/>
      <c r="AF57" s="22"/>
      <c r="AG57" s="24"/>
      <c r="AH57" s="20" t="s">
        <v>143</v>
      </c>
      <c r="AJ57" s="22">
        <f t="shared" si="13"/>
        <v>0</v>
      </c>
      <c r="AK57" s="22" t="str">
        <f t="shared" si="12"/>
        <v>&lt;Report Delivery Date&gt;</v>
      </c>
      <c r="AN57" s="22"/>
      <c r="AO57" s="24" t="str">
        <f>Findings!K651</f>
        <v>-</v>
      </c>
      <c r="AP57" s="24" t="str">
        <f>Findings!L651</f>
        <v>-</v>
      </c>
      <c r="AQ57" s="22" t="s">
        <v>14</v>
      </c>
    </row>
    <row r="58" spans="1:43" ht="14.25" x14ac:dyDescent="0.2">
      <c r="A58" s="19" t="str">
        <f t="shared" si="11"/>
        <v>Route in QC</v>
      </c>
      <c r="B58" s="20"/>
      <c r="C58" s="20"/>
      <c r="D58" s="21"/>
      <c r="E58" s="20"/>
      <c r="F58" s="20"/>
      <c r="G58" s="20"/>
      <c r="H58" s="22" t="s">
        <v>14</v>
      </c>
      <c r="I58" s="23" t="s">
        <v>14</v>
      </c>
      <c r="J58" s="20" t="str">
        <f t="shared" si="14"/>
        <v>Fluid</v>
      </c>
      <c r="K58" s="20" t="s">
        <v>140</v>
      </c>
      <c r="L58" s="20" t="s">
        <v>138</v>
      </c>
      <c r="M58" s="24"/>
      <c r="N58" s="22" t="str">
        <f>Findings!B663</f>
        <v>Vulnerability 56</v>
      </c>
      <c r="O58" s="22" t="str">
        <f>Findings!C663</f>
        <v>-</v>
      </c>
      <c r="P58" s="24" t="str">
        <f>Findings!D663</f>
        <v>-</v>
      </c>
      <c r="Q58" s="22"/>
      <c r="R58" s="22"/>
      <c r="S58" s="22"/>
      <c r="T58" s="22" t="s">
        <v>141</v>
      </c>
      <c r="U58" s="22" t="s">
        <v>142</v>
      </c>
      <c r="V58" s="22" t="str">
        <f>Findings!F674</f>
        <v>(AV:/AC:/PR:/UI:/S:/C:/I:/A:/E:/RL:/RC:)</v>
      </c>
      <c r="W58" s="22" t="e">
        <f>Findings!H663</f>
        <v>#VALUE!</v>
      </c>
      <c r="X58" s="22" t="e">
        <f t="shared" si="8"/>
        <v>#VALUE!</v>
      </c>
      <c r="Y58" s="24">
        <f>Findings!I663</f>
        <v>0</v>
      </c>
      <c r="Z58" s="22"/>
      <c r="AA58" s="22"/>
      <c r="AB58" s="25">
        <f t="shared" si="9"/>
        <v>0</v>
      </c>
      <c r="AC58" s="26" t="str">
        <f t="shared" si="10"/>
        <v>x &lt; 2 - Tolerable</v>
      </c>
      <c r="AD58" s="24"/>
      <c r="AE58" s="24"/>
      <c r="AF58" s="22"/>
      <c r="AG58" s="24"/>
      <c r="AH58" s="20" t="s">
        <v>143</v>
      </c>
      <c r="AJ58" s="22">
        <f t="shared" si="13"/>
        <v>0</v>
      </c>
      <c r="AK58" s="22" t="str">
        <f t="shared" si="12"/>
        <v>&lt;Report Delivery Date&gt;</v>
      </c>
      <c r="AN58" s="22"/>
      <c r="AO58" s="24" t="str">
        <f>Findings!K663</f>
        <v>-</v>
      </c>
      <c r="AP58" s="24" t="str">
        <f>Findings!L663</f>
        <v>-</v>
      </c>
      <c r="AQ58" s="22" t="s">
        <v>14</v>
      </c>
    </row>
    <row r="59" spans="1:43" ht="14.25" x14ac:dyDescent="0.2">
      <c r="A59" s="19" t="str">
        <f t="shared" si="11"/>
        <v>Route in QC</v>
      </c>
      <c r="B59" s="20"/>
      <c r="C59" s="20"/>
      <c r="D59" s="21"/>
      <c r="E59" s="20"/>
      <c r="F59" s="20"/>
      <c r="G59" s="20"/>
      <c r="H59" s="22" t="s">
        <v>14</v>
      </c>
      <c r="I59" s="23" t="s">
        <v>14</v>
      </c>
      <c r="J59" s="20" t="str">
        <f t="shared" si="14"/>
        <v>Fluid</v>
      </c>
      <c r="K59" s="20" t="s">
        <v>140</v>
      </c>
      <c r="L59" s="20" t="s">
        <v>138</v>
      </c>
      <c r="M59" s="24"/>
      <c r="N59" s="22" t="str">
        <f>Findings!B675</f>
        <v>Vulnerability 57</v>
      </c>
      <c r="O59" s="22" t="str">
        <f>Findings!C675</f>
        <v>-</v>
      </c>
      <c r="P59" s="24" t="str">
        <f>Findings!D675</f>
        <v>-</v>
      </c>
      <c r="Q59" s="22"/>
      <c r="R59" s="22"/>
      <c r="S59" s="22"/>
      <c r="T59" s="22" t="s">
        <v>141</v>
      </c>
      <c r="U59" s="22" t="s">
        <v>142</v>
      </c>
      <c r="V59" s="22" t="str">
        <f>Findings!F686</f>
        <v>(AV:/AC:/PR:/UI:/S:/C:/I:/A:/E:/RL:/RC:)</v>
      </c>
      <c r="W59" s="22" t="e">
        <f>Findings!H675</f>
        <v>#VALUE!</v>
      </c>
      <c r="X59" s="22" t="e">
        <f t="shared" si="8"/>
        <v>#VALUE!</v>
      </c>
      <c r="Y59" s="24">
        <f>Findings!I675</f>
        <v>0</v>
      </c>
      <c r="Z59" s="22"/>
      <c r="AA59" s="22"/>
      <c r="AB59" s="25">
        <f t="shared" si="9"/>
        <v>0</v>
      </c>
      <c r="AC59" s="26" t="str">
        <f t="shared" si="10"/>
        <v>x &lt; 2 - Tolerable</v>
      </c>
      <c r="AD59" s="24"/>
      <c r="AE59" s="24"/>
      <c r="AF59" s="22"/>
      <c r="AG59" s="24"/>
      <c r="AH59" s="20" t="s">
        <v>143</v>
      </c>
      <c r="AJ59" s="22">
        <f t="shared" si="13"/>
        <v>0</v>
      </c>
      <c r="AK59" s="22" t="str">
        <f t="shared" si="12"/>
        <v>&lt;Report Delivery Date&gt;</v>
      </c>
      <c r="AN59" s="22"/>
      <c r="AO59" s="24" t="str">
        <f>Findings!K675</f>
        <v>-</v>
      </c>
      <c r="AP59" s="24" t="str">
        <f>Findings!L675</f>
        <v>-</v>
      </c>
      <c r="AQ59" s="22" t="s">
        <v>14</v>
      </c>
    </row>
    <row r="60" spans="1:43" ht="14.25" x14ac:dyDescent="0.2">
      <c r="A60" s="19" t="str">
        <f t="shared" si="11"/>
        <v>Route in QC</v>
      </c>
      <c r="B60" s="20"/>
      <c r="C60" s="20"/>
      <c r="D60" s="21"/>
      <c r="E60" s="20"/>
      <c r="F60" s="20"/>
      <c r="G60" s="20"/>
      <c r="H60" s="22" t="s">
        <v>14</v>
      </c>
      <c r="I60" s="23" t="s">
        <v>14</v>
      </c>
      <c r="J60" s="20" t="str">
        <f t="shared" si="14"/>
        <v>Fluid</v>
      </c>
      <c r="K60" s="20" t="s">
        <v>140</v>
      </c>
      <c r="L60" s="20" t="s">
        <v>138</v>
      </c>
      <c r="M60" s="24"/>
      <c r="N60" s="22" t="str">
        <f>Findings!B687</f>
        <v>Vulnerability 58</v>
      </c>
      <c r="O60" s="22" t="str">
        <f>Findings!C687</f>
        <v>-</v>
      </c>
      <c r="P60" s="24" t="str">
        <f>Findings!D687</f>
        <v>-</v>
      </c>
      <c r="Q60" s="22"/>
      <c r="R60" s="22"/>
      <c r="S60" s="22"/>
      <c r="T60" s="22" t="s">
        <v>141</v>
      </c>
      <c r="U60" s="22" t="s">
        <v>142</v>
      </c>
      <c r="V60" s="22" t="str">
        <f>Findings!F698</f>
        <v>(AV:/AC:/PR:/UI:/S:/C:/I:/A:/E:/RL:/RC:)</v>
      </c>
      <c r="W60" s="22" t="e">
        <f>Findings!H687</f>
        <v>#VALUE!</v>
      </c>
      <c r="X60" s="22" t="e">
        <f t="shared" si="8"/>
        <v>#VALUE!</v>
      </c>
      <c r="Y60" s="24">
        <f>Findings!I687</f>
        <v>0</v>
      </c>
      <c r="Z60" s="22"/>
      <c r="AA60" s="22"/>
      <c r="AB60" s="25">
        <f t="shared" si="9"/>
        <v>0</v>
      </c>
      <c r="AC60" s="26" t="str">
        <f t="shared" si="10"/>
        <v>x &lt; 2 - Tolerable</v>
      </c>
      <c r="AD60" s="24"/>
      <c r="AE60" s="24"/>
      <c r="AF60" s="22"/>
      <c r="AG60" s="24"/>
      <c r="AH60" s="20" t="s">
        <v>143</v>
      </c>
      <c r="AJ60" s="22">
        <f t="shared" si="13"/>
        <v>0</v>
      </c>
      <c r="AK60" s="22" t="str">
        <f t="shared" si="12"/>
        <v>&lt;Report Delivery Date&gt;</v>
      </c>
      <c r="AN60" s="22"/>
      <c r="AO60" s="24" t="str">
        <f>Findings!K687</f>
        <v>-</v>
      </c>
      <c r="AP60" s="24" t="str">
        <f>Findings!L687</f>
        <v>-</v>
      </c>
      <c r="AQ60" s="22" t="s">
        <v>14</v>
      </c>
    </row>
    <row r="61" spans="1:43" ht="14.25" x14ac:dyDescent="0.2">
      <c r="A61" s="19" t="str">
        <f t="shared" si="11"/>
        <v>Route in QC</v>
      </c>
      <c r="B61" s="20"/>
      <c r="C61" s="20"/>
      <c r="D61" s="21"/>
      <c r="E61" s="20"/>
      <c r="F61" s="20"/>
      <c r="G61" s="20"/>
      <c r="H61" s="22" t="s">
        <v>14</v>
      </c>
      <c r="I61" s="23" t="s">
        <v>14</v>
      </c>
      <c r="J61" s="20" t="str">
        <f t="shared" si="14"/>
        <v>Fluid</v>
      </c>
      <c r="K61" s="20" t="s">
        <v>140</v>
      </c>
      <c r="L61" s="20" t="s">
        <v>138</v>
      </c>
      <c r="M61" s="24"/>
      <c r="N61" s="22" t="str">
        <f>Findings!B699</f>
        <v>Vulnerability 59</v>
      </c>
      <c r="O61" s="22" t="str">
        <f>Findings!C699</f>
        <v>-</v>
      </c>
      <c r="P61" s="24" t="str">
        <f>Findings!D699</f>
        <v>-</v>
      </c>
      <c r="Q61" s="22"/>
      <c r="R61" s="22"/>
      <c r="S61" s="22"/>
      <c r="T61" s="22" t="s">
        <v>141</v>
      </c>
      <c r="U61" s="22" t="s">
        <v>142</v>
      </c>
      <c r="V61" s="22" t="str">
        <f>Findings!F710</f>
        <v>(AV:/AC:/PR:/UI:/S:/C:/I:/A:/E:/RL:/RC:)</v>
      </c>
      <c r="W61" s="22" t="e">
        <f>Findings!H699</f>
        <v>#VALUE!</v>
      </c>
      <c r="X61" s="22" t="e">
        <f t="shared" si="8"/>
        <v>#VALUE!</v>
      </c>
      <c r="Y61" s="24">
        <f>Findings!I699</f>
        <v>0</v>
      </c>
      <c r="Z61" s="22"/>
      <c r="AA61" s="22"/>
      <c r="AB61" s="25">
        <f t="shared" si="9"/>
        <v>0</v>
      </c>
      <c r="AC61" s="26" t="str">
        <f t="shared" si="10"/>
        <v>x &lt; 2 - Tolerable</v>
      </c>
      <c r="AD61" s="24"/>
      <c r="AE61" s="24"/>
      <c r="AF61" s="22"/>
      <c r="AG61" s="24"/>
      <c r="AH61" s="20" t="s">
        <v>143</v>
      </c>
      <c r="AJ61" s="22">
        <f t="shared" si="13"/>
        <v>0</v>
      </c>
      <c r="AK61" s="22" t="str">
        <f t="shared" si="12"/>
        <v>&lt;Report Delivery Date&gt;</v>
      </c>
      <c r="AN61" s="22"/>
      <c r="AO61" s="24" t="str">
        <f>Findings!K699</f>
        <v>-</v>
      </c>
      <c r="AP61" s="24" t="str">
        <f>Findings!L699</f>
        <v>-</v>
      </c>
      <c r="AQ61" s="22" t="s">
        <v>14</v>
      </c>
    </row>
    <row r="62" spans="1:43" ht="14.25" x14ac:dyDescent="0.2">
      <c r="A62" s="19" t="str">
        <f t="shared" si="11"/>
        <v>Route in QC</v>
      </c>
      <c r="B62" s="20"/>
      <c r="C62" s="20"/>
      <c r="D62" s="21"/>
      <c r="E62" s="20"/>
      <c r="F62" s="20"/>
      <c r="G62" s="20"/>
      <c r="H62" s="22" t="s">
        <v>14</v>
      </c>
      <c r="I62" s="23" t="s">
        <v>14</v>
      </c>
      <c r="J62" s="20" t="str">
        <f t="shared" si="14"/>
        <v>Fluid</v>
      </c>
      <c r="K62" s="20" t="s">
        <v>140</v>
      </c>
      <c r="L62" s="20" t="s">
        <v>138</v>
      </c>
      <c r="M62" s="24"/>
      <c r="N62" s="22" t="str">
        <f>Findings!B711</f>
        <v>Vulnerability 60</v>
      </c>
      <c r="O62" s="22" t="str">
        <f>Findings!C711</f>
        <v>-</v>
      </c>
      <c r="P62" s="24" t="str">
        <f>Findings!D711</f>
        <v>-</v>
      </c>
      <c r="Q62" s="22"/>
      <c r="R62" s="22"/>
      <c r="S62" s="22"/>
      <c r="T62" s="22" t="s">
        <v>141</v>
      </c>
      <c r="U62" s="22" t="s">
        <v>142</v>
      </c>
      <c r="V62" s="22" t="str">
        <f>Findings!F722</f>
        <v>(AV:/AC:/PR:/UI:/S:/C:/I:/A:/E:/RL:/RC:)</v>
      </c>
      <c r="W62" s="22" t="e">
        <f>Findings!H711</f>
        <v>#VALUE!</v>
      </c>
      <c r="X62" s="22" t="e">
        <f t="shared" si="8"/>
        <v>#VALUE!</v>
      </c>
      <c r="Y62" s="24">
        <f>Findings!I711</f>
        <v>0</v>
      </c>
      <c r="Z62" s="22"/>
      <c r="AA62" s="22"/>
      <c r="AB62" s="25">
        <f t="shared" si="9"/>
        <v>0</v>
      </c>
      <c r="AC62" s="26" t="str">
        <f t="shared" si="10"/>
        <v>x &lt; 2 - Tolerable</v>
      </c>
      <c r="AD62" s="24"/>
      <c r="AE62" s="24"/>
      <c r="AF62" s="22"/>
      <c r="AG62" s="24"/>
      <c r="AH62" s="20" t="s">
        <v>143</v>
      </c>
      <c r="AJ62" s="22">
        <f t="shared" si="13"/>
        <v>0</v>
      </c>
      <c r="AK62" s="22" t="str">
        <f t="shared" si="12"/>
        <v>&lt;Report Delivery Date&gt;</v>
      </c>
      <c r="AN62" s="22"/>
      <c r="AO62" s="24" t="str">
        <f>Findings!K711</f>
        <v>-</v>
      </c>
      <c r="AP62" s="24" t="str">
        <f>Findings!L711</f>
        <v>-</v>
      </c>
      <c r="AQ62" s="22" t="s">
        <v>14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9"/>
  <sheetViews>
    <sheetView zoomScaleNormal="100" workbookViewId="0">
      <selection activeCell="B3" sqref="B3"/>
    </sheetView>
  </sheetViews>
  <sheetFormatPr baseColWidth="10" defaultColWidth="9.140625" defaultRowHeight="12.75" x14ac:dyDescent="0.2"/>
  <cols>
    <col min="1" max="1025" width="9.140625" customWidth="1"/>
  </cols>
  <sheetData>
    <row r="1" spans="1:12" ht="22.5" x14ac:dyDescent="0.3">
      <c r="A1" s="27" t="s">
        <v>145</v>
      </c>
      <c r="B1" s="27"/>
      <c r="C1" s="27"/>
      <c r="D1" s="27"/>
      <c r="E1" s="27"/>
      <c r="F1" s="27"/>
      <c r="G1" s="27"/>
      <c r="H1" s="27"/>
      <c r="I1" s="27"/>
      <c r="J1" s="27"/>
      <c r="K1" s="27"/>
      <c r="L1" s="28"/>
    </row>
    <row r="2" spans="1:12" ht="25.5" x14ac:dyDescent="0.2">
      <c r="A2" s="29" t="s">
        <v>146</v>
      </c>
      <c r="B2" s="29" t="s">
        <v>147</v>
      </c>
      <c r="C2" s="30" t="s">
        <v>148</v>
      </c>
      <c r="D2" s="30" t="s">
        <v>149</v>
      </c>
      <c r="E2" s="30" t="s">
        <v>112</v>
      </c>
      <c r="F2" s="30" t="s">
        <v>150</v>
      </c>
      <c r="G2" s="30" t="s">
        <v>151</v>
      </c>
      <c r="H2" s="30" t="s">
        <v>152</v>
      </c>
      <c r="I2" s="30" t="s">
        <v>153</v>
      </c>
      <c r="J2" s="30" t="s">
        <v>154</v>
      </c>
      <c r="K2" s="30" t="s">
        <v>155</v>
      </c>
      <c r="L2" s="31"/>
    </row>
    <row r="3" spans="1:12" ht="216.75" x14ac:dyDescent="0.2">
      <c r="A3" s="32" t="s">
        <v>156</v>
      </c>
      <c r="B3" s="32" t="s">
        <v>157</v>
      </c>
      <c r="C3" s="33" t="s">
        <v>158</v>
      </c>
      <c r="D3" s="34" t="s">
        <v>159</v>
      </c>
      <c r="E3" s="34" t="s">
        <v>160</v>
      </c>
      <c r="F3" s="34" t="s">
        <v>161</v>
      </c>
      <c r="G3" s="35" t="s">
        <v>14</v>
      </c>
      <c r="H3" s="35" t="s">
        <v>14</v>
      </c>
      <c r="I3" s="35" t="s">
        <v>14</v>
      </c>
      <c r="J3" s="35" t="str">
        <f t="shared" ref="J3:J66" si="0">IF(G3="Sí", IF(H3="Sí", "DP", "SP"), IF(H3="Sí", "SD", "-"))</f>
        <v>-</v>
      </c>
      <c r="K3" s="31" t="str">
        <f t="shared" ref="K3:K34" ca="1" si="1">IF(IFERROR(L3,7)=7,"",RIGHT(L3,LEN(L3)-2)&amp;".")</f>
        <v>/A.</v>
      </c>
      <c r="L3" s="31" t="str">
        <f ca="1">IFERROR(__xludf.dummyfunction("CONCATENATE(ArrayFormula(""; ""&amp;QUERY(Hallazgos!A:F,""SELECT B WHERE E CONTAINS '""&amp;A3&amp;""' LABEL B ''"")))"),"#N/A")</f>
        <v>#N/A</v>
      </c>
    </row>
    <row r="4" spans="1:12" ht="114.75" x14ac:dyDescent="0.2">
      <c r="A4" s="32" t="s">
        <v>162</v>
      </c>
      <c r="B4" s="32" t="s">
        <v>163</v>
      </c>
      <c r="C4" s="33" t="s">
        <v>164</v>
      </c>
      <c r="D4" s="34" t="s">
        <v>165</v>
      </c>
      <c r="E4" s="34" t="s">
        <v>166</v>
      </c>
      <c r="F4" s="34" t="s">
        <v>167</v>
      </c>
      <c r="G4" s="35" t="s">
        <v>14</v>
      </c>
      <c r="H4" s="35" t="s">
        <v>14</v>
      </c>
      <c r="I4" s="35" t="s">
        <v>14</v>
      </c>
      <c r="J4" s="35" t="str">
        <f t="shared" si="0"/>
        <v>-</v>
      </c>
      <c r="K4" s="31" t="str">
        <f t="shared" ca="1" si="1"/>
        <v>/A.</v>
      </c>
      <c r="L4" s="31" t="str">
        <f ca="1">IFERROR(__xludf.dummyfunction("CONCATENATE(ArrayFormula(""; ""&amp;QUERY(Hallazgos!A:F,""SELECT B WHERE E CONTAINS '""&amp;A4&amp;""' LABEL B ''"")))"),"#N/A")</f>
        <v>#N/A</v>
      </c>
    </row>
    <row r="5" spans="1:12" ht="140.25" x14ac:dyDescent="0.2">
      <c r="A5" s="32" t="s">
        <v>168</v>
      </c>
      <c r="B5" s="32" t="s">
        <v>169</v>
      </c>
      <c r="C5" s="33" t="s">
        <v>164</v>
      </c>
      <c r="D5" s="34" t="s">
        <v>165</v>
      </c>
      <c r="E5" s="34" t="s">
        <v>166</v>
      </c>
      <c r="F5" s="34" t="s">
        <v>167</v>
      </c>
      <c r="G5" s="35" t="s">
        <v>14</v>
      </c>
      <c r="H5" s="35" t="s">
        <v>14</v>
      </c>
      <c r="I5" s="35" t="s">
        <v>14</v>
      </c>
      <c r="J5" s="35" t="str">
        <f t="shared" si="0"/>
        <v>-</v>
      </c>
      <c r="K5" s="31" t="str">
        <f t="shared" ca="1" si="1"/>
        <v>/A.</v>
      </c>
      <c r="L5" s="31" t="str">
        <f ca="1">IFERROR(__xludf.dummyfunction("CONCATENATE(ArrayFormula(""; ""&amp;QUERY(Hallazgos!A:F,""SELECT B WHERE E CONTAINS '""&amp;A5&amp;""' LABEL B ''"")))"),"#N/A")</f>
        <v>#N/A</v>
      </c>
    </row>
    <row r="6" spans="1:12" ht="127.5" x14ac:dyDescent="0.2">
      <c r="A6" s="32" t="s">
        <v>170</v>
      </c>
      <c r="B6" s="32" t="s">
        <v>171</v>
      </c>
      <c r="C6" s="33" t="s">
        <v>164</v>
      </c>
      <c r="D6" s="34" t="s">
        <v>165</v>
      </c>
      <c r="E6" s="34" t="s">
        <v>166</v>
      </c>
      <c r="F6" s="34" t="s">
        <v>167</v>
      </c>
      <c r="G6" s="35" t="s">
        <v>14</v>
      </c>
      <c r="H6" s="35" t="s">
        <v>14</v>
      </c>
      <c r="I6" s="35" t="s">
        <v>14</v>
      </c>
      <c r="J6" s="35" t="str">
        <f t="shared" si="0"/>
        <v>-</v>
      </c>
      <c r="K6" s="31" t="str">
        <f t="shared" ca="1" si="1"/>
        <v>/A.</v>
      </c>
      <c r="L6" s="31" t="str">
        <f ca="1">IFERROR(__xludf.dummyfunction("CONCATENATE(ArrayFormula(""; ""&amp;QUERY(Hallazgos!A:F,""SELECT B WHERE E CONTAINS '""&amp;A6&amp;""' LABEL B ''"")))"),"#N/A")</f>
        <v>#N/A</v>
      </c>
    </row>
    <row r="7" spans="1:12" ht="153" x14ac:dyDescent="0.2">
      <c r="A7" s="36" t="s">
        <v>172</v>
      </c>
      <c r="B7" s="36" t="s">
        <v>173</v>
      </c>
      <c r="C7" s="37" t="s">
        <v>164</v>
      </c>
      <c r="D7" s="34" t="s">
        <v>165</v>
      </c>
      <c r="E7" s="34" t="s">
        <v>166</v>
      </c>
      <c r="F7" s="34" t="s">
        <v>167</v>
      </c>
      <c r="G7" s="35" t="s">
        <v>14</v>
      </c>
      <c r="H7" s="35" t="s">
        <v>14</v>
      </c>
      <c r="I7" s="35" t="s">
        <v>14</v>
      </c>
      <c r="J7" s="35" t="str">
        <f t="shared" si="0"/>
        <v>-</v>
      </c>
      <c r="K7" s="31" t="str">
        <f t="shared" ca="1" si="1"/>
        <v>/A.</v>
      </c>
      <c r="L7" s="31" t="str">
        <f ca="1">IFERROR(__xludf.dummyfunction("CONCATENATE(ArrayFormula(""; ""&amp;QUERY(Hallazgos!A:F,""SELECT B WHERE E CONTAINS '""&amp;A7&amp;""' LABEL B ''"")))"),"#N/A")</f>
        <v>#N/A</v>
      </c>
    </row>
    <row r="8" spans="1:12" ht="255" x14ac:dyDescent="0.2">
      <c r="A8" s="32" t="s">
        <v>174</v>
      </c>
      <c r="B8" s="32" t="s">
        <v>175</v>
      </c>
      <c r="C8" s="33" t="s">
        <v>164</v>
      </c>
      <c r="D8" s="34" t="s">
        <v>165</v>
      </c>
      <c r="E8" s="34" t="s">
        <v>166</v>
      </c>
      <c r="F8" s="34" t="s">
        <v>167</v>
      </c>
      <c r="G8" s="35" t="s">
        <v>14</v>
      </c>
      <c r="H8" s="35" t="s">
        <v>14</v>
      </c>
      <c r="I8" s="35" t="s">
        <v>14</v>
      </c>
      <c r="J8" s="35" t="str">
        <f t="shared" si="0"/>
        <v>-</v>
      </c>
      <c r="K8" s="31" t="str">
        <f t="shared" ca="1" si="1"/>
        <v>/A.</v>
      </c>
      <c r="L8" s="31" t="str">
        <f ca="1">IFERROR(__xludf.dummyfunction("CONCATENATE(ArrayFormula(""; ""&amp;QUERY(Hallazgos!A:F,""SELECT B WHERE E CONTAINS '""&amp;A8&amp;""' LABEL B ''"")))"),"#N/A")</f>
        <v>#N/A</v>
      </c>
    </row>
    <row r="9" spans="1:12" ht="178.5" x14ac:dyDescent="0.2">
      <c r="A9" s="32" t="s">
        <v>176</v>
      </c>
      <c r="B9" s="32" t="s">
        <v>177</v>
      </c>
      <c r="C9" s="33" t="s">
        <v>164</v>
      </c>
      <c r="D9" s="34" t="s">
        <v>165</v>
      </c>
      <c r="E9" s="34" t="s">
        <v>166</v>
      </c>
      <c r="F9" s="34" t="s">
        <v>167</v>
      </c>
      <c r="G9" s="35" t="s">
        <v>14</v>
      </c>
      <c r="H9" s="35" t="s">
        <v>14</v>
      </c>
      <c r="I9" s="35" t="s">
        <v>14</v>
      </c>
      <c r="J9" s="35" t="str">
        <f t="shared" si="0"/>
        <v>-</v>
      </c>
      <c r="K9" s="31" t="str">
        <f t="shared" ca="1" si="1"/>
        <v>/A.</v>
      </c>
      <c r="L9" s="31" t="str">
        <f ca="1">IFERROR(__xludf.dummyfunction("CONCATENATE(ArrayFormula(""; ""&amp;QUERY(Hallazgos!A:F,""SELECT B WHERE E CONTAINS '""&amp;A9&amp;""' LABEL B ''"")))"),"#N/A")</f>
        <v>#N/A</v>
      </c>
    </row>
    <row r="10" spans="1:12" ht="140.25" x14ac:dyDescent="0.2">
      <c r="A10" s="32" t="s">
        <v>178</v>
      </c>
      <c r="B10" s="32" t="s">
        <v>179</v>
      </c>
      <c r="C10" s="33" t="s">
        <v>164</v>
      </c>
      <c r="D10" s="34" t="s">
        <v>165</v>
      </c>
      <c r="E10" s="34" t="s">
        <v>166</v>
      </c>
      <c r="F10" s="34" t="s">
        <v>167</v>
      </c>
      <c r="G10" s="35" t="s">
        <v>14</v>
      </c>
      <c r="H10" s="35" t="s">
        <v>14</v>
      </c>
      <c r="I10" s="35" t="s">
        <v>14</v>
      </c>
      <c r="J10" s="35" t="str">
        <f t="shared" si="0"/>
        <v>-</v>
      </c>
      <c r="K10" s="31" t="str">
        <f t="shared" ca="1" si="1"/>
        <v>/A.</v>
      </c>
      <c r="L10" s="31" t="str">
        <f ca="1">IFERROR(__xludf.dummyfunction("CONCATENATE(ArrayFormula(""; ""&amp;QUERY(Hallazgos!A:F,""SELECT B WHERE E CONTAINS '""&amp;A10&amp;""' LABEL B ''"")))"),"#N/A")</f>
        <v>#N/A</v>
      </c>
    </row>
    <row r="11" spans="1:12" ht="178.5" x14ac:dyDescent="0.2">
      <c r="A11" s="32" t="s">
        <v>180</v>
      </c>
      <c r="B11" s="32" t="s">
        <v>181</v>
      </c>
      <c r="C11" s="33" t="s">
        <v>182</v>
      </c>
      <c r="D11" s="34" t="s">
        <v>165</v>
      </c>
      <c r="E11" s="34" t="s">
        <v>166</v>
      </c>
      <c r="F11" s="34" t="s">
        <v>167</v>
      </c>
      <c r="G11" s="35" t="s">
        <v>14</v>
      </c>
      <c r="H11" s="35" t="s">
        <v>14</v>
      </c>
      <c r="I11" s="35" t="s">
        <v>14</v>
      </c>
      <c r="J11" s="35" t="str">
        <f t="shared" si="0"/>
        <v>-</v>
      </c>
      <c r="K11" s="31" t="str">
        <f t="shared" ca="1" si="1"/>
        <v>/A.</v>
      </c>
      <c r="L11" s="31" t="str">
        <f ca="1">IFERROR(__xludf.dummyfunction("CONCATENATE(ArrayFormula(""; ""&amp;QUERY(Hallazgos!A:F,""SELECT B WHERE E CONTAINS '""&amp;A11&amp;""' LABEL B ''"")))"),"#N/A")</f>
        <v>#N/A</v>
      </c>
    </row>
    <row r="12" spans="1:12" ht="204" x14ac:dyDescent="0.2">
      <c r="A12" s="36" t="s">
        <v>183</v>
      </c>
      <c r="B12" s="36" t="s">
        <v>184</v>
      </c>
      <c r="C12" s="37" t="s">
        <v>182</v>
      </c>
      <c r="D12" s="34" t="s">
        <v>185</v>
      </c>
      <c r="E12" s="34" t="s">
        <v>166</v>
      </c>
      <c r="F12" s="34" t="s">
        <v>167</v>
      </c>
      <c r="G12" s="35" t="s">
        <v>14</v>
      </c>
      <c r="H12" s="35" t="s">
        <v>14</v>
      </c>
      <c r="I12" s="35" t="s">
        <v>14</v>
      </c>
      <c r="J12" s="35" t="str">
        <f t="shared" si="0"/>
        <v>-</v>
      </c>
      <c r="K12" s="31" t="str">
        <f t="shared" ca="1" si="1"/>
        <v>/A.</v>
      </c>
      <c r="L12" s="31" t="str">
        <f ca="1">IFERROR(__xludf.dummyfunction("CONCATENATE(ArrayFormula(""; ""&amp;QUERY(Hallazgos!A:F,""SELECT B WHERE E CONTAINS '""&amp;A12&amp;""' LABEL B ''"")))"),"#N/A")</f>
        <v>#N/A</v>
      </c>
    </row>
    <row r="13" spans="1:12" ht="114.75" x14ac:dyDescent="0.2">
      <c r="A13" s="32" t="s">
        <v>186</v>
      </c>
      <c r="B13" s="32" t="s">
        <v>187</v>
      </c>
      <c r="C13" s="33" t="s">
        <v>158</v>
      </c>
      <c r="D13" s="34" t="s">
        <v>165</v>
      </c>
      <c r="E13" s="34" t="s">
        <v>166</v>
      </c>
      <c r="F13" s="34" t="s">
        <v>167</v>
      </c>
      <c r="G13" s="35" t="s">
        <v>14</v>
      </c>
      <c r="H13" s="35" t="s">
        <v>14</v>
      </c>
      <c r="I13" s="35" t="s">
        <v>14</v>
      </c>
      <c r="J13" s="35" t="str">
        <f t="shared" si="0"/>
        <v>-</v>
      </c>
      <c r="K13" s="31" t="str">
        <f t="shared" ca="1" si="1"/>
        <v>/A.</v>
      </c>
      <c r="L13" s="31" t="str">
        <f ca="1">IFERROR(__xludf.dummyfunction("CONCATENATE(ArrayFormula(""; ""&amp;QUERY(Hallazgos!A:F,""SELECT B WHERE E CONTAINS '""&amp;A13&amp;""' LABEL B ''"")))"),"#N/A")</f>
        <v>#N/A</v>
      </c>
    </row>
    <row r="14" spans="1:12" ht="127.5" x14ac:dyDescent="0.2">
      <c r="A14" s="32" t="s">
        <v>188</v>
      </c>
      <c r="B14" s="32" t="s">
        <v>189</v>
      </c>
      <c r="C14" s="33" t="s">
        <v>158</v>
      </c>
      <c r="D14" s="34" t="s">
        <v>190</v>
      </c>
      <c r="E14" s="34" t="s">
        <v>160</v>
      </c>
      <c r="F14" s="34" t="s">
        <v>191</v>
      </c>
      <c r="G14" s="35" t="s">
        <v>14</v>
      </c>
      <c r="H14" s="35" t="s">
        <v>14</v>
      </c>
      <c r="I14" s="35" t="s">
        <v>14</v>
      </c>
      <c r="J14" s="35" t="str">
        <f t="shared" si="0"/>
        <v>-</v>
      </c>
      <c r="K14" s="31" t="str">
        <f t="shared" ca="1" si="1"/>
        <v>/A.</v>
      </c>
      <c r="L14" s="31" t="str">
        <f ca="1">IFERROR(__xludf.dummyfunction("CONCATENATE(ArrayFormula(""; ""&amp;QUERY(Hallazgos!A:F,""SELECT B WHERE E CONTAINS '""&amp;A14&amp;""' LABEL B ''"")))"),"#N/A")</f>
        <v>#N/A</v>
      </c>
    </row>
    <row r="15" spans="1:12" ht="153" x14ac:dyDescent="0.2">
      <c r="A15" s="32" t="s">
        <v>192</v>
      </c>
      <c r="B15" s="32" t="s">
        <v>193</v>
      </c>
      <c r="C15" s="33" t="s">
        <v>158</v>
      </c>
      <c r="D15" s="34" t="s">
        <v>190</v>
      </c>
      <c r="E15" s="34" t="s">
        <v>160</v>
      </c>
      <c r="F15" s="34" t="s">
        <v>194</v>
      </c>
      <c r="G15" s="35" t="s">
        <v>14</v>
      </c>
      <c r="H15" s="35" t="s">
        <v>14</v>
      </c>
      <c r="I15" s="35" t="s">
        <v>14</v>
      </c>
      <c r="J15" s="35" t="str">
        <f t="shared" si="0"/>
        <v>-</v>
      </c>
      <c r="K15" s="31" t="str">
        <f t="shared" ca="1" si="1"/>
        <v>/A.</v>
      </c>
      <c r="L15" s="31" t="str">
        <f ca="1">IFERROR(__xludf.dummyfunction("CONCATENATE(ArrayFormula(""; ""&amp;QUERY(Hallazgos!A:F,""SELECT B WHERE E CONTAINS '""&amp;A15&amp;""' LABEL B ''"")))"),"#N/A")</f>
        <v>#N/A</v>
      </c>
    </row>
    <row r="16" spans="1:12" ht="127.5" x14ac:dyDescent="0.2">
      <c r="A16" s="32" t="s">
        <v>195</v>
      </c>
      <c r="B16" s="32" t="s">
        <v>196</v>
      </c>
      <c r="C16" s="37" t="s">
        <v>158</v>
      </c>
      <c r="D16" s="34" t="s">
        <v>190</v>
      </c>
      <c r="E16" s="34" t="s">
        <v>197</v>
      </c>
      <c r="F16" s="34" t="s">
        <v>161</v>
      </c>
      <c r="G16" s="35" t="s">
        <v>14</v>
      </c>
      <c r="H16" s="35" t="s">
        <v>14</v>
      </c>
      <c r="I16" s="35" t="s">
        <v>14</v>
      </c>
      <c r="J16" s="35" t="str">
        <f t="shared" si="0"/>
        <v>-</v>
      </c>
      <c r="K16" s="31" t="str">
        <f t="shared" ca="1" si="1"/>
        <v>/A.</v>
      </c>
      <c r="L16" s="31" t="str">
        <f ca="1">IFERROR(__xludf.dummyfunction("CONCATENATE(ArrayFormula(""; ""&amp;QUERY(Hallazgos!A:F,""SELECT B WHERE E CONTAINS '""&amp;A16&amp;""' LABEL B ''"")))"),"#N/A")</f>
        <v>#N/A</v>
      </c>
    </row>
    <row r="17" spans="1:12" ht="204" x14ac:dyDescent="0.2">
      <c r="A17" s="32" t="s">
        <v>198</v>
      </c>
      <c r="B17" s="32" t="s">
        <v>199</v>
      </c>
      <c r="C17" s="37" t="s">
        <v>158</v>
      </c>
      <c r="D17" s="34" t="s">
        <v>200</v>
      </c>
      <c r="E17" s="34" t="s">
        <v>160</v>
      </c>
      <c r="F17" s="34" t="s">
        <v>161</v>
      </c>
      <c r="G17" s="35" t="s">
        <v>14</v>
      </c>
      <c r="H17" s="35" t="s">
        <v>14</v>
      </c>
      <c r="I17" s="35" t="s">
        <v>14</v>
      </c>
      <c r="J17" s="35" t="str">
        <f t="shared" si="0"/>
        <v>-</v>
      </c>
      <c r="K17" s="31" t="str">
        <f t="shared" ca="1" si="1"/>
        <v>/A.</v>
      </c>
      <c r="L17" s="31" t="str">
        <f ca="1">IFERROR(__xludf.dummyfunction("CONCATENATE(ArrayFormula(""; ""&amp;QUERY(Hallazgos!A:F,""SELECT B WHERE E CONTAINS '""&amp;A17&amp;""' LABEL B ''"")))"),"#N/A")</f>
        <v>#N/A</v>
      </c>
    </row>
    <row r="18" spans="1:12" ht="140.25" x14ac:dyDescent="0.2">
      <c r="A18" s="36" t="s">
        <v>201</v>
      </c>
      <c r="B18" s="36" t="s">
        <v>202</v>
      </c>
      <c r="C18" s="37" t="s">
        <v>158</v>
      </c>
      <c r="D18" s="34" t="s">
        <v>190</v>
      </c>
      <c r="E18" s="34" t="s">
        <v>197</v>
      </c>
      <c r="F18" s="34" t="s">
        <v>161</v>
      </c>
      <c r="G18" s="35" t="s">
        <v>14</v>
      </c>
      <c r="H18" s="35" t="s">
        <v>14</v>
      </c>
      <c r="I18" s="35" t="s">
        <v>14</v>
      </c>
      <c r="J18" s="35" t="str">
        <f t="shared" si="0"/>
        <v>-</v>
      </c>
      <c r="K18" s="31" t="str">
        <f t="shared" ca="1" si="1"/>
        <v>/A.</v>
      </c>
      <c r="L18" s="31" t="str">
        <f ca="1">IFERROR(__xludf.dummyfunction("CONCATENATE(ArrayFormula(""; ""&amp;QUERY(Hallazgos!A:F,""SELECT B WHERE E CONTAINS '""&amp;A18&amp;""' LABEL B ''"")))"),"#N/A")</f>
        <v>#N/A</v>
      </c>
    </row>
    <row r="19" spans="1:12" ht="191.25" x14ac:dyDescent="0.2">
      <c r="A19" s="32" t="s">
        <v>203</v>
      </c>
      <c r="B19" s="32" t="s">
        <v>204</v>
      </c>
      <c r="C19" s="33" t="s">
        <v>158</v>
      </c>
      <c r="D19" s="34" t="s">
        <v>190</v>
      </c>
      <c r="E19" s="34" t="s">
        <v>205</v>
      </c>
      <c r="F19" s="34" t="s">
        <v>161</v>
      </c>
      <c r="G19" s="35" t="s">
        <v>14</v>
      </c>
      <c r="H19" s="35" t="s">
        <v>14</v>
      </c>
      <c r="I19" s="35" t="s">
        <v>14</v>
      </c>
      <c r="J19" s="35" t="str">
        <f t="shared" si="0"/>
        <v>-</v>
      </c>
      <c r="K19" s="31" t="str">
        <f t="shared" ca="1" si="1"/>
        <v>/A.</v>
      </c>
      <c r="L19" s="31" t="str">
        <f ca="1">IFERROR(__xludf.dummyfunction("CONCATENATE(ArrayFormula(""; ""&amp;QUERY(Hallazgos!A:F,""SELECT B WHERE E CONTAINS '""&amp;A19&amp;""' LABEL B ''"")))"),"#N/A")</f>
        <v>#N/A</v>
      </c>
    </row>
    <row r="20" spans="1:12" ht="165.75" x14ac:dyDescent="0.2">
      <c r="A20" s="32" t="s">
        <v>206</v>
      </c>
      <c r="B20" s="32" t="s">
        <v>207</v>
      </c>
      <c r="C20" s="33" t="s">
        <v>158</v>
      </c>
      <c r="D20" s="34" t="s">
        <v>190</v>
      </c>
      <c r="E20" s="34" t="s">
        <v>197</v>
      </c>
      <c r="F20" s="34" t="s">
        <v>161</v>
      </c>
      <c r="G20" s="35" t="s">
        <v>14</v>
      </c>
      <c r="H20" s="35" t="s">
        <v>14</v>
      </c>
      <c r="I20" s="35" t="s">
        <v>14</v>
      </c>
      <c r="J20" s="35" t="str">
        <f t="shared" si="0"/>
        <v>-</v>
      </c>
      <c r="K20" s="31" t="str">
        <f t="shared" ca="1" si="1"/>
        <v>/A.</v>
      </c>
      <c r="L20" s="31" t="str">
        <f ca="1">IFERROR(__xludf.dummyfunction("CONCATENATE(ArrayFormula(""; ""&amp;QUERY(Hallazgos!A:F,""SELECT B WHERE E CONTAINS '""&amp;A20&amp;""' LABEL B ''"")))"),"#N/A")</f>
        <v>#N/A</v>
      </c>
    </row>
    <row r="21" spans="1:12" ht="89.25" x14ac:dyDescent="0.2">
      <c r="A21" s="32" t="s">
        <v>208</v>
      </c>
      <c r="B21" s="32" t="s">
        <v>209</v>
      </c>
      <c r="C21" s="33" t="s">
        <v>158</v>
      </c>
      <c r="D21" s="34" t="s">
        <v>210</v>
      </c>
      <c r="E21" s="34" t="s">
        <v>211</v>
      </c>
      <c r="F21" s="34" t="s">
        <v>194</v>
      </c>
      <c r="G21" s="35" t="s">
        <v>14</v>
      </c>
      <c r="H21" s="35" t="s">
        <v>14</v>
      </c>
      <c r="I21" s="35" t="s">
        <v>14</v>
      </c>
      <c r="J21" s="35" t="str">
        <f t="shared" si="0"/>
        <v>-</v>
      </c>
      <c r="K21" s="31" t="str">
        <f t="shared" ca="1" si="1"/>
        <v>/A.</v>
      </c>
      <c r="L21" s="31" t="str">
        <f ca="1">IFERROR(__xludf.dummyfunction("CONCATENATE(ArrayFormula(""; ""&amp;QUERY(Hallazgos!A:F,""SELECT B WHERE E CONTAINS '""&amp;A21&amp;""' LABEL B ''"")))"),"#N/A")</f>
        <v>#N/A</v>
      </c>
    </row>
    <row r="22" spans="1:12" ht="267.75" x14ac:dyDescent="0.2">
      <c r="A22" s="32" t="s">
        <v>212</v>
      </c>
      <c r="B22" s="32" t="s">
        <v>213</v>
      </c>
      <c r="C22" s="33" t="s">
        <v>158</v>
      </c>
      <c r="D22" s="34" t="s">
        <v>200</v>
      </c>
      <c r="E22" s="34" t="s">
        <v>160</v>
      </c>
      <c r="F22" s="34" t="s">
        <v>161</v>
      </c>
      <c r="G22" s="35" t="s">
        <v>14</v>
      </c>
      <c r="H22" s="35" t="s">
        <v>14</v>
      </c>
      <c r="I22" s="35" t="s">
        <v>14</v>
      </c>
      <c r="J22" s="35" t="str">
        <f t="shared" si="0"/>
        <v>-</v>
      </c>
      <c r="K22" s="31" t="str">
        <f t="shared" ca="1" si="1"/>
        <v>/A.</v>
      </c>
      <c r="L22" s="31" t="str">
        <f ca="1">IFERROR(__xludf.dummyfunction("CONCATENATE(ArrayFormula(""; ""&amp;QUERY(Hallazgos!A:F,""SELECT B WHERE E CONTAINS '""&amp;A22&amp;""' LABEL B ''"")))"),"#N/A")</f>
        <v>#N/A</v>
      </c>
    </row>
    <row r="23" spans="1:12" ht="204" x14ac:dyDescent="0.2">
      <c r="A23" s="32" t="s">
        <v>214</v>
      </c>
      <c r="B23" s="32" t="s">
        <v>215</v>
      </c>
      <c r="C23" s="33" t="s">
        <v>158</v>
      </c>
      <c r="D23" s="34" t="s">
        <v>200</v>
      </c>
      <c r="E23" s="34" t="s">
        <v>160</v>
      </c>
      <c r="F23" s="34" t="s">
        <v>161</v>
      </c>
      <c r="G23" s="35" t="s">
        <v>14</v>
      </c>
      <c r="H23" s="35" t="s">
        <v>14</v>
      </c>
      <c r="I23" s="35" t="s">
        <v>14</v>
      </c>
      <c r="J23" s="35" t="str">
        <f t="shared" si="0"/>
        <v>-</v>
      </c>
      <c r="K23" s="31" t="str">
        <f t="shared" ca="1" si="1"/>
        <v>/A.</v>
      </c>
      <c r="L23" s="31" t="str">
        <f ca="1">IFERROR(__xludf.dummyfunction("CONCATENATE(ArrayFormula(""; ""&amp;QUERY(Hallazgos!A:F,""SELECT B WHERE E CONTAINS '""&amp;A23&amp;""' LABEL B ''"")))"),"#N/A")</f>
        <v>#N/A</v>
      </c>
    </row>
    <row r="24" spans="1:12" ht="178.5" x14ac:dyDescent="0.2">
      <c r="A24" s="32" t="s">
        <v>216</v>
      </c>
      <c r="B24" s="32" t="s">
        <v>217</v>
      </c>
      <c r="C24" s="33" t="s">
        <v>158</v>
      </c>
      <c r="D24" s="34" t="s">
        <v>200</v>
      </c>
      <c r="E24" s="34" t="s">
        <v>218</v>
      </c>
      <c r="F24" s="34" t="s">
        <v>161</v>
      </c>
      <c r="G24" s="35" t="s">
        <v>14</v>
      </c>
      <c r="H24" s="35" t="s">
        <v>14</v>
      </c>
      <c r="I24" s="35" t="s">
        <v>14</v>
      </c>
      <c r="J24" s="35" t="str">
        <f t="shared" si="0"/>
        <v>-</v>
      </c>
      <c r="K24" s="31" t="str">
        <f t="shared" ca="1" si="1"/>
        <v>/A.</v>
      </c>
      <c r="L24" s="31" t="str">
        <f ca="1">IFERROR(__xludf.dummyfunction("CONCATENATE(ArrayFormula(""; ""&amp;QUERY(Hallazgos!A:F,""SELECT B WHERE E CONTAINS '""&amp;A24&amp;""' LABEL B ''"")))"),"#N/A")</f>
        <v>#N/A</v>
      </c>
    </row>
    <row r="25" spans="1:12" ht="216.75" x14ac:dyDescent="0.2">
      <c r="A25" s="32" t="s">
        <v>219</v>
      </c>
      <c r="B25" s="32" t="s">
        <v>220</v>
      </c>
      <c r="C25" s="33" t="s">
        <v>158</v>
      </c>
      <c r="D25" s="34" t="s">
        <v>200</v>
      </c>
      <c r="E25" s="34" t="s">
        <v>221</v>
      </c>
      <c r="F25" s="34" t="s">
        <v>161</v>
      </c>
      <c r="G25" s="35" t="s">
        <v>14</v>
      </c>
      <c r="H25" s="35" t="s">
        <v>14</v>
      </c>
      <c r="I25" s="35" t="s">
        <v>14</v>
      </c>
      <c r="J25" s="35" t="str">
        <f t="shared" si="0"/>
        <v>-</v>
      </c>
      <c r="K25" s="31" t="str">
        <f t="shared" ca="1" si="1"/>
        <v>/A.</v>
      </c>
      <c r="L25" s="31" t="str">
        <f ca="1">IFERROR(__xludf.dummyfunction("CONCATENATE(ArrayFormula(""; ""&amp;QUERY(Hallazgos!A:F,""SELECT B WHERE E CONTAINS '""&amp;A25&amp;""' LABEL B ''"")))"),"#N/A")</f>
        <v>#N/A</v>
      </c>
    </row>
    <row r="26" spans="1:12" ht="216.75" x14ac:dyDescent="0.2">
      <c r="A26" s="32" t="s">
        <v>222</v>
      </c>
      <c r="B26" s="32" t="s">
        <v>223</v>
      </c>
      <c r="C26" s="33" t="s">
        <v>158</v>
      </c>
      <c r="D26" s="34" t="s">
        <v>200</v>
      </c>
      <c r="E26" s="34" t="s">
        <v>224</v>
      </c>
      <c r="F26" s="34" t="s">
        <v>161</v>
      </c>
      <c r="G26" s="35" t="s">
        <v>14</v>
      </c>
      <c r="H26" s="35" t="s">
        <v>14</v>
      </c>
      <c r="I26" s="35" t="s">
        <v>14</v>
      </c>
      <c r="J26" s="35" t="str">
        <f t="shared" si="0"/>
        <v>-</v>
      </c>
      <c r="K26" s="31" t="str">
        <f t="shared" ca="1" si="1"/>
        <v>/A.</v>
      </c>
      <c r="L26" s="31" t="str">
        <f ca="1">IFERROR(__xludf.dummyfunction("CONCATENATE(ArrayFormula(""; ""&amp;QUERY(Hallazgos!A:F,""SELECT B WHERE E CONTAINS '""&amp;A26&amp;""' LABEL B ''"")))"),"#N/A")</f>
        <v>#N/A</v>
      </c>
    </row>
    <row r="27" spans="1:12" ht="216.75" x14ac:dyDescent="0.2">
      <c r="A27" s="32" t="s">
        <v>225</v>
      </c>
      <c r="B27" s="32" t="s">
        <v>226</v>
      </c>
      <c r="C27" s="33" t="s">
        <v>158</v>
      </c>
      <c r="D27" s="34" t="s">
        <v>200</v>
      </c>
      <c r="E27" s="34" t="s">
        <v>227</v>
      </c>
      <c r="F27" s="34" t="s">
        <v>161</v>
      </c>
      <c r="G27" s="35" t="s">
        <v>14</v>
      </c>
      <c r="H27" s="35" t="s">
        <v>14</v>
      </c>
      <c r="I27" s="35" t="s">
        <v>14</v>
      </c>
      <c r="J27" s="35" t="str">
        <f t="shared" si="0"/>
        <v>-</v>
      </c>
      <c r="K27" s="31" t="str">
        <f t="shared" ca="1" si="1"/>
        <v>/A.</v>
      </c>
      <c r="L27" s="31" t="str">
        <f ca="1">IFERROR(__xludf.dummyfunction("CONCATENATE(ArrayFormula(""; ""&amp;QUERY(Hallazgos!A:F,""SELECT B WHERE E CONTAINS '""&amp;A27&amp;""' LABEL B ''"")))"),"#N/A")</f>
        <v>#N/A</v>
      </c>
    </row>
    <row r="28" spans="1:12" ht="204" x14ac:dyDescent="0.2">
      <c r="A28" s="32" t="s">
        <v>228</v>
      </c>
      <c r="B28" s="32" t="s">
        <v>229</v>
      </c>
      <c r="C28" s="33" t="s">
        <v>158</v>
      </c>
      <c r="D28" s="34" t="s">
        <v>200</v>
      </c>
      <c r="E28" s="34" t="s">
        <v>227</v>
      </c>
      <c r="F28" s="34" t="s">
        <v>161</v>
      </c>
      <c r="G28" s="35" t="s">
        <v>14</v>
      </c>
      <c r="H28" s="35" t="s">
        <v>14</v>
      </c>
      <c r="I28" s="35" t="s">
        <v>14</v>
      </c>
      <c r="J28" s="35" t="str">
        <f t="shared" si="0"/>
        <v>-</v>
      </c>
      <c r="K28" s="31" t="str">
        <f t="shared" ca="1" si="1"/>
        <v>/A.</v>
      </c>
      <c r="L28" s="31" t="str">
        <f ca="1">IFERROR(__xludf.dummyfunction("CONCATENATE(ArrayFormula(""; ""&amp;QUERY(Hallazgos!A:F,""SELECT B WHERE E CONTAINS '""&amp;A28&amp;""' LABEL B ''"")))"),"#N/A")</f>
        <v>#N/A</v>
      </c>
    </row>
    <row r="29" spans="1:12" ht="242.25" x14ac:dyDescent="0.2">
      <c r="A29" s="32" t="s">
        <v>230</v>
      </c>
      <c r="B29" s="32" t="s">
        <v>231</v>
      </c>
      <c r="C29" s="33" t="s">
        <v>158</v>
      </c>
      <c r="D29" s="34" t="s">
        <v>200</v>
      </c>
      <c r="E29" s="34" t="s">
        <v>227</v>
      </c>
      <c r="F29" s="34" t="s">
        <v>161</v>
      </c>
      <c r="G29" s="35" t="s">
        <v>14</v>
      </c>
      <c r="H29" s="35" t="s">
        <v>14</v>
      </c>
      <c r="I29" s="35" t="s">
        <v>14</v>
      </c>
      <c r="J29" s="35" t="str">
        <f t="shared" si="0"/>
        <v>-</v>
      </c>
      <c r="K29" s="31" t="str">
        <f t="shared" ca="1" si="1"/>
        <v>/A.</v>
      </c>
      <c r="L29" s="31" t="str">
        <f ca="1">IFERROR(__xludf.dummyfunction("CONCATENATE(ArrayFormula(""; ""&amp;QUERY(Hallazgos!A:F,""SELECT B WHERE E CONTAINS '""&amp;A29&amp;""' LABEL B ''"")))"),"#N/A")</f>
        <v>#N/A</v>
      </c>
    </row>
    <row r="30" spans="1:12" ht="242.25" x14ac:dyDescent="0.2">
      <c r="A30" s="32" t="s">
        <v>232</v>
      </c>
      <c r="B30" s="32" t="s">
        <v>233</v>
      </c>
      <c r="C30" s="33" t="s">
        <v>158</v>
      </c>
      <c r="D30" s="34" t="s">
        <v>200</v>
      </c>
      <c r="E30" s="34" t="s">
        <v>227</v>
      </c>
      <c r="F30" s="34" t="s">
        <v>161</v>
      </c>
      <c r="G30" s="35" t="s">
        <v>14</v>
      </c>
      <c r="H30" s="35" t="s">
        <v>14</v>
      </c>
      <c r="I30" s="35" t="s">
        <v>14</v>
      </c>
      <c r="J30" s="35" t="str">
        <f t="shared" si="0"/>
        <v>-</v>
      </c>
      <c r="K30" s="31" t="str">
        <f t="shared" ca="1" si="1"/>
        <v>/A.</v>
      </c>
      <c r="L30" s="31" t="str">
        <f ca="1">IFERROR(__xludf.dummyfunction("CONCATENATE(ArrayFormula(""; ""&amp;QUERY(Hallazgos!A:F,""SELECT B WHERE E CONTAINS '""&amp;A30&amp;""' LABEL B ''"")))"),"#N/A")</f>
        <v>#N/A</v>
      </c>
    </row>
    <row r="31" spans="1:12" ht="229.5" x14ac:dyDescent="0.2">
      <c r="A31" s="32" t="s">
        <v>234</v>
      </c>
      <c r="B31" s="32" t="s">
        <v>235</v>
      </c>
      <c r="C31" s="33" t="s">
        <v>158</v>
      </c>
      <c r="D31" s="34" t="s">
        <v>236</v>
      </c>
      <c r="E31" s="34" t="s">
        <v>227</v>
      </c>
      <c r="F31" s="34" t="s">
        <v>161</v>
      </c>
      <c r="G31" s="35" t="s">
        <v>14</v>
      </c>
      <c r="H31" s="35" t="s">
        <v>14</v>
      </c>
      <c r="I31" s="35" t="s">
        <v>14</v>
      </c>
      <c r="J31" s="35" t="str">
        <f t="shared" si="0"/>
        <v>-</v>
      </c>
      <c r="K31" s="31" t="str">
        <f t="shared" ca="1" si="1"/>
        <v>/A.</v>
      </c>
      <c r="L31" s="31" t="str">
        <f ca="1">IFERROR(__xludf.dummyfunction("CONCATENATE(ArrayFormula(""; ""&amp;QUERY(Hallazgos!A:F,""SELECT B WHERE E CONTAINS '""&amp;A31&amp;""' LABEL B ''"")))"),"#N/A")</f>
        <v>#N/A</v>
      </c>
    </row>
    <row r="32" spans="1:12" ht="153" x14ac:dyDescent="0.2">
      <c r="A32" s="32" t="s">
        <v>237</v>
      </c>
      <c r="B32" s="32" t="s">
        <v>238</v>
      </c>
      <c r="C32" s="33" t="s">
        <v>158</v>
      </c>
      <c r="D32" s="34" t="s">
        <v>239</v>
      </c>
      <c r="E32" s="34" t="s">
        <v>218</v>
      </c>
      <c r="F32" s="34" t="s">
        <v>161</v>
      </c>
      <c r="G32" s="35" t="s">
        <v>14</v>
      </c>
      <c r="H32" s="35" t="s">
        <v>14</v>
      </c>
      <c r="I32" s="35" t="s">
        <v>14</v>
      </c>
      <c r="J32" s="35" t="str">
        <f t="shared" si="0"/>
        <v>-</v>
      </c>
      <c r="K32" s="31" t="str">
        <f t="shared" ca="1" si="1"/>
        <v>/A.</v>
      </c>
      <c r="L32" s="31" t="str">
        <f ca="1">IFERROR(__xludf.dummyfunction("CONCATENATE(ArrayFormula(""; ""&amp;QUERY(Hallazgos!A:F,""SELECT B WHERE E CONTAINS '""&amp;A32&amp;""' LABEL B ''"")))"),"#N/A")</f>
        <v>#N/A</v>
      </c>
    </row>
    <row r="33" spans="1:12" ht="204" x14ac:dyDescent="0.2">
      <c r="A33" s="36" t="s">
        <v>240</v>
      </c>
      <c r="B33" s="36" t="s">
        <v>241</v>
      </c>
      <c r="C33" s="37" t="s">
        <v>158</v>
      </c>
      <c r="D33" s="34" t="s">
        <v>200</v>
      </c>
      <c r="E33" s="34" t="s">
        <v>160</v>
      </c>
      <c r="F33" s="34" t="s">
        <v>161</v>
      </c>
      <c r="G33" s="35" t="s">
        <v>14</v>
      </c>
      <c r="H33" s="35" t="s">
        <v>14</v>
      </c>
      <c r="I33" s="35" t="s">
        <v>14</v>
      </c>
      <c r="J33" s="35" t="str">
        <f t="shared" si="0"/>
        <v>-</v>
      </c>
      <c r="K33" s="31" t="str">
        <f t="shared" ca="1" si="1"/>
        <v>/A.</v>
      </c>
      <c r="L33" s="31" t="str">
        <f ca="1">IFERROR(__xludf.dummyfunction("CONCATENATE(ArrayFormula(""; ""&amp;QUERY(Hallazgos!A:F,""SELECT B WHERE E CONTAINS '""&amp;A33&amp;""' LABEL B ''"")))"),"#N/A")</f>
        <v>#N/A</v>
      </c>
    </row>
    <row r="34" spans="1:12" ht="178.5" x14ac:dyDescent="0.2">
      <c r="A34" s="38" t="s">
        <v>242</v>
      </c>
      <c r="B34" s="38" t="s">
        <v>243</v>
      </c>
      <c r="C34" s="37" t="s">
        <v>158</v>
      </c>
      <c r="D34" s="34" t="s">
        <v>200</v>
      </c>
      <c r="E34" s="34" t="s">
        <v>227</v>
      </c>
      <c r="F34" s="34" t="s">
        <v>161</v>
      </c>
      <c r="G34" s="35" t="s">
        <v>14</v>
      </c>
      <c r="H34" s="35" t="s">
        <v>14</v>
      </c>
      <c r="I34" s="35" t="s">
        <v>14</v>
      </c>
      <c r="J34" s="35" t="str">
        <f t="shared" si="0"/>
        <v>-</v>
      </c>
      <c r="K34" s="31" t="str">
        <f t="shared" ca="1" si="1"/>
        <v>/A.</v>
      </c>
      <c r="L34" s="31" t="str">
        <f ca="1">IFERROR(__xludf.dummyfunction("CONCATENATE(ArrayFormula(""; ""&amp;QUERY(Hallazgos!A:F,""SELECT B WHERE E CONTAINS '""&amp;A34&amp;""' LABEL B ''"")))"),"#N/A")</f>
        <v>#N/A</v>
      </c>
    </row>
    <row r="35" spans="1:12" ht="140.25" x14ac:dyDescent="0.2">
      <c r="A35" s="36" t="s">
        <v>244</v>
      </c>
      <c r="B35" s="36" t="s">
        <v>245</v>
      </c>
      <c r="C35" s="37" t="s">
        <v>158</v>
      </c>
      <c r="D35" s="34" t="s">
        <v>200</v>
      </c>
      <c r="E35" s="34" t="s">
        <v>160</v>
      </c>
      <c r="F35" s="34" t="s">
        <v>161</v>
      </c>
      <c r="G35" s="35" t="s">
        <v>14</v>
      </c>
      <c r="H35" s="35" t="s">
        <v>14</v>
      </c>
      <c r="I35" s="35" t="s">
        <v>14</v>
      </c>
      <c r="J35" s="35" t="str">
        <f t="shared" si="0"/>
        <v>-</v>
      </c>
      <c r="K35" s="31" t="str">
        <f t="shared" ref="K35:K66" ca="1" si="2">IF(IFERROR(L35,7)=7,"",RIGHT(L35,LEN(L35)-2)&amp;".")</f>
        <v>/A.</v>
      </c>
      <c r="L35" s="31" t="str">
        <f ca="1">IFERROR(__xludf.dummyfunction("CONCATENATE(ArrayFormula(""; ""&amp;QUERY(Hallazgos!A:F,""SELECT B WHERE E CONTAINS '""&amp;A35&amp;""' LABEL B ''"")))"),"#N/A")</f>
        <v>#N/A</v>
      </c>
    </row>
    <row r="36" spans="1:12" ht="191.25" x14ac:dyDescent="0.2">
      <c r="A36" s="36" t="s">
        <v>246</v>
      </c>
      <c r="B36" s="36" t="s">
        <v>247</v>
      </c>
      <c r="C36" s="37" t="s">
        <v>158</v>
      </c>
      <c r="D36" s="34" t="s">
        <v>200</v>
      </c>
      <c r="E36" s="34" t="s">
        <v>221</v>
      </c>
      <c r="F36" s="34" t="s">
        <v>161</v>
      </c>
      <c r="G36" s="35" t="s">
        <v>14</v>
      </c>
      <c r="H36" s="35" t="s">
        <v>14</v>
      </c>
      <c r="I36" s="35" t="s">
        <v>14</v>
      </c>
      <c r="J36" s="35" t="str">
        <f t="shared" si="0"/>
        <v>-</v>
      </c>
      <c r="K36" s="31" t="str">
        <f t="shared" ca="1" si="2"/>
        <v>/A.</v>
      </c>
      <c r="L36" s="31" t="str">
        <f ca="1">IFERROR(__xludf.dummyfunction("CONCATENATE(ArrayFormula(""; ""&amp;QUERY(Hallazgos!A:F,""SELECT B WHERE E CONTAINS '""&amp;A36&amp;""' LABEL B ''"")))"),"#N/A")</f>
        <v>#N/A</v>
      </c>
    </row>
    <row r="37" spans="1:12" ht="191.25" x14ac:dyDescent="0.2">
      <c r="A37" s="36" t="s">
        <v>248</v>
      </c>
      <c r="B37" s="36" t="s">
        <v>249</v>
      </c>
      <c r="C37" s="37" t="s">
        <v>158</v>
      </c>
      <c r="D37" s="34" t="s">
        <v>159</v>
      </c>
      <c r="E37" s="34" t="s">
        <v>250</v>
      </c>
      <c r="F37" s="34" t="s">
        <v>161</v>
      </c>
      <c r="G37" s="35" t="s">
        <v>14</v>
      </c>
      <c r="H37" s="35" t="s">
        <v>14</v>
      </c>
      <c r="I37" s="35" t="s">
        <v>14</v>
      </c>
      <c r="J37" s="35" t="str">
        <f t="shared" si="0"/>
        <v>-</v>
      </c>
      <c r="K37" s="31" t="str">
        <f t="shared" ca="1" si="2"/>
        <v>/A.</v>
      </c>
      <c r="L37" s="31" t="str">
        <f ca="1">IFERROR(__xludf.dummyfunction("CONCATENATE(ArrayFormula(""; ""&amp;QUERY(Hallazgos!A:F,""SELECT B WHERE E CONTAINS '""&amp;A37&amp;""' LABEL B ''"")))"),"#N/A")</f>
        <v>#N/A</v>
      </c>
    </row>
    <row r="38" spans="1:12" ht="191.25" x14ac:dyDescent="0.2">
      <c r="A38" s="32" t="s">
        <v>251</v>
      </c>
      <c r="B38" s="32" t="s">
        <v>252</v>
      </c>
      <c r="C38" s="33" t="s">
        <v>158</v>
      </c>
      <c r="D38" s="34" t="s">
        <v>253</v>
      </c>
      <c r="E38" s="34" t="s">
        <v>250</v>
      </c>
      <c r="F38" s="34" t="s">
        <v>161</v>
      </c>
      <c r="G38" s="35" t="s">
        <v>14</v>
      </c>
      <c r="H38" s="35" t="s">
        <v>14</v>
      </c>
      <c r="I38" s="35" t="s">
        <v>14</v>
      </c>
      <c r="J38" s="35" t="str">
        <f t="shared" si="0"/>
        <v>-</v>
      </c>
      <c r="K38" s="31" t="str">
        <f t="shared" ca="1" si="2"/>
        <v>/A.</v>
      </c>
      <c r="L38" s="31" t="str">
        <f ca="1">IFERROR(__xludf.dummyfunction("CONCATENATE(ArrayFormula(""; ""&amp;QUERY(Hallazgos!A:F,""SELECT B WHERE E CONTAINS '""&amp;A38&amp;""' LABEL B ''"")))"),"#N/A")</f>
        <v>#N/A</v>
      </c>
    </row>
    <row r="39" spans="1:12" ht="165.75" x14ac:dyDescent="0.2">
      <c r="A39" s="32" t="s">
        <v>254</v>
      </c>
      <c r="B39" s="32" t="s">
        <v>255</v>
      </c>
      <c r="C39" s="33" t="s">
        <v>158</v>
      </c>
      <c r="D39" s="34" t="s">
        <v>239</v>
      </c>
      <c r="E39" s="34" t="s">
        <v>218</v>
      </c>
      <c r="F39" s="34" t="s">
        <v>161</v>
      </c>
      <c r="G39" s="35" t="s">
        <v>14</v>
      </c>
      <c r="H39" s="35" t="s">
        <v>14</v>
      </c>
      <c r="I39" s="35" t="s">
        <v>14</v>
      </c>
      <c r="J39" s="35" t="str">
        <f t="shared" si="0"/>
        <v>-</v>
      </c>
      <c r="K39" s="31" t="str">
        <f t="shared" ca="1" si="2"/>
        <v>/A.</v>
      </c>
      <c r="L39" s="31" t="str">
        <f ca="1">IFERROR(__xludf.dummyfunction("CONCATENATE(ArrayFormula(""; ""&amp;QUERY(Hallazgos!A:F,""SELECT B WHERE E CONTAINS '""&amp;A39&amp;""' LABEL B ''"")))"),"#N/A")</f>
        <v>#N/A</v>
      </c>
    </row>
    <row r="40" spans="1:12" ht="178.5" x14ac:dyDescent="0.2">
      <c r="A40" s="32" t="s">
        <v>256</v>
      </c>
      <c r="B40" s="32" t="s">
        <v>257</v>
      </c>
      <c r="C40" s="33" t="s">
        <v>164</v>
      </c>
      <c r="D40" s="34" t="s">
        <v>258</v>
      </c>
      <c r="E40" s="34" t="s">
        <v>205</v>
      </c>
      <c r="F40" s="34" t="s">
        <v>161</v>
      </c>
      <c r="G40" s="35" t="s">
        <v>14</v>
      </c>
      <c r="H40" s="35" t="s">
        <v>14</v>
      </c>
      <c r="I40" s="35" t="s">
        <v>14</v>
      </c>
      <c r="J40" s="35" t="str">
        <f t="shared" si="0"/>
        <v>-</v>
      </c>
      <c r="K40" s="31" t="str">
        <f t="shared" ca="1" si="2"/>
        <v>/A.</v>
      </c>
      <c r="L40" s="31" t="str">
        <f ca="1">IFERROR(__xludf.dummyfunction("CONCATENATE(ArrayFormula(""; ""&amp;QUERY(Hallazgos!A:F,""SELECT B WHERE E CONTAINS '""&amp;A40&amp;""' LABEL B ''"")))"),"#N/A")</f>
        <v>#N/A</v>
      </c>
    </row>
    <row r="41" spans="1:12" ht="140.25" x14ac:dyDescent="0.2">
      <c r="A41" s="32" t="s">
        <v>259</v>
      </c>
      <c r="B41" s="32" t="s">
        <v>260</v>
      </c>
      <c r="C41" s="37" t="s">
        <v>158</v>
      </c>
      <c r="D41" s="34" t="s">
        <v>159</v>
      </c>
      <c r="E41" s="34" t="s">
        <v>250</v>
      </c>
      <c r="F41" s="34" t="s">
        <v>161</v>
      </c>
      <c r="G41" s="35" t="s">
        <v>14</v>
      </c>
      <c r="H41" s="35" t="s">
        <v>14</v>
      </c>
      <c r="I41" s="35" t="s">
        <v>14</v>
      </c>
      <c r="J41" s="35" t="str">
        <f t="shared" si="0"/>
        <v>-</v>
      </c>
      <c r="K41" s="31" t="str">
        <f t="shared" ca="1" si="2"/>
        <v>/A.</v>
      </c>
      <c r="L41" s="31" t="str">
        <f ca="1">IFERROR(__xludf.dummyfunction("CONCATENATE(ArrayFormula(""; ""&amp;QUERY(Hallazgos!A:F,""SELECT B WHERE E CONTAINS '""&amp;A41&amp;""' LABEL B ''"")))"),"#N/A")</f>
        <v>#N/A</v>
      </c>
    </row>
    <row r="42" spans="1:12" ht="216.75" x14ac:dyDescent="0.2">
      <c r="A42" s="32" t="s">
        <v>261</v>
      </c>
      <c r="B42" s="32" t="s">
        <v>262</v>
      </c>
      <c r="C42" s="33" t="s">
        <v>158</v>
      </c>
      <c r="D42" s="34" t="s">
        <v>263</v>
      </c>
      <c r="E42" s="34" t="s">
        <v>250</v>
      </c>
      <c r="F42" s="34" t="s">
        <v>161</v>
      </c>
      <c r="G42" s="35" t="s">
        <v>14</v>
      </c>
      <c r="H42" s="35" t="s">
        <v>14</v>
      </c>
      <c r="I42" s="35" t="s">
        <v>14</v>
      </c>
      <c r="J42" s="35" t="str">
        <f t="shared" si="0"/>
        <v>-</v>
      </c>
      <c r="K42" s="31" t="str">
        <f t="shared" ca="1" si="2"/>
        <v>/A.</v>
      </c>
      <c r="L42" s="31" t="str">
        <f ca="1">IFERROR(__xludf.dummyfunction("CONCATENATE(ArrayFormula(""; ""&amp;QUERY(Hallazgos!A:F,""SELECT B WHERE E CONTAINS '""&amp;A42&amp;""' LABEL B ''"")))"),"#N/A")</f>
        <v>#N/A</v>
      </c>
    </row>
    <row r="43" spans="1:12" ht="255" x14ac:dyDescent="0.2">
      <c r="A43" s="32" t="s">
        <v>264</v>
      </c>
      <c r="B43" s="32" t="s">
        <v>265</v>
      </c>
      <c r="C43" s="33" t="s">
        <v>158</v>
      </c>
      <c r="D43" s="34" t="s">
        <v>266</v>
      </c>
      <c r="E43" s="34" t="s">
        <v>250</v>
      </c>
      <c r="F43" s="34" t="s">
        <v>161</v>
      </c>
      <c r="G43" s="35" t="s">
        <v>14</v>
      </c>
      <c r="H43" s="35" t="s">
        <v>14</v>
      </c>
      <c r="I43" s="35" t="s">
        <v>14</v>
      </c>
      <c r="J43" s="35" t="str">
        <f t="shared" si="0"/>
        <v>-</v>
      </c>
      <c r="K43" s="31" t="str">
        <f t="shared" ca="1" si="2"/>
        <v>/A.</v>
      </c>
      <c r="L43" s="31" t="str">
        <f ca="1">IFERROR(__xludf.dummyfunction("CONCATENATE(ArrayFormula(""; ""&amp;QUERY(Hallazgos!A:F,""SELECT B WHERE E CONTAINS '""&amp;A43&amp;""' LABEL B ''"")))"),"#N/A")</f>
        <v>#N/A</v>
      </c>
    </row>
    <row r="44" spans="1:12" ht="140.25" x14ac:dyDescent="0.2">
      <c r="A44" s="32" t="s">
        <v>267</v>
      </c>
      <c r="B44" s="32" t="s">
        <v>268</v>
      </c>
      <c r="C44" s="33" t="s">
        <v>158</v>
      </c>
      <c r="D44" s="34" t="s">
        <v>269</v>
      </c>
      <c r="E44" s="34" t="s">
        <v>221</v>
      </c>
      <c r="F44" s="34" t="s">
        <v>161</v>
      </c>
      <c r="G44" s="35" t="s">
        <v>14</v>
      </c>
      <c r="H44" s="35" t="s">
        <v>14</v>
      </c>
      <c r="I44" s="35" t="s">
        <v>14</v>
      </c>
      <c r="J44" s="35" t="str">
        <f t="shared" si="0"/>
        <v>-</v>
      </c>
      <c r="K44" s="31" t="str">
        <f t="shared" ca="1" si="2"/>
        <v>/A.</v>
      </c>
      <c r="L44" s="31" t="str">
        <f ca="1">IFERROR(__xludf.dummyfunction("CONCATENATE(ArrayFormula(""; ""&amp;QUERY(Hallazgos!A:F,""SELECT B WHERE E CONTAINS '""&amp;A44&amp;""' LABEL B ''"")))"),"#N/A")</f>
        <v>#N/A</v>
      </c>
    </row>
    <row r="45" spans="1:12" ht="127.5" x14ac:dyDescent="0.2">
      <c r="A45" s="32" t="s">
        <v>270</v>
      </c>
      <c r="B45" s="32" t="s">
        <v>271</v>
      </c>
      <c r="C45" s="33" t="s">
        <v>158</v>
      </c>
      <c r="D45" s="34" t="s">
        <v>269</v>
      </c>
      <c r="E45" s="34" t="s">
        <v>272</v>
      </c>
      <c r="F45" s="34" t="s">
        <v>161</v>
      </c>
      <c r="G45" s="35" t="s">
        <v>14</v>
      </c>
      <c r="H45" s="35" t="s">
        <v>14</v>
      </c>
      <c r="I45" s="35" t="s">
        <v>14</v>
      </c>
      <c r="J45" s="35" t="str">
        <f t="shared" si="0"/>
        <v>-</v>
      </c>
      <c r="K45" s="31" t="str">
        <f t="shared" ca="1" si="2"/>
        <v>/A.</v>
      </c>
      <c r="L45" s="31" t="str">
        <f ca="1">IFERROR(__xludf.dummyfunction("CONCATENATE(ArrayFormula(""; ""&amp;QUERY(Hallazgos!A:F,""SELECT B WHERE E CONTAINS '""&amp;A45&amp;""' LABEL B ''"")))"),"#N/A")</f>
        <v>#N/A</v>
      </c>
    </row>
    <row r="46" spans="1:12" ht="165.75" x14ac:dyDescent="0.2">
      <c r="A46" s="32" t="s">
        <v>273</v>
      </c>
      <c r="B46" s="32" t="s">
        <v>274</v>
      </c>
      <c r="C46" s="33" t="s">
        <v>158</v>
      </c>
      <c r="D46" s="34" t="s">
        <v>269</v>
      </c>
      <c r="E46" s="34" t="s">
        <v>160</v>
      </c>
      <c r="F46" s="34" t="s">
        <v>161</v>
      </c>
      <c r="G46" s="35" t="s">
        <v>14</v>
      </c>
      <c r="H46" s="35" t="s">
        <v>14</v>
      </c>
      <c r="I46" s="35" t="s">
        <v>14</v>
      </c>
      <c r="J46" s="35" t="str">
        <f t="shared" si="0"/>
        <v>-</v>
      </c>
      <c r="K46" s="31" t="str">
        <f t="shared" ca="1" si="2"/>
        <v>/A.</v>
      </c>
      <c r="L46" s="31" t="str">
        <f ca="1">IFERROR(__xludf.dummyfunction("CONCATENATE(ArrayFormula(""; ""&amp;QUERY(Hallazgos!A:F,""SELECT B WHERE E CONTAINS '""&amp;A46&amp;""' LABEL B ''"")))"),"#N/A")</f>
        <v>#N/A</v>
      </c>
    </row>
    <row r="47" spans="1:12" ht="242.25" x14ac:dyDescent="0.2">
      <c r="A47" s="32" t="s">
        <v>275</v>
      </c>
      <c r="B47" s="32" t="s">
        <v>276</v>
      </c>
      <c r="C47" s="33" t="s">
        <v>158</v>
      </c>
      <c r="D47" s="34" t="s">
        <v>269</v>
      </c>
      <c r="E47" s="34" t="s">
        <v>221</v>
      </c>
      <c r="F47" s="34" t="s">
        <v>161</v>
      </c>
      <c r="G47" s="35" t="s">
        <v>14</v>
      </c>
      <c r="H47" s="35" t="s">
        <v>14</v>
      </c>
      <c r="I47" s="35" t="s">
        <v>14</v>
      </c>
      <c r="J47" s="35" t="str">
        <f t="shared" si="0"/>
        <v>-</v>
      </c>
      <c r="K47" s="31" t="str">
        <f t="shared" ca="1" si="2"/>
        <v>/A.</v>
      </c>
      <c r="L47" s="31" t="str">
        <f ca="1">IFERROR(__xludf.dummyfunction("CONCATENATE(ArrayFormula(""; ""&amp;QUERY(Hallazgos!A:F,""SELECT B WHERE E CONTAINS '""&amp;A47&amp;""' LABEL B ''"")))"),"#N/A")</f>
        <v>#N/A</v>
      </c>
    </row>
    <row r="48" spans="1:12" ht="114.75" x14ac:dyDescent="0.2">
      <c r="A48" s="32" t="s">
        <v>277</v>
      </c>
      <c r="B48" s="32" t="s">
        <v>278</v>
      </c>
      <c r="C48" s="33" t="s">
        <v>158</v>
      </c>
      <c r="D48" s="34" t="s">
        <v>269</v>
      </c>
      <c r="E48" s="34" t="s">
        <v>197</v>
      </c>
      <c r="F48" s="34" t="s">
        <v>161</v>
      </c>
      <c r="G48" s="35" t="s">
        <v>14</v>
      </c>
      <c r="H48" s="35" t="s">
        <v>14</v>
      </c>
      <c r="I48" s="35" t="s">
        <v>14</v>
      </c>
      <c r="J48" s="35" t="str">
        <f t="shared" si="0"/>
        <v>-</v>
      </c>
      <c r="K48" s="31" t="str">
        <f t="shared" ca="1" si="2"/>
        <v>/A.</v>
      </c>
      <c r="L48" s="31" t="str">
        <f ca="1">IFERROR(__xludf.dummyfunction("CONCATENATE(ArrayFormula(""; ""&amp;QUERY(Hallazgos!A:F,""SELECT B WHERE E CONTAINS '""&amp;A48&amp;""' LABEL B ''"")))"),"#N/A")</f>
        <v>#N/A</v>
      </c>
    </row>
    <row r="49" spans="1:12" ht="165.75" x14ac:dyDescent="0.2">
      <c r="A49" s="32" t="s">
        <v>279</v>
      </c>
      <c r="B49" s="32" t="s">
        <v>280</v>
      </c>
      <c r="C49" s="33" t="s">
        <v>182</v>
      </c>
      <c r="D49" s="34" t="s">
        <v>269</v>
      </c>
      <c r="E49" s="34" t="s">
        <v>221</v>
      </c>
      <c r="F49" s="34" t="s">
        <v>161</v>
      </c>
      <c r="G49" s="35" t="s">
        <v>14</v>
      </c>
      <c r="H49" s="35" t="s">
        <v>14</v>
      </c>
      <c r="I49" s="35" t="s">
        <v>14</v>
      </c>
      <c r="J49" s="35" t="str">
        <f t="shared" si="0"/>
        <v>-</v>
      </c>
      <c r="K49" s="31" t="str">
        <f t="shared" ca="1" si="2"/>
        <v>/A.</v>
      </c>
      <c r="L49" s="31" t="str">
        <f ca="1">IFERROR(__xludf.dummyfunction("CONCATENATE(ArrayFormula(""; ""&amp;QUERY(Hallazgos!A:F,""SELECT B WHERE E CONTAINS '""&amp;A49&amp;""' LABEL B ''"")))"),"#N/A")</f>
        <v>#N/A</v>
      </c>
    </row>
    <row r="50" spans="1:12" ht="178.5" x14ac:dyDescent="0.2">
      <c r="A50" s="32" t="s">
        <v>281</v>
      </c>
      <c r="B50" s="32" t="s">
        <v>282</v>
      </c>
      <c r="C50" s="33" t="s">
        <v>164</v>
      </c>
      <c r="D50" s="34" t="s">
        <v>269</v>
      </c>
      <c r="E50" s="34" t="s">
        <v>197</v>
      </c>
      <c r="F50" s="34" t="s">
        <v>161</v>
      </c>
      <c r="G50" s="35" t="s">
        <v>14</v>
      </c>
      <c r="H50" s="35" t="s">
        <v>14</v>
      </c>
      <c r="I50" s="35" t="s">
        <v>14</v>
      </c>
      <c r="J50" s="35" t="str">
        <f t="shared" si="0"/>
        <v>-</v>
      </c>
      <c r="K50" s="31" t="str">
        <f t="shared" ca="1" si="2"/>
        <v>/A.</v>
      </c>
      <c r="L50" s="31" t="str">
        <f ca="1">IFERROR(__xludf.dummyfunction("CONCATENATE(ArrayFormula(""; ""&amp;QUERY(Hallazgos!A:F,""SELECT B WHERE E CONTAINS '""&amp;A50&amp;""' LABEL B ''"")))"),"#N/A")</f>
        <v>#N/A</v>
      </c>
    </row>
    <row r="51" spans="1:12" ht="140.25" x14ac:dyDescent="0.2">
      <c r="A51" s="32" t="s">
        <v>283</v>
      </c>
      <c r="B51" s="32" t="s">
        <v>284</v>
      </c>
      <c r="C51" s="33" t="s">
        <v>158</v>
      </c>
      <c r="D51" s="34" t="s">
        <v>269</v>
      </c>
      <c r="E51" s="34" t="s">
        <v>160</v>
      </c>
      <c r="F51" s="34" t="s">
        <v>161</v>
      </c>
      <c r="G51" s="35" t="s">
        <v>14</v>
      </c>
      <c r="H51" s="35" t="s">
        <v>14</v>
      </c>
      <c r="I51" s="35" t="s">
        <v>14</v>
      </c>
      <c r="J51" s="35" t="str">
        <f t="shared" si="0"/>
        <v>-</v>
      </c>
      <c r="K51" s="31" t="str">
        <f t="shared" ca="1" si="2"/>
        <v>/A.</v>
      </c>
      <c r="L51" s="31" t="str">
        <f ca="1">IFERROR(__xludf.dummyfunction("CONCATENATE(ArrayFormula(""; ""&amp;QUERY(Hallazgos!A:F,""SELECT B WHERE E CONTAINS '""&amp;A51&amp;""' LABEL B ''"")))"),"#N/A")</f>
        <v>#N/A</v>
      </c>
    </row>
    <row r="52" spans="1:12" ht="153" x14ac:dyDescent="0.2">
      <c r="A52" s="32" t="s">
        <v>285</v>
      </c>
      <c r="B52" s="32" t="s">
        <v>286</v>
      </c>
      <c r="C52" s="33" t="s">
        <v>158</v>
      </c>
      <c r="D52" s="34" t="s">
        <v>263</v>
      </c>
      <c r="E52" s="34" t="s">
        <v>160</v>
      </c>
      <c r="F52" s="34" t="s">
        <v>161</v>
      </c>
      <c r="G52" s="35" t="s">
        <v>14</v>
      </c>
      <c r="H52" s="35" t="s">
        <v>14</v>
      </c>
      <c r="I52" s="35" t="s">
        <v>14</v>
      </c>
      <c r="J52" s="35" t="str">
        <f t="shared" si="0"/>
        <v>-</v>
      </c>
      <c r="K52" s="31" t="str">
        <f t="shared" ca="1" si="2"/>
        <v>/A.</v>
      </c>
      <c r="L52" s="31" t="str">
        <f ca="1">IFERROR(__xludf.dummyfunction("CONCATENATE(ArrayFormula(""; ""&amp;QUERY(Hallazgos!A:F,""SELECT B WHERE E CONTAINS '""&amp;A52&amp;""' LABEL B ''"")))"),"#N/A")</f>
        <v>#N/A</v>
      </c>
    </row>
    <row r="53" spans="1:12" ht="191.25" x14ac:dyDescent="0.2">
      <c r="A53" s="32" t="s">
        <v>287</v>
      </c>
      <c r="B53" s="32" t="s">
        <v>288</v>
      </c>
      <c r="C53" s="33" t="s">
        <v>182</v>
      </c>
      <c r="D53" s="34" t="s">
        <v>210</v>
      </c>
      <c r="E53" s="34" t="s">
        <v>166</v>
      </c>
      <c r="F53" s="34" t="s">
        <v>194</v>
      </c>
      <c r="G53" s="35" t="s">
        <v>14</v>
      </c>
      <c r="H53" s="35" t="s">
        <v>14</v>
      </c>
      <c r="I53" s="35" t="s">
        <v>14</v>
      </c>
      <c r="J53" s="35" t="str">
        <f t="shared" si="0"/>
        <v>-</v>
      </c>
      <c r="K53" s="31" t="str">
        <f t="shared" ca="1" si="2"/>
        <v>/A.</v>
      </c>
      <c r="L53" s="31" t="str">
        <f ca="1">IFERROR(__xludf.dummyfunction("CONCATENATE(ArrayFormula(""; ""&amp;QUERY(Hallazgos!A:F,""SELECT B WHERE E CONTAINS '""&amp;A53&amp;""' LABEL B ''"")))"),"#N/A")</f>
        <v>#N/A</v>
      </c>
    </row>
    <row r="54" spans="1:12" ht="102" x14ac:dyDescent="0.2">
      <c r="A54" s="32" t="s">
        <v>289</v>
      </c>
      <c r="B54" s="32" t="s">
        <v>290</v>
      </c>
      <c r="C54" s="33" t="s">
        <v>182</v>
      </c>
      <c r="D54" s="34" t="s">
        <v>210</v>
      </c>
      <c r="E54" s="34" t="s">
        <v>205</v>
      </c>
      <c r="F54" s="34" t="s">
        <v>194</v>
      </c>
      <c r="G54" s="35" t="s">
        <v>14</v>
      </c>
      <c r="H54" s="35" t="s">
        <v>14</v>
      </c>
      <c r="I54" s="35" t="s">
        <v>14</v>
      </c>
      <c r="J54" s="35" t="str">
        <f t="shared" si="0"/>
        <v>-</v>
      </c>
      <c r="K54" s="31" t="str">
        <f t="shared" ca="1" si="2"/>
        <v>/A.</v>
      </c>
      <c r="L54" s="31" t="str">
        <f ca="1">IFERROR(__xludf.dummyfunction("CONCATENATE(ArrayFormula(""; ""&amp;QUERY(Hallazgos!A:F,""SELECT B WHERE E CONTAINS '""&amp;A54&amp;""' LABEL B ''"")))"),"#N/A")</f>
        <v>#N/A</v>
      </c>
    </row>
    <row r="55" spans="1:12" ht="89.25" x14ac:dyDescent="0.2">
      <c r="A55" s="32" t="s">
        <v>291</v>
      </c>
      <c r="B55" s="32" t="s">
        <v>292</v>
      </c>
      <c r="C55" s="33" t="s">
        <v>158</v>
      </c>
      <c r="D55" s="34" t="s">
        <v>210</v>
      </c>
      <c r="E55" s="34" t="s">
        <v>160</v>
      </c>
      <c r="F55" s="34" t="s">
        <v>194</v>
      </c>
      <c r="G55" s="35" t="s">
        <v>14</v>
      </c>
      <c r="H55" s="35" t="s">
        <v>14</v>
      </c>
      <c r="I55" s="35" t="s">
        <v>14</v>
      </c>
      <c r="J55" s="35" t="str">
        <f t="shared" si="0"/>
        <v>-</v>
      </c>
      <c r="K55" s="31" t="str">
        <f t="shared" ca="1" si="2"/>
        <v>/A.</v>
      </c>
      <c r="L55" s="31" t="str">
        <f ca="1">IFERROR(__xludf.dummyfunction("CONCATENATE(ArrayFormula(""; ""&amp;QUERY(Hallazgos!A:F,""SELECT B WHERE E CONTAINS '""&amp;A55&amp;""' LABEL B ''"")))"),"#N/A")</f>
        <v>#N/A</v>
      </c>
    </row>
    <row r="56" spans="1:12" ht="102" x14ac:dyDescent="0.2">
      <c r="A56" s="32" t="s">
        <v>293</v>
      </c>
      <c r="B56" s="32" t="s">
        <v>294</v>
      </c>
      <c r="C56" s="33" t="s">
        <v>158</v>
      </c>
      <c r="D56" s="34" t="s">
        <v>210</v>
      </c>
      <c r="E56" s="34" t="s">
        <v>205</v>
      </c>
      <c r="F56" s="34" t="s">
        <v>194</v>
      </c>
      <c r="G56" s="35" t="s">
        <v>14</v>
      </c>
      <c r="H56" s="35" t="s">
        <v>14</v>
      </c>
      <c r="I56" s="35" t="s">
        <v>14</v>
      </c>
      <c r="J56" s="35" t="str">
        <f t="shared" si="0"/>
        <v>-</v>
      </c>
      <c r="K56" s="31" t="str">
        <f t="shared" ca="1" si="2"/>
        <v>/A.</v>
      </c>
      <c r="L56" s="31" t="str">
        <f ca="1">IFERROR(__xludf.dummyfunction("CONCATENATE(ArrayFormula(""; ""&amp;QUERY(Hallazgos!A:F,""SELECT B WHERE E CONTAINS '""&amp;A56&amp;""' LABEL B ''"")))"),"#N/A")</f>
        <v>#N/A</v>
      </c>
    </row>
    <row r="57" spans="1:12" ht="280.5" x14ac:dyDescent="0.2">
      <c r="A57" s="32" t="s">
        <v>295</v>
      </c>
      <c r="B57" s="32" t="s">
        <v>296</v>
      </c>
      <c r="C57" s="33" t="s">
        <v>164</v>
      </c>
      <c r="D57" s="34" t="s">
        <v>210</v>
      </c>
      <c r="E57" s="34" t="s">
        <v>205</v>
      </c>
      <c r="F57" s="34" t="s">
        <v>194</v>
      </c>
      <c r="G57" s="35" t="s">
        <v>14</v>
      </c>
      <c r="H57" s="35" t="s">
        <v>14</v>
      </c>
      <c r="I57" s="35" t="s">
        <v>14</v>
      </c>
      <c r="J57" s="35" t="str">
        <f t="shared" si="0"/>
        <v>-</v>
      </c>
      <c r="K57" s="31" t="str">
        <f t="shared" ca="1" si="2"/>
        <v>/A.</v>
      </c>
      <c r="L57" s="31" t="str">
        <f ca="1">IFERROR(__xludf.dummyfunction("CONCATENATE(ArrayFormula(""; ""&amp;QUERY(Hallazgos!A:F,""SELECT B WHERE E CONTAINS '""&amp;A57&amp;""' LABEL B ''"")))"),"#N/A")</f>
        <v>#N/A</v>
      </c>
    </row>
    <row r="58" spans="1:12" ht="114.75" x14ac:dyDescent="0.2">
      <c r="A58" s="38" t="s">
        <v>297</v>
      </c>
      <c r="B58" s="32" t="s">
        <v>298</v>
      </c>
      <c r="C58" s="37" t="s">
        <v>158</v>
      </c>
      <c r="D58" s="34" t="s">
        <v>210</v>
      </c>
      <c r="E58" s="34" t="s">
        <v>160</v>
      </c>
      <c r="F58" s="34" t="s">
        <v>191</v>
      </c>
      <c r="G58" s="35" t="s">
        <v>14</v>
      </c>
      <c r="H58" s="35" t="s">
        <v>14</v>
      </c>
      <c r="I58" s="35" t="s">
        <v>14</v>
      </c>
      <c r="J58" s="35" t="str">
        <f t="shared" si="0"/>
        <v>-</v>
      </c>
      <c r="K58" s="31" t="str">
        <f t="shared" ca="1" si="2"/>
        <v>/A.</v>
      </c>
      <c r="L58" s="31" t="str">
        <f ca="1">IFERROR(__xludf.dummyfunction("CONCATENATE(ArrayFormula(""; ""&amp;QUERY(Hallazgos!A:F,""SELECT B WHERE E CONTAINS '""&amp;A58&amp;""' LABEL B ''"")))"),"#N/A")</f>
        <v>#N/A</v>
      </c>
    </row>
    <row r="59" spans="1:12" ht="165.75" x14ac:dyDescent="0.2">
      <c r="A59" s="38" t="s">
        <v>299</v>
      </c>
      <c r="B59" s="32" t="s">
        <v>300</v>
      </c>
      <c r="C59" s="37" t="s">
        <v>158</v>
      </c>
      <c r="D59" s="34" t="s">
        <v>210</v>
      </c>
      <c r="E59" s="34" t="s">
        <v>205</v>
      </c>
      <c r="F59" s="34" t="s">
        <v>194</v>
      </c>
      <c r="G59" s="35" t="s">
        <v>14</v>
      </c>
      <c r="H59" s="35" t="s">
        <v>14</v>
      </c>
      <c r="I59" s="35" t="s">
        <v>14</v>
      </c>
      <c r="J59" s="35" t="str">
        <f t="shared" si="0"/>
        <v>-</v>
      </c>
      <c r="K59" s="31" t="str">
        <f t="shared" ca="1" si="2"/>
        <v>/A.</v>
      </c>
      <c r="L59" s="31" t="str">
        <f ca="1">IFERROR(__xludf.dummyfunction("CONCATENATE(ArrayFormula(""; ""&amp;QUERY(Hallazgos!A:F,""SELECT B WHERE E CONTAINS '""&amp;A59&amp;""' LABEL B ''"")))"),"#N/A")</f>
        <v>#N/A</v>
      </c>
    </row>
    <row r="60" spans="1:12" ht="127.5" x14ac:dyDescent="0.2">
      <c r="A60" s="36" t="s">
        <v>301</v>
      </c>
      <c r="B60" s="36" t="s">
        <v>302</v>
      </c>
      <c r="C60" s="37" t="s">
        <v>158</v>
      </c>
      <c r="D60" s="34" t="s">
        <v>210</v>
      </c>
      <c r="E60" s="34" t="s">
        <v>205</v>
      </c>
      <c r="F60" s="34" t="s">
        <v>194</v>
      </c>
      <c r="G60" s="35" t="s">
        <v>14</v>
      </c>
      <c r="H60" s="35" t="s">
        <v>14</v>
      </c>
      <c r="I60" s="35" t="s">
        <v>14</v>
      </c>
      <c r="J60" s="35" t="str">
        <f t="shared" si="0"/>
        <v>-</v>
      </c>
      <c r="K60" s="31" t="str">
        <f t="shared" ca="1" si="2"/>
        <v>/A.</v>
      </c>
      <c r="L60" s="31" t="str">
        <f ca="1">IFERROR(__xludf.dummyfunction("CONCATENATE(ArrayFormula(""; ""&amp;QUERY(Hallazgos!A:F,""SELECT B WHERE E CONTAINS '""&amp;A60&amp;""' LABEL B ''"")))"),"#N/A")</f>
        <v>#N/A</v>
      </c>
    </row>
    <row r="61" spans="1:12" ht="89.25" x14ac:dyDescent="0.2">
      <c r="A61" s="36" t="s">
        <v>303</v>
      </c>
      <c r="B61" s="36" t="s">
        <v>304</v>
      </c>
      <c r="C61" s="37" t="s">
        <v>182</v>
      </c>
      <c r="D61" s="34" t="s">
        <v>305</v>
      </c>
      <c r="E61" s="34" t="s">
        <v>197</v>
      </c>
      <c r="F61" s="34" t="s">
        <v>194</v>
      </c>
      <c r="G61" s="35" t="s">
        <v>14</v>
      </c>
      <c r="H61" s="35" t="s">
        <v>14</v>
      </c>
      <c r="I61" s="35" t="s">
        <v>14</v>
      </c>
      <c r="J61" s="35" t="str">
        <f t="shared" si="0"/>
        <v>-</v>
      </c>
      <c r="K61" s="31" t="str">
        <f t="shared" ca="1" si="2"/>
        <v>/A.</v>
      </c>
      <c r="L61" s="31" t="str">
        <f ca="1">IFERROR(__xludf.dummyfunction("CONCATENATE(ArrayFormula(""; ""&amp;QUERY(Hallazgos!A:F,""SELECT B WHERE E CONTAINS '""&amp;A61&amp;""' LABEL B ''"")))"),"#N/A")</f>
        <v>#N/A</v>
      </c>
    </row>
    <row r="62" spans="1:12" ht="178.5" x14ac:dyDescent="0.2">
      <c r="A62" s="36" t="s">
        <v>306</v>
      </c>
      <c r="B62" s="36" t="s">
        <v>307</v>
      </c>
      <c r="C62" s="37" t="s">
        <v>158</v>
      </c>
      <c r="D62" s="34" t="s">
        <v>190</v>
      </c>
      <c r="E62" s="34" t="s">
        <v>205</v>
      </c>
      <c r="F62" s="34" t="s">
        <v>194</v>
      </c>
      <c r="G62" s="35" t="s">
        <v>14</v>
      </c>
      <c r="H62" s="35" t="s">
        <v>14</v>
      </c>
      <c r="I62" s="35" t="s">
        <v>14</v>
      </c>
      <c r="J62" s="35" t="str">
        <f t="shared" si="0"/>
        <v>-</v>
      </c>
      <c r="K62" s="31" t="str">
        <f t="shared" ca="1" si="2"/>
        <v>/A.</v>
      </c>
      <c r="L62" s="31" t="str">
        <f ca="1">IFERROR(__xludf.dummyfunction("CONCATENATE(ArrayFormula(""; ""&amp;QUERY(Hallazgos!A:F,""SELECT B WHERE E CONTAINS '""&amp;A62&amp;""' LABEL B ''"")))"),"#N/A")</f>
        <v>#N/A</v>
      </c>
    </row>
    <row r="63" spans="1:12" ht="178.5" x14ac:dyDescent="0.2">
      <c r="A63" s="38" t="s">
        <v>308</v>
      </c>
      <c r="B63" s="36" t="s">
        <v>309</v>
      </c>
      <c r="C63" s="37" t="s">
        <v>158</v>
      </c>
      <c r="D63" s="34" t="s">
        <v>190</v>
      </c>
      <c r="E63" s="34" t="s">
        <v>205</v>
      </c>
      <c r="F63" s="34" t="s">
        <v>194</v>
      </c>
      <c r="G63" s="35" t="s">
        <v>14</v>
      </c>
      <c r="H63" s="35" t="s">
        <v>14</v>
      </c>
      <c r="I63" s="35" t="s">
        <v>14</v>
      </c>
      <c r="J63" s="35" t="str">
        <f t="shared" si="0"/>
        <v>-</v>
      </c>
      <c r="K63" s="31" t="str">
        <f t="shared" ca="1" si="2"/>
        <v>/A.</v>
      </c>
      <c r="L63" s="31" t="str">
        <f ca="1">IFERROR(__xludf.dummyfunction("CONCATENATE(ArrayFormula(""; ""&amp;QUERY(Hallazgos!A:F,""SELECT B WHERE E CONTAINS '""&amp;A63&amp;""' LABEL B ''"")))"),"#N/A")</f>
        <v>#N/A</v>
      </c>
    </row>
    <row r="64" spans="1:12" ht="89.25" x14ac:dyDescent="0.2">
      <c r="A64" s="32" t="s">
        <v>310</v>
      </c>
      <c r="B64" s="32" t="s">
        <v>311</v>
      </c>
      <c r="C64" s="33" t="s">
        <v>158</v>
      </c>
      <c r="D64" s="34" t="s">
        <v>210</v>
      </c>
      <c r="E64" s="34" t="s">
        <v>312</v>
      </c>
      <c r="F64" s="34" t="s">
        <v>194</v>
      </c>
      <c r="G64" s="35" t="s">
        <v>14</v>
      </c>
      <c r="H64" s="35" t="s">
        <v>14</v>
      </c>
      <c r="I64" s="35" t="s">
        <v>14</v>
      </c>
      <c r="J64" s="35" t="str">
        <f t="shared" si="0"/>
        <v>-</v>
      </c>
      <c r="K64" s="31" t="str">
        <f t="shared" ca="1" si="2"/>
        <v>/A.</v>
      </c>
      <c r="L64" s="31" t="str">
        <f ca="1">IFERROR(__xludf.dummyfunction("CONCATENATE(ArrayFormula(""; ""&amp;QUERY(Hallazgos!A:F,""SELECT B WHERE E CONTAINS '""&amp;A64&amp;""' LABEL B ''"")))"),"#N/A")</f>
        <v>#N/A</v>
      </c>
    </row>
    <row r="65" spans="1:12" ht="140.25" x14ac:dyDescent="0.2">
      <c r="A65" s="32" t="s">
        <v>313</v>
      </c>
      <c r="B65" s="32" t="s">
        <v>314</v>
      </c>
      <c r="C65" s="33" t="s">
        <v>158</v>
      </c>
      <c r="D65" s="34" t="s">
        <v>210</v>
      </c>
      <c r="E65" s="34" t="s">
        <v>312</v>
      </c>
      <c r="F65" s="34" t="s">
        <v>194</v>
      </c>
      <c r="G65" s="35" t="s">
        <v>14</v>
      </c>
      <c r="H65" s="35" t="s">
        <v>14</v>
      </c>
      <c r="I65" s="35" t="s">
        <v>14</v>
      </c>
      <c r="J65" s="35" t="str">
        <f t="shared" si="0"/>
        <v>-</v>
      </c>
      <c r="K65" s="31" t="str">
        <f t="shared" ca="1" si="2"/>
        <v>/A.</v>
      </c>
      <c r="L65" s="31" t="str">
        <f ca="1">IFERROR(__xludf.dummyfunction("CONCATENATE(ArrayFormula(""; ""&amp;QUERY(Hallazgos!A:F,""SELECT B WHERE E CONTAINS '""&amp;A65&amp;""' LABEL B ''"")))"),"#N/A")</f>
        <v>#N/A</v>
      </c>
    </row>
    <row r="66" spans="1:12" ht="114.75" x14ac:dyDescent="0.2">
      <c r="A66" s="32" t="s">
        <v>315</v>
      </c>
      <c r="B66" s="32" t="s">
        <v>316</v>
      </c>
      <c r="C66" s="33" t="s">
        <v>158</v>
      </c>
      <c r="D66" s="34" t="s">
        <v>210</v>
      </c>
      <c r="E66" s="34" t="s">
        <v>211</v>
      </c>
      <c r="F66" s="34" t="s">
        <v>194</v>
      </c>
      <c r="G66" s="35" t="s">
        <v>14</v>
      </c>
      <c r="H66" s="35" t="s">
        <v>14</v>
      </c>
      <c r="I66" s="35" t="s">
        <v>14</v>
      </c>
      <c r="J66" s="35" t="str">
        <f t="shared" si="0"/>
        <v>-</v>
      </c>
      <c r="K66" s="31" t="str">
        <f t="shared" ca="1" si="2"/>
        <v>/A.</v>
      </c>
      <c r="L66" s="31" t="str">
        <f ca="1">IFERROR(__xludf.dummyfunction("CONCATENATE(ArrayFormula(""; ""&amp;QUERY(Hallazgos!A:F,""SELECT B WHERE E CONTAINS '""&amp;A66&amp;""' LABEL B ''"")))"),"#N/A")</f>
        <v>#N/A</v>
      </c>
    </row>
    <row r="67" spans="1:12" ht="140.25" x14ac:dyDescent="0.2">
      <c r="A67" s="32" t="s">
        <v>317</v>
      </c>
      <c r="B67" s="32" t="s">
        <v>318</v>
      </c>
      <c r="C67" s="33" t="s">
        <v>158</v>
      </c>
      <c r="D67" s="34" t="s">
        <v>210</v>
      </c>
      <c r="E67" s="34" t="s">
        <v>211</v>
      </c>
      <c r="F67" s="34" t="s">
        <v>194</v>
      </c>
      <c r="G67" s="35" t="s">
        <v>14</v>
      </c>
      <c r="H67" s="35" t="s">
        <v>14</v>
      </c>
      <c r="I67" s="35" t="s">
        <v>14</v>
      </c>
      <c r="J67" s="35" t="str">
        <f t="shared" ref="J67:J130" si="3">IF(G67="Sí", IF(H67="Sí", "DP", "SP"), IF(H67="Sí", "SD", "-"))</f>
        <v>-</v>
      </c>
      <c r="K67" s="31" t="str">
        <f t="shared" ref="K67:K98" ca="1" si="4">IF(IFERROR(L67,7)=7,"",RIGHT(L67,LEN(L67)-2)&amp;".")</f>
        <v>/A.</v>
      </c>
      <c r="L67" s="31" t="str">
        <f ca="1">IFERROR(__xludf.dummyfunction("CONCATENATE(ArrayFormula(""; ""&amp;QUERY(Hallazgos!A:F,""SELECT B WHERE E CONTAINS '""&amp;A67&amp;""' LABEL B ''"")))"),"#N/A")</f>
        <v>#N/A</v>
      </c>
    </row>
    <row r="68" spans="1:12" ht="229.5" x14ac:dyDescent="0.2">
      <c r="A68" s="32" t="s">
        <v>319</v>
      </c>
      <c r="B68" s="32" t="s">
        <v>320</v>
      </c>
      <c r="C68" s="33" t="s">
        <v>158</v>
      </c>
      <c r="D68" s="34" t="s">
        <v>210</v>
      </c>
      <c r="E68" s="34" t="s">
        <v>312</v>
      </c>
      <c r="F68" s="34" t="s">
        <v>194</v>
      </c>
      <c r="G68" s="35" t="s">
        <v>14</v>
      </c>
      <c r="H68" s="35" t="s">
        <v>14</v>
      </c>
      <c r="I68" s="35" t="s">
        <v>14</v>
      </c>
      <c r="J68" s="35" t="str">
        <f t="shared" si="3"/>
        <v>-</v>
      </c>
      <c r="K68" s="31" t="str">
        <f t="shared" ca="1" si="4"/>
        <v>/A.</v>
      </c>
      <c r="L68" s="31" t="str">
        <f ca="1">IFERROR(__xludf.dummyfunction("CONCATENATE(ArrayFormula(""; ""&amp;QUERY(Hallazgos!A:F,""SELECT B WHERE E CONTAINS '""&amp;A68&amp;""' LABEL B ''"")))"),"#N/A")</f>
        <v>#N/A</v>
      </c>
    </row>
    <row r="69" spans="1:12" ht="191.25" x14ac:dyDescent="0.2">
      <c r="A69" s="32" t="s">
        <v>321</v>
      </c>
      <c r="B69" s="32" t="s">
        <v>322</v>
      </c>
      <c r="C69" s="37" t="s">
        <v>158</v>
      </c>
      <c r="D69" s="34" t="s">
        <v>210</v>
      </c>
      <c r="E69" s="34" t="s">
        <v>211</v>
      </c>
      <c r="F69" s="34" t="s">
        <v>194</v>
      </c>
      <c r="G69" s="35" t="s">
        <v>14</v>
      </c>
      <c r="H69" s="35" t="s">
        <v>14</v>
      </c>
      <c r="I69" s="35" t="s">
        <v>14</v>
      </c>
      <c r="J69" s="35" t="str">
        <f t="shared" si="3"/>
        <v>-</v>
      </c>
      <c r="K69" s="31" t="str">
        <f t="shared" ca="1" si="4"/>
        <v>/A.</v>
      </c>
      <c r="L69" s="31" t="str">
        <f ca="1">IFERROR(__xludf.dummyfunction("CONCATENATE(ArrayFormula(""; ""&amp;QUERY(Hallazgos!A:F,""SELECT B WHERE E CONTAINS '""&amp;A69&amp;""' LABEL B ''"")))"),"#N/A")</f>
        <v>#N/A</v>
      </c>
    </row>
    <row r="70" spans="1:12" ht="127.5" x14ac:dyDescent="0.2">
      <c r="A70" s="32" t="s">
        <v>323</v>
      </c>
      <c r="B70" s="32" t="s">
        <v>324</v>
      </c>
      <c r="C70" s="37" t="s">
        <v>158</v>
      </c>
      <c r="D70" s="34" t="s">
        <v>210</v>
      </c>
      <c r="E70" s="34" t="s">
        <v>312</v>
      </c>
      <c r="F70" s="34" t="s">
        <v>194</v>
      </c>
      <c r="G70" s="35" t="s">
        <v>14</v>
      </c>
      <c r="H70" s="35" t="s">
        <v>14</v>
      </c>
      <c r="I70" s="35" t="s">
        <v>14</v>
      </c>
      <c r="J70" s="35" t="str">
        <f t="shared" si="3"/>
        <v>-</v>
      </c>
      <c r="K70" s="31" t="str">
        <f t="shared" ca="1" si="4"/>
        <v>/A.</v>
      </c>
      <c r="L70" s="31" t="str">
        <f ca="1">IFERROR(__xludf.dummyfunction("CONCATENATE(ArrayFormula(""; ""&amp;QUERY(Hallazgos!A:F,""SELECT B WHERE E CONTAINS '""&amp;A70&amp;""' LABEL B ''"")))"),"#N/A")</f>
        <v>#N/A</v>
      </c>
    </row>
    <row r="71" spans="1:12" ht="267.75" x14ac:dyDescent="0.2">
      <c r="A71" s="32" t="s">
        <v>325</v>
      </c>
      <c r="B71" s="32" t="s">
        <v>326</v>
      </c>
      <c r="C71" s="37" t="s">
        <v>158</v>
      </c>
      <c r="D71" s="34" t="s">
        <v>210</v>
      </c>
      <c r="E71" s="34" t="s">
        <v>205</v>
      </c>
      <c r="F71" s="34" t="s">
        <v>194</v>
      </c>
      <c r="G71" s="35" t="s">
        <v>14</v>
      </c>
      <c r="H71" s="35" t="s">
        <v>14</v>
      </c>
      <c r="I71" s="35" t="s">
        <v>14</v>
      </c>
      <c r="J71" s="35" t="str">
        <f t="shared" si="3"/>
        <v>-</v>
      </c>
      <c r="K71" s="31" t="str">
        <f t="shared" ca="1" si="4"/>
        <v>/A.</v>
      </c>
      <c r="L71" s="31" t="str">
        <f ca="1">IFERROR(__xludf.dummyfunction("CONCATENATE(ArrayFormula(""; ""&amp;QUERY(Hallazgos!A:F,""SELECT B WHERE E CONTAINS '""&amp;A71&amp;""' LABEL B ''"")))"),"#N/A")</f>
        <v>#N/A</v>
      </c>
    </row>
    <row r="72" spans="1:12" ht="178.5" x14ac:dyDescent="0.2">
      <c r="A72" s="32" t="s">
        <v>327</v>
      </c>
      <c r="B72" s="32" t="s">
        <v>328</v>
      </c>
      <c r="C72" s="33" t="s">
        <v>158</v>
      </c>
      <c r="D72" s="34" t="s">
        <v>210</v>
      </c>
      <c r="E72" s="34" t="s">
        <v>312</v>
      </c>
      <c r="F72" s="34" t="s">
        <v>194</v>
      </c>
      <c r="G72" s="35" t="s">
        <v>14</v>
      </c>
      <c r="H72" s="35" t="s">
        <v>14</v>
      </c>
      <c r="I72" s="35" t="s">
        <v>14</v>
      </c>
      <c r="J72" s="35" t="str">
        <f t="shared" si="3"/>
        <v>-</v>
      </c>
      <c r="K72" s="31" t="str">
        <f t="shared" ca="1" si="4"/>
        <v>/A.</v>
      </c>
      <c r="L72" s="31" t="str">
        <f ca="1">IFERROR(__xludf.dummyfunction("CONCATENATE(ArrayFormula(""; ""&amp;QUERY(Hallazgos!A:F,""SELECT B WHERE E CONTAINS '""&amp;A72&amp;""' LABEL B ''"")))"),"#N/A")</f>
        <v>#N/A</v>
      </c>
    </row>
    <row r="73" spans="1:12" ht="153" x14ac:dyDescent="0.2">
      <c r="A73" s="32" t="s">
        <v>329</v>
      </c>
      <c r="B73" s="32" t="s">
        <v>330</v>
      </c>
      <c r="C73" s="33" t="s">
        <v>158</v>
      </c>
      <c r="D73" s="34" t="s">
        <v>210</v>
      </c>
      <c r="E73" s="34" t="s">
        <v>160</v>
      </c>
      <c r="F73" s="34" t="s">
        <v>191</v>
      </c>
      <c r="G73" s="35" t="s">
        <v>14</v>
      </c>
      <c r="H73" s="35" t="s">
        <v>14</v>
      </c>
      <c r="I73" s="35" t="s">
        <v>14</v>
      </c>
      <c r="J73" s="35" t="str">
        <f t="shared" si="3"/>
        <v>-</v>
      </c>
      <c r="K73" s="31" t="str">
        <f t="shared" ca="1" si="4"/>
        <v>/A.</v>
      </c>
      <c r="L73" s="31" t="str">
        <f ca="1">IFERROR(__xludf.dummyfunction("CONCATENATE(ArrayFormula(""; ""&amp;QUERY(Hallazgos!A:F,""SELECT B WHERE E CONTAINS '""&amp;A73&amp;""' LABEL B ''"")))"),"#N/A")</f>
        <v>#N/A</v>
      </c>
    </row>
    <row r="74" spans="1:12" ht="114.75" x14ac:dyDescent="0.2">
      <c r="A74" s="32" t="s">
        <v>331</v>
      </c>
      <c r="B74" s="32" t="s">
        <v>332</v>
      </c>
      <c r="C74" s="37" t="s">
        <v>164</v>
      </c>
      <c r="D74" s="34" t="s">
        <v>333</v>
      </c>
      <c r="E74" s="34" t="s">
        <v>218</v>
      </c>
      <c r="F74" s="34" t="s">
        <v>161</v>
      </c>
      <c r="G74" s="35" t="s">
        <v>14</v>
      </c>
      <c r="H74" s="35" t="s">
        <v>14</v>
      </c>
      <c r="I74" s="35" t="s">
        <v>14</v>
      </c>
      <c r="J74" s="35" t="str">
        <f t="shared" si="3"/>
        <v>-</v>
      </c>
      <c r="K74" s="31" t="str">
        <f t="shared" ca="1" si="4"/>
        <v>/A.</v>
      </c>
      <c r="L74" s="31" t="str">
        <f ca="1">IFERROR(__xludf.dummyfunction("CONCATENATE(ArrayFormula(""; ""&amp;QUERY(Hallazgos!A:F,""SELECT B WHERE E CONTAINS '""&amp;A74&amp;""' LABEL B ''"")))"),"#N/A")</f>
        <v>#N/A</v>
      </c>
    </row>
    <row r="75" spans="1:12" ht="140.25" x14ac:dyDescent="0.2">
      <c r="A75" s="32" t="s">
        <v>334</v>
      </c>
      <c r="B75" s="32" t="s">
        <v>335</v>
      </c>
      <c r="C75" s="37" t="s">
        <v>164</v>
      </c>
      <c r="D75" s="34" t="s">
        <v>336</v>
      </c>
      <c r="E75" s="34" t="s">
        <v>205</v>
      </c>
      <c r="F75" s="34" t="s">
        <v>161</v>
      </c>
      <c r="G75" s="35" t="s">
        <v>14</v>
      </c>
      <c r="H75" s="35" t="s">
        <v>14</v>
      </c>
      <c r="I75" s="35" t="s">
        <v>14</v>
      </c>
      <c r="J75" s="35" t="str">
        <f t="shared" si="3"/>
        <v>-</v>
      </c>
      <c r="K75" s="31" t="str">
        <f t="shared" ca="1" si="4"/>
        <v>/A.</v>
      </c>
      <c r="L75" s="31" t="str">
        <f ca="1">IFERROR(__xludf.dummyfunction("CONCATENATE(ArrayFormula(""; ""&amp;QUERY(Hallazgos!A:F,""SELECT B WHERE E CONTAINS '""&amp;A75&amp;""' LABEL B ''"")))"),"#N/A")</f>
        <v>#N/A</v>
      </c>
    </row>
    <row r="76" spans="1:12" ht="114.75" x14ac:dyDescent="0.2">
      <c r="A76" s="32" t="s">
        <v>337</v>
      </c>
      <c r="B76" s="32" t="s">
        <v>338</v>
      </c>
      <c r="C76" s="37" t="s">
        <v>164</v>
      </c>
      <c r="D76" s="34" t="s">
        <v>336</v>
      </c>
      <c r="E76" s="34" t="s">
        <v>205</v>
      </c>
      <c r="F76" s="34" t="s">
        <v>161</v>
      </c>
      <c r="G76" s="35" t="s">
        <v>14</v>
      </c>
      <c r="H76" s="35" t="s">
        <v>14</v>
      </c>
      <c r="I76" s="35" t="s">
        <v>14</v>
      </c>
      <c r="J76" s="35" t="str">
        <f t="shared" si="3"/>
        <v>-</v>
      </c>
      <c r="K76" s="31" t="str">
        <f t="shared" ca="1" si="4"/>
        <v>/A.</v>
      </c>
      <c r="L76" s="31" t="str">
        <f ca="1">IFERROR(__xludf.dummyfunction("CONCATENATE(ArrayFormula(""; ""&amp;QUERY(Hallazgos!A:F,""SELECT B WHERE E CONTAINS '""&amp;A76&amp;""' LABEL B ''"")))"),"#N/A")</f>
        <v>#N/A</v>
      </c>
    </row>
    <row r="77" spans="1:12" ht="127.5" x14ac:dyDescent="0.2">
      <c r="A77" s="32" t="s">
        <v>339</v>
      </c>
      <c r="B77" s="32" t="s">
        <v>340</v>
      </c>
      <c r="C77" s="37" t="s">
        <v>164</v>
      </c>
      <c r="D77" s="34" t="s">
        <v>336</v>
      </c>
      <c r="E77" s="34" t="s">
        <v>205</v>
      </c>
      <c r="F77" s="34" t="s">
        <v>161</v>
      </c>
      <c r="G77" s="35" t="s">
        <v>14</v>
      </c>
      <c r="H77" s="35" t="s">
        <v>14</v>
      </c>
      <c r="I77" s="35" t="s">
        <v>14</v>
      </c>
      <c r="J77" s="35" t="str">
        <f t="shared" si="3"/>
        <v>-</v>
      </c>
      <c r="K77" s="31" t="str">
        <f t="shared" ca="1" si="4"/>
        <v>/A.</v>
      </c>
      <c r="L77" s="31" t="str">
        <f ca="1">IFERROR(__xludf.dummyfunction("CONCATENATE(ArrayFormula(""; ""&amp;QUERY(Hallazgos!A:F,""SELECT B WHERE E CONTAINS '""&amp;A77&amp;""' LABEL B ''"")))"),"#N/A")</f>
        <v>#N/A</v>
      </c>
    </row>
    <row r="78" spans="1:12" ht="191.25" x14ac:dyDescent="0.2">
      <c r="A78" s="32" t="s">
        <v>341</v>
      </c>
      <c r="B78" s="32" t="s">
        <v>342</v>
      </c>
      <c r="C78" s="37" t="s">
        <v>164</v>
      </c>
      <c r="D78" s="34" t="s">
        <v>336</v>
      </c>
      <c r="E78" s="34" t="s">
        <v>205</v>
      </c>
      <c r="F78" s="34" t="s">
        <v>161</v>
      </c>
      <c r="G78" s="35" t="s">
        <v>14</v>
      </c>
      <c r="H78" s="35" t="s">
        <v>14</v>
      </c>
      <c r="I78" s="35" t="s">
        <v>14</v>
      </c>
      <c r="J78" s="35" t="str">
        <f t="shared" si="3"/>
        <v>-</v>
      </c>
      <c r="K78" s="31" t="str">
        <f t="shared" ca="1" si="4"/>
        <v>/A.</v>
      </c>
      <c r="L78" s="31" t="str">
        <f ca="1">IFERROR(__xludf.dummyfunction("CONCATENATE(ArrayFormula(""; ""&amp;QUERY(Hallazgos!A:F,""SELECT B WHERE E CONTAINS '""&amp;A78&amp;""' LABEL B ''"")))"),"#N/A")</f>
        <v>#N/A</v>
      </c>
    </row>
    <row r="79" spans="1:12" ht="140.25" x14ac:dyDescent="0.2">
      <c r="A79" s="32" t="s">
        <v>343</v>
      </c>
      <c r="B79" s="32" t="s">
        <v>344</v>
      </c>
      <c r="C79" s="37" t="s">
        <v>158</v>
      </c>
      <c r="D79" s="34" t="s">
        <v>336</v>
      </c>
      <c r="E79" s="34" t="s">
        <v>160</v>
      </c>
      <c r="F79" s="34" t="s">
        <v>161</v>
      </c>
      <c r="G79" s="35" t="s">
        <v>14</v>
      </c>
      <c r="H79" s="35" t="s">
        <v>14</v>
      </c>
      <c r="I79" s="35" t="s">
        <v>14</v>
      </c>
      <c r="J79" s="35" t="str">
        <f t="shared" si="3"/>
        <v>-</v>
      </c>
      <c r="K79" s="31" t="str">
        <f t="shared" ca="1" si="4"/>
        <v>/A.</v>
      </c>
      <c r="L79" s="31" t="str">
        <f ca="1">IFERROR(__xludf.dummyfunction("CONCATENATE(ArrayFormula(""; ""&amp;QUERY(Hallazgos!A:F,""SELECT B WHERE E CONTAINS '""&amp;A79&amp;""' LABEL B ''"")))"),"#N/A")</f>
        <v>#N/A</v>
      </c>
    </row>
    <row r="80" spans="1:12" ht="102" x14ac:dyDescent="0.2">
      <c r="A80" s="32" t="s">
        <v>345</v>
      </c>
      <c r="B80" s="32" t="s">
        <v>346</v>
      </c>
      <c r="C80" s="37" t="s">
        <v>158</v>
      </c>
      <c r="D80" s="34" t="s">
        <v>336</v>
      </c>
      <c r="E80" s="34" t="s">
        <v>347</v>
      </c>
      <c r="F80" s="34" t="s">
        <v>161</v>
      </c>
      <c r="G80" s="35" t="s">
        <v>14</v>
      </c>
      <c r="H80" s="35" t="s">
        <v>14</v>
      </c>
      <c r="I80" s="35" t="s">
        <v>14</v>
      </c>
      <c r="J80" s="35" t="str">
        <f t="shared" si="3"/>
        <v>-</v>
      </c>
      <c r="K80" s="31" t="str">
        <f t="shared" ca="1" si="4"/>
        <v>/A.</v>
      </c>
      <c r="L80" s="31" t="str">
        <f ca="1">IFERROR(__xludf.dummyfunction("CONCATENATE(ArrayFormula(""; ""&amp;QUERY(Hallazgos!A:F,""SELECT B WHERE E CONTAINS '""&amp;A80&amp;""' LABEL B ''"")))"),"#N/A")</f>
        <v>#N/A</v>
      </c>
    </row>
    <row r="81" spans="1:12" ht="127.5" x14ac:dyDescent="0.2">
      <c r="A81" s="32" t="s">
        <v>348</v>
      </c>
      <c r="B81" s="32" t="s">
        <v>349</v>
      </c>
      <c r="C81" s="37" t="s">
        <v>164</v>
      </c>
      <c r="D81" s="34" t="s">
        <v>239</v>
      </c>
      <c r="E81" s="34" t="s">
        <v>160</v>
      </c>
      <c r="F81" s="34" t="s">
        <v>161</v>
      </c>
      <c r="G81" s="35" t="s">
        <v>14</v>
      </c>
      <c r="H81" s="35" t="s">
        <v>14</v>
      </c>
      <c r="I81" s="35" t="s">
        <v>14</v>
      </c>
      <c r="J81" s="35" t="str">
        <f t="shared" si="3"/>
        <v>-</v>
      </c>
      <c r="K81" s="31" t="str">
        <f t="shared" ca="1" si="4"/>
        <v>/A.</v>
      </c>
      <c r="L81" s="31" t="str">
        <f ca="1">IFERROR(__xludf.dummyfunction("CONCATENATE(ArrayFormula(""; ""&amp;QUERY(Hallazgos!A:F,""SELECT B WHERE E CONTAINS '""&amp;A81&amp;""' LABEL B ''"")))"),"#N/A")</f>
        <v>#N/A</v>
      </c>
    </row>
    <row r="82" spans="1:12" ht="114.75" x14ac:dyDescent="0.2">
      <c r="A82" s="32" t="s">
        <v>350</v>
      </c>
      <c r="B82" s="32" t="s">
        <v>351</v>
      </c>
      <c r="C82" s="37" t="s">
        <v>158</v>
      </c>
      <c r="D82" s="34" t="s">
        <v>239</v>
      </c>
      <c r="E82" s="34" t="s">
        <v>197</v>
      </c>
      <c r="F82" s="34" t="s">
        <v>161</v>
      </c>
      <c r="G82" s="35" t="s">
        <v>14</v>
      </c>
      <c r="H82" s="35" t="s">
        <v>14</v>
      </c>
      <c r="I82" s="35" t="s">
        <v>14</v>
      </c>
      <c r="J82" s="35" t="str">
        <f t="shared" si="3"/>
        <v>-</v>
      </c>
      <c r="K82" s="31" t="str">
        <f t="shared" ca="1" si="4"/>
        <v>/A.</v>
      </c>
      <c r="L82" s="31" t="str">
        <f ca="1">IFERROR(__xludf.dummyfunction("CONCATENATE(ArrayFormula(""; ""&amp;QUERY(Hallazgos!A:F,""SELECT B WHERE E CONTAINS '""&amp;A82&amp;""' LABEL B ''"")))"),"#N/A")</f>
        <v>#N/A</v>
      </c>
    </row>
    <row r="83" spans="1:12" ht="229.5" x14ac:dyDescent="0.2">
      <c r="A83" s="32" t="s">
        <v>352</v>
      </c>
      <c r="B83" s="32" t="s">
        <v>353</v>
      </c>
      <c r="C83" s="37" t="s">
        <v>158</v>
      </c>
      <c r="D83" s="34" t="s">
        <v>239</v>
      </c>
      <c r="E83" s="34" t="s">
        <v>160</v>
      </c>
      <c r="F83" s="34" t="s">
        <v>161</v>
      </c>
      <c r="G83" s="35" t="s">
        <v>14</v>
      </c>
      <c r="H83" s="35" t="s">
        <v>14</v>
      </c>
      <c r="I83" s="35" t="s">
        <v>14</v>
      </c>
      <c r="J83" s="35" t="str">
        <f t="shared" si="3"/>
        <v>-</v>
      </c>
      <c r="K83" s="31" t="str">
        <f t="shared" ca="1" si="4"/>
        <v>/A.</v>
      </c>
      <c r="L83" s="31" t="str">
        <f ca="1">IFERROR(__xludf.dummyfunction("CONCATENATE(ArrayFormula(""; ""&amp;QUERY(Hallazgos!A:F,""SELECT B WHERE E CONTAINS '""&amp;A83&amp;""' LABEL B ''"")))"),"#N/A")</f>
        <v>#N/A</v>
      </c>
    </row>
    <row r="84" spans="1:12" ht="102" x14ac:dyDescent="0.2">
      <c r="A84" s="32" t="s">
        <v>354</v>
      </c>
      <c r="B84" s="32" t="s">
        <v>355</v>
      </c>
      <c r="C84" s="37" t="s">
        <v>158</v>
      </c>
      <c r="D84" s="34" t="s">
        <v>239</v>
      </c>
      <c r="E84" s="34" t="s">
        <v>160</v>
      </c>
      <c r="F84" s="34" t="s">
        <v>161</v>
      </c>
      <c r="G84" s="35" t="s">
        <v>14</v>
      </c>
      <c r="H84" s="35" t="s">
        <v>14</v>
      </c>
      <c r="I84" s="35" t="s">
        <v>14</v>
      </c>
      <c r="J84" s="35" t="str">
        <f t="shared" si="3"/>
        <v>-</v>
      </c>
      <c r="K84" s="31" t="str">
        <f t="shared" ca="1" si="4"/>
        <v>/A.</v>
      </c>
      <c r="L84" s="31" t="str">
        <f ca="1">IFERROR(__xludf.dummyfunction("CONCATENATE(ArrayFormula(""; ""&amp;QUERY(Hallazgos!A:F,""SELECT B WHERE E CONTAINS '""&amp;A84&amp;""' LABEL B ''"")))"),"#N/A")</f>
        <v>#N/A</v>
      </c>
    </row>
    <row r="85" spans="1:12" ht="89.25" x14ac:dyDescent="0.2">
      <c r="A85" s="32" t="s">
        <v>356</v>
      </c>
      <c r="B85" s="32" t="s">
        <v>357</v>
      </c>
      <c r="C85" s="37" t="s">
        <v>158</v>
      </c>
      <c r="D85" s="34" t="s">
        <v>239</v>
      </c>
      <c r="E85" s="34" t="s">
        <v>160</v>
      </c>
      <c r="F85" s="34" t="s">
        <v>161</v>
      </c>
      <c r="G85" s="35" t="s">
        <v>14</v>
      </c>
      <c r="H85" s="35" t="s">
        <v>14</v>
      </c>
      <c r="I85" s="35" t="s">
        <v>14</v>
      </c>
      <c r="J85" s="35" t="str">
        <f t="shared" si="3"/>
        <v>-</v>
      </c>
      <c r="K85" s="31" t="str">
        <f t="shared" ca="1" si="4"/>
        <v>/A.</v>
      </c>
      <c r="L85" s="31" t="str">
        <f ca="1">IFERROR(__xludf.dummyfunction("CONCATENATE(ArrayFormula(""; ""&amp;QUERY(Hallazgos!A:F,""SELECT B WHERE E CONTAINS '""&amp;A85&amp;""' LABEL B ''"")))"),"#N/A")</f>
        <v>#N/A</v>
      </c>
    </row>
    <row r="86" spans="1:12" ht="127.5" x14ac:dyDescent="0.2">
      <c r="A86" s="32" t="s">
        <v>358</v>
      </c>
      <c r="B86" s="32" t="s">
        <v>359</v>
      </c>
      <c r="C86" s="37" t="s">
        <v>164</v>
      </c>
      <c r="D86" s="34" t="s">
        <v>239</v>
      </c>
      <c r="E86" s="34" t="s">
        <v>166</v>
      </c>
      <c r="F86" s="34" t="s">
        <v>161</v>
      </c>
      <c r="G86" s="35" t="s">
        <v>14</v>
      </c>
      <c r="H86" s="35" t="s">
        <v>14</v>
      </c>
      <c r="I86" s="35" t="s">
        <v>14</v>
      </c>
      <c r="J86" s="35" t="str">
        <f t="shared" si="3"/>
        <v>-</v>
      </c>
      <c r="K86" s="31" t="str">
        <f t="shared" ca="1" si="4"/>
        <v>/A.</v>
      </c>
      <c r="L86" s="31" t="str">
        <f ca="1">IFERROR(__xludf.dummyfunction("CONCATENATE(ArrayFormula(""; ""&amp;QUERY(Hallazgos!A:F,""SELECT B WHERE E CONTAINS '""&amp;A86&amp;""' LABEL B ''"")))"),"#N/A")</f>
        <v>#N/A</v>
      </c>
    </row>
    <row r="87" spans="1:12" ht="127.5" x14ac:dyDescent="0.2">
      <c r="A87" s="32" t="s">
        <v>360</v>
      </c>
      <c r="B87" s="32" t="s">
        <v>361</v>
      </c>
      <c r="C87" s="37" t="s">
        <v>164</v>
      </c>
      <c r="D87" s="34" t="s">
        <v>239</v>
      </c>
      <c r="E87" s="34" t="s">
        <v>166</v>
      </c>
      <c r="F87" s="34" t="s">
        <v>161</v>
      </c>
      <c r="G87" s="35" t="s">
        <v>14</v>
      </c>
      <c r="H87" s="35" t="s">
        <v>14</v>
      </c>
      <c r="I87" s="35" t="s">
        <v>14</v>
      </c>
      <c r="J87" s="35" t="str">
        <f t="shared" si="3"/>
        <v>-</v>
      </c>
      <c r="K87" s="31" t="str">
        <f t="shared" ca="1" si="4"/>
        <v>/A.</v>
      </c>
      <c r="L87" s="31" t="str">
        <f ca="1">IFERROR(__xludf.dummyfunction("CONCATENATE(ArrayFormula(""; ""&amp;QUERY(Hallazgos!A:F,""SELECT B WHERE E CONTAINS '""&amp;A87&amp;""' LABEL B ''"")))"),"#N/A")</f>
        <v>#N/A</v>
      </c>
    </row>
    <row r="88" spans="1:12" ht="127.5" x14ac:dyDescent="0.2">
      <c r="A88" s="32" t="s">
        <v>362</v>
      </c>
      <c r="B88" s="32" t="s">
        <v>363</v>
      </c>
      <c r="C88" s="37" t="s">
        <v>164</v>
      </c>
      <c r="D88" s="34" t="s">
        <v>239</v>
      </c>
      <c r="E88" s="34" t="s">
        <v>166</v>
      </c>
      <c r="F88" s="34" t="s">
        <v>161</v>
      </c>
      <c r="G88" s="35" t="s">
        <v>14</v>
      </c>
      <c r="H88" s="35" t="s">
        <v>14</v>
      </c>
      <c r="I88" s="35" t="s">
        <v>14</v>
      </c>
      <c r="J88" s="35" t="str">
        <f t="shared" si="3"/>
        <v>-</v>
      </c>
      <c r="K88" s="31" t="str">
        <f t="shared" ca="1" si="4"/>
        <v>/A.</v>
      </c>
      <c r="L88" s="31" t="str">
        <f ca="1">IFERROR(__xludf.dummyfunction("CONCATENATE(ArrayFormula(""; ""&amp;QUERY(Hallazgos!A:F,""SELECT B WHERE E CONTAINS '""&amp;A88&amp;""' LABEL B ''"")))"),"#N/A")</f>
        <v>#N/A</v>
      </c>
    </row>
    <row r="89" spans="1:12" ht="114.75" x14ac:dyDescent="0.2">
      <c r="A89" s="32" t="s">
        <v>364</v>
      </c>
      <c r="B89" s="32" t="s">
        <v>365</v>
      </c>
      <c r="C89" s="33" t="s">
        <v>164</v>
      </c>
      <c r="D89" s="34" t="s">
        <v>239</v>
      </c>
      <c r="E89" s="34" t="s">
        <v>166</v>
      </c>
      <c r="F89" s="34" t="s">
        <v>161</v>
      </c>
      <c r="G89" s="35" t="s">
        <v>14</v>
      </c>
      <c r="H89" s="35" t="s">
        <v>14</v>
      </c>
      <c r="I89" s="35" t="s">
        <v>14</v>
      </c>
      <c r="J89" s="35" t="str">
        <f t="shared" si="3"/>
        <v>-</v>
      </c>
      <c r="K89" s="31" t="str">
        <f t="shared" ca="1" si="4"/>
        <v>/A.</v>
      </c>
      <c r="L89" s="31" t="str">
        <f ca="1">IFERROR(__xludf.dummyfunction("CONCATENATE(ArrayFormula(""; ""&amp;QUERY(Hallazgos!A:F,""SELECT B WHERE E CONTAINS '""&amp;A89&amp;""' LABEL B ''"")))"),"#N/A")</f>
        <v>#N/A</v>
      </c>
    </row>
    <row r="90" spans="1:12" ht="114.75" x14ac:dyDescent="0.2">
      <c r="A90" s="32" t="s">
        <v>366</v>
      </c>
      <c r="B90" s="32" t="s">
        <v>367</v>
      </c>
      <c r="C90" s="33" t="s">
        <v>164</v>
      </c>
      <c r="D90" s="34" t="s">
        <v>239</v>
      </c>
      <c r="E90" s="34" t="s">
        <v>166</v>
      </c>
      <c r="F90" s="34" t="s">
        <v>161</v>
      </c>
      <c r="G90" s="35" t="s">
        <v>14</v>
      </c>
      <c r="H90" s="35" t="s">
        <v>14</v>
      </c>
      <c r="I90" s="35" t="s">
        <v>14</v>
      </c>
      <c r="J90" s="35" t="str">
        <f t="shared" si="3"/>
        <v>-</v>
      </c>
      <c r="K90" s="31" t="str">
        <f t="shared" ca="1" si="4"/>
        <v>/A.</v>
      </c>
      <c r="L90" s="31" t="str">
        <f ca="1">IFERROR(__xludf.dummyfunction("CONCATENATE(ArrayFormula(""; ""&amp;QUERY(Hallazgos!A:F,""SELECT B WHERE E CONTAINS '""&amp;A90&amp;""' LABEL B ''"")))"),"#N/A")</f>
        <v>#N/A</v>
      </c>
    </row>
    <row r="91" spans="1:12" ht="204" x14ac:dyDescent="0.2">
      <c r="A91" s="32" t="s">
        <v>368</v>
      </c>
      <c r="B91" s="32" t="s">
        <v>369</v>
      </c>
      <c r="C91" s="33" t="s">
        <v>182</v>
      </c>
      <c r="D91" s="34" t="s">
        <v>370</v>
      </c>
      <c r="E91" s="34" t="s">
        <v>160</v>
      </c>
      <c r="F91" s="34" t="s">
        <v>191</v>
      </c>
      <c r="G91" s="35" t="s">
        <v>14</v>
      </c>
      <c r="H91" s="35" t="s">
        <v>14</v>
      </c>
      <c r="I91" s="35" t="s">
        <v>14</v>
      </c>
      <c r="J91" s="35" t="str">
        <f t="shared" si="3"/>
        <v>-</v>
      </c>
      <c r="K91" s="31" t="str">
        <f t="shared" ca="1" si="4"/>
        <v>/A.</v>
      </c>
      <c r="L91" s="31" t="str">
        <f ca="1">IFERROR(__xludf.dummyfunction("CONCATENATE(ArrayFormula(""; ""&amp;QUERY(Hallazgos!A:F,""SELECT B WHERE E CONTAINS '""&amp;A91&amp;""' LABEL B ''"")))"),"#N/A")</f>
        <v>#N/A</v>
      </c>
    </row>
    <row r="92" spans="1:12" ht="140.25" x14ac:dyDescent="0.2">
      <c r="A92" s="36" t="s">
        <v>371</v>
      </c>
      <c r="B92" s="36" t="s">
        <v>372</v>
      </c>
      <c r="C92" s="37" t="s">
        <v>164</v>
      </c>
      <c r="D92" s="34" t="s">
        <v>239</v>
      </c>
      <c r="E92" s="34" t="s">
        <v>166</v>
      </c>
      <c r="F92" s="34" t="s">
        <v>161</v>
      </c>
      <c r="G92" s="35" t="s">
        <v>14</v>
      </c>
      <c r="H92" s="35" t="s">
        <v>14</v>
      </c>
      <c r="I92" s="35" t="s">
        <v>14</v>
      </c>
      <c r="J92" s="35" t="str">
        <f t="shared" si="3"/>
        <v>-</v>
      </c>
      <c r="K92" s="31" t="str">
        <f t="shared" ca="1" si="4"/>
        <v>/A.</v>
      </c>
      <c r="L92" s="31" t="str">
        <f ca="1">IFERROR(__xludf.dummyfunction("CONCATENATE(ArrayFormula(""; ""&amp;QUERY(Hallazgos!A:F,""SELECT B WHERE E CONTAINS '""&amp;A92&amp;""' LABEL B ''"")))"),"#N/A")</f>
        <v>#N/A</v>
      </c>
    </row>
    <row r="93" spans="1:12" ht="127.5" x14ac:dyDescent="0.2">
      <c r="A93" s="32" t="s">
        <v>373</v>
      </c>
      <c r="B93" s="32" t="s">
        <v>374</v>
      </c>
      <c r="C93" s="33" t="s">
        <v>158</v>
      </c>
      <c r="D93" s="34" t="s">
        <v>239</v>
      </c>
      <c r="E93" s="34" t="s">
        <v>160</v>
      </c>
      <c r="F93" s="34" t="s">
        <v>161</v>
      </c>
      <c r="G93" s="35" t="s">
        <v>14</v>
      </c>
      <c r="H93" s="35" t="s">
        <v>14</v>
      </c>
      <c r="I93" s="35" t="s">
        <v>14</v>
      </c>
      <c r="J93" s="35" t="str">
        <f t="shared" si="3"/>
        <v>-</v>
      </c>
      <c r="K93" s="31" t="str">
        <f t="shared" ca="1" si="4"/>
        <v>/A.</v>
      </c>
      <c r="L93" s="31" t="str">
        <f ca="1">IFERROR(__xludf.dummyfunction("CONCATENATE(ArrayFormula(""; ""&amp;QUERY(Hallazgos!A:F,""SELECT B WHERE E CONTAINS '""&amp;A93&amp;""' LABEL B ''"")))"),"#N/A")</f>
        <v>#N/A</v>
      </c>
    </row>
    <row r="94" spans="1:12" ht="165.75" x14ac:dyDescent="0.2">
      <c r="A94" s="32" t="s">
        <v>375</v>
      </c>
      <c r="B94" s="32" t="s">
        <v>376</v>
      </c>
      <c r="C94" s="33" t="s">
        <v>164</v>
      </c>
      <c r="D94" s="34" t="s">
        <v>239</v>
      </c>
      <c r="E94" s="34" t="s">
        <v>166</v>
      </c>
      <c r="F94" s="34" t="s">
        <v>161</v>
      </c>
      <c r="G94" s="35" t="s">
        <v>14</v>
      </c>
      <c r="H94" s="35" t="s">
        <v>14</v>
      </c>
      <c r="I94" s="35" t="s">
        <v>14</v>
      </c>
      <c r="J94" s="35" t="str">
        <f t="shared" si="3"/>
        <v>-</v>
      </c>
      <c r="K94" s="31" t="str">
        <f t="shared" ca="1" si="4"/>
        <v>/A.</v>
      </c>
      <c r="L94" s="31" t="str">
        <f ca="1">IFERROR(__xludf.dummyfunction("CONCATENATE(ArrayFormula(""; ""&amp;QUERY(Hallazgos!A:F,""SELECT B WHERE E CONTAINS '""&amp;A94&amp;""' LABEL B ''"")))"),"#N/A")</f>
        <v>#N/A</v>
      </c>
    </row>
    <row r="95" spans="1:12" ht="191.25" x14ac:dyDescent="0.2">
      <c r="A95" s="32" t="s">
        <v>377</v>
      </c>
      <c r="B95" s="32" t="s">
        <v>378</v>
      </c>
      <c r="C95" s="33" t="s">
        <v>158</v>
      </c>
      <c r="D95" s="34" t="s">
        <v>239</v>
      </c>
      <c r="E95" s="34" t="s">
        <v>227</v>
      </c>
      <c r="F95" s="34" t="s">
        <v>161</v>
      </c>
      <c r="G95" s="35" t="s">
        <v>14</v>
      </c>
      <c r="H95" s="35" t="s">
        <v>14</v>
      </c>
      <c r="I95" s="35" t="s">
        <v>14</v>
      </c>
      <c r="J95" s="35" t="str">
        <f t="shared" si="3"/>
        <v>-</v>
      </c>
      <c r="K95" s="31" t="str">
        <f t="shared" ca="1" si="4"/>
        <v>/A.</v>
      </c>
      <c r="L95" s="31" t="str">
        <f ca="1">IFERROR(__xludf.dummyfunction("CONCATENATE(ArrayFormula(""; ""&amp;QUERY(Hallazgos!A:F,""SELECT B WHERE E CONTAINS '""&amp;A95&amp;""' LABEL B ''"")))"),"#N/A")</f>
        <v>#N/A</v>
      </c>
    </row>
    <row r="96" spans="1:12" ht="191.25" x14ac:dyDescent="0.2">
      <c r="A96" s="32" t="s">
        <v>379</v>
      </c>
      <c r="B96" s="32" t="s">
        <v>380</v>
      </c>
      <c r="C96" s="33" t="s">
        <v>158</v>
      </c>
      <c r="D96" s="34" t="s">
        <v>239</v>
      </c>
      <c r="E96" s="34" t="s">
        <v>227</v>
      </c>
      <c r="F96" s="34" t="s">
        <v>161</v>
      </c>
      <c r="G96" s="35" t="s">
        <v>14</v>
      </c>
      <c r="H96" s="35" t="s">
        <v>14</v>
      </c>
      <c r="I96" s="35" t="s">
        <v>14</v>
      </c>
      <c r="J96" s="35" t="str">
        <f t="shared" si="3"/>
        <v>-</v>
      </c>
      <c r="K96" s="31" t="str">
        <f t="shared" ca="1" si="4"/>
        <v>/A.</v>
      </c>
      <c r="L96" s="31" t="str">
        <f ca="1">IFERROR(__xludf.dummyfunction("CONCATENATE(ArrayFormula(""; ""&amp;QUERY(Hallazgos!A:F,""SELECT B WHERE E CONTAINS '""&amp;A96&amp;""' LABEL B ''"")))"),"#N/A")</f>
        <v>#N/A</v>
      </c>
    </row>
    <row r="97" spans="1:12" ht="216.75" x14ac:dyDescent="0.2">
      <c r="A97" s="32" t="s">
        <v>381</v>
      </c>
      <c r="B97" s="32" t="s">
        <v>382</v>
      </c>
      <c r="C97" s="33" t="s">
        <v>158</v>
      </c>
      <c r="D97" s="34" t="s">
        <v>239</v>
      </c>
      <c r="E97" s="34" t="s">
        <v>227</v>
      </c>
      <c r="F97" s="34" t="s">
        <v>161</v>
      </c>
      <c r="G97" s="35" t="s">
        <v>14</v>
      </c>
      <c r="H97" s="35" t="s">
        <v>14</v>
      </c>
      <c r="I97" s="35" t="s">
        <v>14</v>
      </c>
      <c r="J97" s="35" t="str">
        <f t="shared" si="3"/>
        <v>-</v>
      </c>
      <c r="K97" s="31" t="str">
        <f t="shared" ca="1" si="4"/>
        <v>/A.</v>
      </c>
      <c r="L97" s="31" t="str">
        <f ca="1">IFERROR(__xludf.dummyfunction("CONCATENATE(ArrayFormula(""; ""&amp;QUERY(Hallazgos!A:F,""SELECT B WHERE E CONTAINS '""&amp;A97&amp;""' LABEL B ''"")))"),"#N/A")</f>
        <v>#N/A</v>
      </c>
    </row>
    <row r="98" spans="1:12" ht="114.75" x14ac:dyDescent="0.2">
      <c r="A98" s="32" t="s">
        <v>383</v>
      </c>
      <c r="B98" s="32" t="s">
        <v>384</v>
      </c>
      <c r="C98" s="33" t="s">
        <v>164</v>
      </c>
      <c r="D98" s="34" t="s">
        <v>239</v>
      </c>
      <c r="E98" s="34" t="s">
        <v>166</v>
      </c>
      <c r="F98" s="34" t="s">
        <v>161</v>
      </c>
      <c r="G98" s="35" t="s">
        <v>14</v>
      </c>
      <c r="H98" s="35" t="s">
        <v>14</v>
      </c>
      <c r="I98" s="35" t="s">
        <v>14</v>
      </c>
      <c r="J98" s="35" t="str">
        <f t="shared" si="3"/>
        <v>-</v>
      </c>
      <c r="K98" s="31" t="str">
        <f t="shared" ca="1" si="4"/>
        <v>/A.</v>
      </c>
      <c r="L98" s="31" t="str">
        <f ca="1">IFERROR(__xludf.dummyfunction("CONCATENATE(ArrayFormula(""; ""&amp;QUERY(Hallazgos!A:F,""SELECT B WHERE E CONTAINS '""&amp;A98&amp;""' LABEL B ''"")))"),"#N/A")</f>
        <v>#N/A</v>
      </c>
    </row>
    <row r="99" spans="1:12" ht="102" x14ac:dyDescent="0.2">
      <c r="A99" s="32" t="s">
        <v>385</v>
      </c>
      <c r="B99" s="32" t="s">
        <v>386</v>
      </c>
      <c r="C99" s="33" t="s">
        <v>164</v>
      </c>
      <c r="D99" s="34" t="s">
        <v>239</v>
      </c>
      <c r="E99" s="34" t="s">
        <v>166</v>
      </c>
      <c r="F99" s="34" t="s">
        <v>161</v>
      </c>
      <c r="G99" s="35" t="s">
        <v>14</v>
      </c>
      <c r="H99" s="35" t="s">
        <v>14</v>
      </c>
      <c r="I99" s="35" t="s">
        <v>14</v>
      </c>
      <c r="J99" s="35" t="str">
        <f t="shared" si="3"/>
        <v>-</v>
      </c>
      <c r="K99" s="31" t="str">
        <f t="shared" ref="K99:K130" ca="1" si="5">IF(IFERROR(L99,7)=7,"",RIGHT(L99,LEN(L99)-2)&amp;".")</f>
        <v>/A.</v>
      </c>
      <c r="L99" s="31" t="str">
        <f ca="1">IFERROR(__xludf.dummyfunction("CONCATENATE(ArrayFormula(""; ""&amp;QUERY(Hallazgos!A:F,""SELECT B WHERE E CONTAINS '""&amp;A99&amp;""' LABEL B ''"")))"),"#N/A")</f>
        <v>#N/A</v>
      </c>
    </row>
    <row r="100" spans="1:12" ht="114.75" x14ac:dyDescent="0.2">
      <c r="A100" s="32" t="s">
        <v>387</v>
      </c>
      <c r="B100" s="32" t="s">
        <v>388</v>
      </c>
      <c r="C100" s="37" t="s">
        <v>158</v>
      </c>
      <c r="D100" s="34" t="s">
        <v>370</v>
      </c>
      <c r="E100" s="34" t="s">
        <v>227</v>
      </c>
      <c r="F100" s="34" t="s">
        <v>161</v>
      </c>
      <c r="G100" s="35" t="s">
        <v>14</v>
      </c>
      <c r="H100" s="35" t="s">
        <v>14</v>
      </c>
      <c r="I100" s="35" t="s">
        <v>14</v>
      </c>
      <c r="J100" s="35" t="str">
        <f t="shared" si="3"/>
        <v>-</v>
      </c>
      <c r="K100" s="31" t="str">
        <f t="shared" ca="1" si="5"/>
        <v>/A.</v>
      </c>
      <c r="L100" s="31" t="str">
        <f ca="1">IFERROR(__xludf.dummyfunction("CONCATENATE(ArrayFormula(""; ""&amp;QUERY(Hallazgos!A:F,""SELECT B WHERE E CONTAINS '""&amp;A100&amp;""' LABEL B ''"")))"),"#N/A")</f>
        <v>#N/A</v>
      </c>
    </row>
    <row r="101" spans="1:12" ht="267.75" x14ac:dyDescent="0.2">
      <c r="A101" s="32" t="s">
        <v>389</v>
      </c>
      <c r="B101" s="32" t="s">
        <v>390</v>
      </c>
      <c r="C101" s="33" t="s">
        <v>158</v>
      </c>
      <c r="D101" s="34" t="s">
        <v>239</v>
      </c>
      <c r="E101" s="34" t="s">
        <v>227</v>
      </c>
      <c r="F101" s="34" t="s">
        <v>161</v>
      </c>
      <c r="G101" s="35" t="s">
        <v>14</v>
      </c>
      <c r="H101" s="35" t="s">
        <v>14</v>
      </c>
      <c r="I101" s="35" t="s">
        <v>14</v>
      </c>
      <c r="J101" s="35" t="str">
        <f t="shared" si="3"/>
        <v>-</v>
      </c>
      <c r="K101" s="31" t="str">
        <f t="shared" ca="1" si="5"/>
        <v>/A.</v>
      </c>
      <c r="L101" s="31" t="str">
        <f ca="1">IFERROR(__xludf.dummyfunction("CONCATENATE(ArrayFormula(""; ""&amp;QUERY(Hallazgos!A:F,""SELECT B WHERE E CONTAINS '""&amp;A101&amp;""' LABEL B ''"")))"),"#N/A")</f>
        <v>#N/A</v>
      </c>
    </row>
    <row r="102" spans="1:12" ht="255" x14ac:dyDescent="0.2">
      <c r="A102" s="32" t="s">
        <v>391</v>
      </c>
      <c r="B102" s="32" t="s">
        <v>392</v>
      </c>
      <c r="C102" s="33" t="s">
        <v>158</v>
      </c>
      <c r="D102" s="34" t="s">
        <v>393</v>
      </c>
      <c r="E102" s="34" t="s">
        <v>166</v>
      </c>
      <c r="F102" s="34" t="s">
        <v>194</v>
      </c>
      <c r="G102" s="35" t="s">
        <v>14</v>
      </c>
      <c r="H102" s="35" t="s">
        <v>14</v>
      </c>
      <c r="I102" s="35" t="s">
        <v>14</v>
      </c>
      <c r="J102" s="35" t="str">
        <f t="shared" si="3"/>
        <v>-</v>
      </c>
      <c r="K102" s="31" t="str">
        <f t="shared" ca="1" si="5"/>
        <v>/A.</v>
      </c>
      <c r="L102" s="31" t="str">
        <f ca="1">IFERROR(__xludf.dummyfunction("CONCATENATE(ArrayFormula(""; ""&amp;QUERY(Hallazgos!A:F,""SELECT B WHERE E CONTAINS '""&amp;A102&amp;""' LABEL B ''"")))"),"#N/A")</f>
        <v>#N/A</v>
      </c>
    </row>
    <row r="103" spans="1:12" ht="267.75" x14ac:dyDescent="0.2">
      <c r="A103" s="32" t="s">
        <v>394</v>
      </c>
      <c r="B103" s="32" t="s">
        <v>395</v>
      </c>
      <c r="C103" s="33" t="s">
        <v>182</v>
      </c>
      <c r="D103" s="34" t="s">
        <v>236</v>
      </c>
      <c r="E103" s="34" t="s">
        <v>160</v>
      </c>
      <c r="F103" s="34" t="s">
        <v>161</v>
      </c>
      <c r="G103" s="35" t="s">
        <v>14</v>
      </c>
      <c r="H103" s="35" t="s">
        <v>14</v>
      </c>
      <c r="I103" s="35" t="s">
        <v>14</v>
      </c>
      <c r="J103" s="35" t="str">
        <f t="shared" si="3"/>
        <v>-</v>
      </c>
      <c r="K103" s="31" t="str">
        <f t="shared" ca="1" si="5"/>
        <v>/A.</v>
      </c>
      <c r="L103" s="31" t="str">
        <f ca="1">IFERROR(__xludf.dummyfunction("CONCATENATE(ArrayFormula(""; ""&amp;QUERY(Hallazgos!A:F,""SELECT B WHERE E CONTAINS '""&amp;A103&amp;""' LABEL B ''"")))"),"#N/A")</f>
        <v>#N/A</v>
      </c>
    </row>
    <row r="104" spans="1:12" ht="127.5" x14ac:dyDescent="0.2">
      <c r="A104" s="32" t="s">
        <v>396</v>
      </c>
      <c r="B104" s="32" t="s">
        <v>397</v>
      </c>
      <c r="C104" s="33" t="s">
        <v>158</v>
      </c>
      <c r="D104" s="34" t="s">
        <v>236</v>
      </c>
      <c r="E104" s="34" t="s">
        <v>227</v>
      </c>
      <c r="F104" s="34" t="s">
        <v>161</v>
      </c>
      <c r="G104" s="35" t="s">
        <v>14</v>
      </c>
      <c r="H104" s="35" t="s">
        <v>14</v>
      </c>
      <c r="I104" s="35" t="s">
        <v>14</v>
      </c>
      <c r="J104" s="35" t="str">
        <f t="shared" si="3"/>
        <v>-</v>
      </c>
      <c r="K104" s="31" t="str">
        <f t="shared" ca="1" si="5"/>
        <v>/A.</v>
      </c>
      <c r="L104" s="31" t="str">
        <f ca="1">IFERROR(__xludf.dummyfunction("CONCATENATE(ArrayFormula(""; ""&amp;QUERY(Hallazgos!A:F,""SELECT B WHERE E CONTAINS '""&amp;A104&amp;""' LABEL B ''"")))"),"#N/A")</f>
        <v>#N/A</v>
      </c>
    </row>
    <row r="105" spans="1:12" ht="204" x14ac:dyDescent="0.2">
      <c r="A105" s="36" t="s">
        <v>398</v>
      </c>
      <c r="B105" s="36" t="s">
        <v>399</v>
      </c>
      <c r="C105" s="37" t="s">
        <v>158</v>
      </c>
      <c r="D105" s="34" t="s">
        <v>236</v>
      </c>
      <c r="E105" s="34" t="s">
        <v>227</v>
      </c>
      <c r="F105" s="34" t="s">
        <v>161</v>
      </c>
      <c r="G105" s="35" t="s">
        <v>14</v>
      </c>
      <c r="H105" s="35" t="s">
        <v>14</v>
      </c>
      <c r="I105" s="35" t="s">
        <v>14</v>
      </c>
      <c r="J105" s="35" t="str">
        <f t="shared" si="3"/>
        <v>-</v>
      </c>
      <c r="K105" s="31" t="str">
        <f t="shared" ca="1" si="5"/>
        <v>/A.</v>
      </c>
      <c r="L105" s="31" t="str">
        <f ca="1">IFERROR(__xludf.dummyfunction("CONCATENATE(ArrayFormula(""; ""&amp;QUERY(Hallazgos!A:F,""SELECT B WHERE E CONTAINS '""&amp;A105&amp;""' LABEL B ''"")))"),"#N/A")</f>
        <v>#N/A</v>
      </c>
    </row>
    <row r="106" spans="1:12" ht="204" x14ac:dyDescent="0.2">
      <c r="A106" s="32" t="s">
        <v>400</v>
      </c>
      <c r="B106" s="32" t="s">
        <v>401</v>
      </c>
      <c r="C106" s="33" t="s">
        <v>158</v>
      </c>
      <c r="D106" s="34" t="s">
        <v>236</v>
      </c>
      <c r="E106" s="34" t="s">
        <v>227</v>
      </c>
      <c r="F106" s="34" t="s">
        <v>161</v>
      </c>
      <c r="G106" s="35" t="s">
        <v>14</v>
      </c>
      <c r="H106" s="35" t="s">
        <v>14</v>
      </c>
      <c r="I106" s="35" t="s">
        <v>14</v>
      </c>
      <c r="J106" s="35" t="str">
        <f t="shared" si="3"/>
        <v>-</v>
      </c>
      <c r="K106" s="31" t="str">
        <f t="shared" ca="1" si="5"/>
        <v>/A.</v>
      </c>
      <c r="L106" s="31" t="str">
        <f ca="1">IFERROR(__xludf.dummyfunction("CONCATENATE(ArrayFormula(""; ""&amp;QUERY(Hallazgos!A:F,""SELECT B WHERE E CONTAINS '""&amp;A106&amp;""' LABEL B ''"")))"),"#N/A")</f>
        <v>#N/A</v>
      </c>
    </row>
    <row r="107" spans="1:12" ht="216.75" x14ac:dyDescent="0.2">
      <c r="A107" s="32" t="s">
        <v>402</v>
      </c>
      <c r="B107" s="32" t="s">
        <v>403</v>
      </c>
      <c r="C107" s="33" t="s">
        <v>158</v>
      </c>
      <c r="D107" s="34" t="s">
        <v>236</v>
      </c>
      <c r="E107" s="34" t="s">
        <v>227</v>
      </c>
      <c r="F107" s="34" t="s">
        <v>161</v>
      </c>
      <c r="G107" s="35" t="s">
        <v>14</v>
      </c>
      <c r="H107" s="35" t="s">
        <v>14</v>
      </c>
      <c r="I107" s="35" t="s">
        <v>14</v>
      </c>
      <c r="J107" s="35" t="str">
        <f t="shared" si="3"/>
        <v>-</v>
      </c>
      <c r="K107" s="31" t="str">
        <f t="shared" ca="1" si="5"/>
        <v>/A.</v>
      </c>
      <c r="L107" s="31" t="str">
        <f ca="1">IFERROR(__xludf.dummyfunction("CONCATENATE(ArrayFormula(""; ""&amp;QUERY(Hallazgos!A:F,""SELECT B WHERE E CONTAINS '""&amp;A107&amp;""' LABEL B ''"")))"),"#N/A")</f>
        <v>#N/A</v>
      </c>
    </row>
    <row r="108" spans="1:12" ht="165.75" x14ac:dyDescent="0.2">
      <c r="A108" s="32" t="s">
        <v>404</v>
      </c>
      <c r="B108" s="32" t="s">
        <v>405</v>
      </c>
      <c r="C108" s="33" t="s">
        <v>158</v>
      </c>
      <c r="D108" s="34" t="s">
        <v>393</v>
      </c>
      <c r="E108" s="34" t="s">
        <v>160</v>
      </c>
      <c r="F108" s="34" t="s">
        <v>161</v>
      </c>
      <c r="G108" s="35" t="s">
        <v>14</v>
      </c>
      <c r="H108" s="35" t="s">
        <v>14</v>
      </c>
      <c r="I108" s="35" t="s">
        <v>14</v>
      </c>
      <c r="J108" s="35" t="str">
        <f t="shared" si="3"/>
        <v>-</v>
      </c>
      <c r="K108" s="31" t="str">
        <f t="shared" ca="1" si="5"/>
        <v>/A.</v>
      </c>
      <c r="L108" s="31" t="str">
        <f ca="1">IFERROR(__xludf.dummyfunction("CONCATENATE(ArrayFormula(""; ""&amp;QUERY(Hallazgos!A:F,""SELECT B WHERE E CONTAINS '""&amp;A108&amp;""' LABEL B ''"")))"),"#N/A")</f>
        <v>#N/A</v>
      </c>
    </row>
    <row r="109" spans="1:12" ht="204" x14ac:dyDescent="0.2">
      <c r="A109" s="32" t="s">
        <v>406</v>
      </c>
      <c r="B109" s="32" t="s">
        <v>407</v>
      </c>
      <c r="C109" s="33" t="s">
        <v>158</v>
      </c>
      <c r="D109" s="34" t="s">
        <v>393</v>
      </c>
      <c r="E109" s="34" t="s">
        <v>160</v>
      </c>
      <c r="F109" s="34" t="s">
        <v>161</v>
      </c>
      <c r="G109" s="35" t="s">
        <v>14</v>
      </c>
      <c r="H109" s="35" t="s">
        <v>14</v>
      </c>
      <c r="I109" s="35" t="s">
        <v>14</v>
      </c>
      <c r="J109" s="35" t="str">
        <f t="shared" si="3"/>
        <v>-</v>
      </c>
      <c r="K109" s="31" t="str">
        <f t="shared" ca="1" si="5"/>
        <v>/A.</v>
      </c>
      <c r="L109" s="31" t="str">
        <f ca="1">IFERROR(__xludf.dummyfunction("CONCATENATE(ArrayFormula(""; ""&amp;QUERY(Hallazgos!A:F,""SELECT B WHERE E CONTAINS '""&amp;A109&amp;""' LABEL B ''"")))"),"#N/A")</f>
        <v>#N/A</v>
      </c>
    </row>
    <row r="110" spans="1:12" ht="127.5" x14ac:dyDescent="0.2">
      <c r="A110" s="32" t="s">
        <v>408</v>
      </c>
      <c r="B110" s="32" t="s">
        <v>409</v>
      </c>
      <c r="C110" s="33" t="s">
        <v>158</v>
      </c>
      <c r="D110" s="34" t="s">
        <v>393</v>
      </c>
      <c r="E110" s="34" t="s">
        <v>197</v>
      </c>
      <c r="F110" s="34" t="s">
        <v>161</v>
      </c>
      <c r="G110" s="35" t="s">
        <v>14</v>
      </c>
      <c r="H110" s="35" t="s">
        <v>14</v>
      </c>
      <c r="I110" s="35" t="s">
        <v>14</v>
      </c>
      <c r="J110" s="35" t="str">
        <f t="shared" si="3"/>
        <v>-</v>
      </c>
      <c r="K110" s="31" t="str">
        <f t="shared" ca="1" si="5"/>
        <v>/A.</v>
      </c>
      <c r="L110" s="31" t="str">
        <f ca="1">IFERROR(__xludf.dummyfunction("CONCATENATE(ArrayFormula(""; ""&amp;QUERY(Hallazgos!A:F,""SELECT B WHERE E CONTAINS '""&amp;A110&amp;""' LABEL B ''"")))"),"#N/A")</f>
        <v>#N/A</v>
      </c>
    </row>
    <row r="111" spans="1:12" ht="153" x14ac:dyDescent="0.2">
      <c r="A111" s="32" t="s">
        <v>410</v>
      </c>
      <c r="B111" s="32" t="s">
        <v>411</v>
      </c>
      <c r="C111" s="33" t="s">
        <v>158</v>
      </c>
      <c r="D111" s="34" t="s">
        <v>393</v>
      </c>
      <c r="E111" s="34" t="s">
        <v>221</v>
      </c>
      <c r="F111" s="34" t="s">
        <v>161</v>
      </c>
      <c r="G111" s="35" t="s">
        <v>14</v>
      </c>
      <c r="H111" s="35" t="s">
        <v>14</v>
      </c>
      <c r="I111" s="35" t="s">
        <v>14</v>
      </c>
      <c r="J111" s="35" t="str">
        <f t="shared" si="3"/>
        <v>-</v>
      </c>
      <c r="K111" s="31" t="str">
        <f t="shared" ca="1" si="5"/>
        <v>/A.</v>
      </c>
      <c r="L111" s="31" t="str">
        <f ca="1">IFERROR(__xludf.dummyfunction("CONCATENATE(ArrayFormula(""; ""&amp;QUERY(Hallazgos!A:F,""SELECT B WHERE E CONTAINS '""&amp;A111&amp;""' LABEL B ''"")))"),"#N/A")</f>
        <v>#N/A</v>
      </c>
    </row>
    <row r="112" spans="1:12" ht="153" x14ac:dyDescent="0.2">
      <c r="A112" s="36" t="s">
        <v>412</v>
      </c>
      <c r="B112" s="36" t="s">
        <v>413</v>
      </c>
      <c r="C112" s="37" t="s">
        <v>158</v>
      </c>
      <c r="D112" s="34" t="s">
        <v>263</v>
      </c>
      <c r="E112" s="34" t="s">
        <v>227</v>
      </c>
      <c r="F112" s="34" t="s">
        <v>161</v>
      </c>
      <c r="G112" s="35" t="s">
        <v>14</v>
      </c>
      <c r="H112" s="35" t="s">
        <v>14</v>
      </c>
      <c r="I112" s="35" t="s">
        <v>14</v>
      </c>
      <c r="J112" s="35" t="str">
        <f t="shared" si="3"/>
        <v>-</v>
      </c>
      <c r="K112" s="31" t="str">
        <f t="shared" ca="1" si="5"/>
        <v>/A.</v>
      </c>
      <c r="L112" s="31" t="str">
        <f ca="1">IFERROR(__xludf.dummyfunction("CONCATENATE(ArrayFormula(""; ""&amp;QUERY(Hallazgos!A:F,""SELECT B WHERE E CONTAINS '""&amp;A112&amp;""' LABEL B ''"")))"),"#N/A")</f>
        <v>#N/A</v>
      </c>
    </row>
    <row r="113" spans="1:12" ht="114.75" x14ac:dyDescent="0.2">
      <c r="A113" s="32" t="s">
        <v>414</v>
      </c>
      <c r="B113" s="32" t="s">
        <v>415</v>
      </c>
      <c r="C113" s="33" t="s">
        <v>158</v>
      </c>
      <c r="D113" s="34" t="s">
        <v>416</v>
      </c>
      <c r="E113" s="34" t="s">
        <v>166</v>
      </c>
      <c r="F113" s="34" t="s">
        <v>194</v>
      </c>
      <c r="G113" s="35" t="s">
        <v>14</v>
      </c>
      <c r="H113" s="35" t="s">
        <v>14</v>
      </c>
      <c r="I113" s="35" t="s">
        <v>14</v>
      </c>
      <c r="J113" s="35" t="str">
        <f t="shared" si="3"/>
        <v>-</v>
      </c>
      <c r="K113" s="31" t="str">
        <f t="shared" ca="1" si="5"/>
        <v>/A.</v>
      </c>
      <c r="L113" s="31" t="str">
        <f ca="1">IFERROR(__xludf.dummyfunction("CONCATENATE(ArrayFormula(""; ""&amp;QUERY(Hallazgos!A:F,""SELECT B WHERE E CONTAINS '""&amp;A113&amp;""' LABEL B ''"")))"),"#N/A")</f>
        <v>#N/A</v>
      </c>
    </row>
    <row r="114" spans="1:12" ht="357" x14ac:dyDescent="0.2">
      <c r="A114" s="32" t="s">
        <v>417</v>
      </c>
      <c r="B114" s="32" t="s">
        <v>418</v>
      </c>
      <c r="C114" s="33" t="s">
        <v>158</v>
      </c>
      <c r="D114" s="34" t="s">
        <v>416</v>
      </c>
      <c r="E114" s="34" t="s">
        <v>166</v>
      </c>
      <c r="F114" s="34" t="s">
        <v>194</v>
      </c>
      <c r="G114" s="35" t="s">
        <v>14</v>
      </c>
      <c r="H114" s="35" t="s">
        <v>14</v>
      </c>
      <c r="I114" s="35" t="s">
        <v>14</v>
      </c>
      <c r="J114" s="35" t="str">
        <f t="shared" si="3"/>
        <v>-</v>
      </c>
      <c r="K114" s="31" t="str">
        <f t="shared" ca="1" si="5"/>
        <v>/A.</v>
      </c>
      <c r="L114" s="31" t="str">
        <f ca="1">IFERROR(__xludf.dummyfunction("CONCATENATE(ArrayFormula(""; ""&amp;QUERY(Hallazgos!A:F,""SELECT B WHERE E CONTAINS '""&amp;A114&amp;""' LABEL B ''"")))"),"#N/A")</f>
        <v>#N/A</v>
      </c>
    </row>
    <row r="115" spans="1:12" ht="127.5" x14ac:dyDescent="0.2">
      <c r="A115" s="32" t="s">
        <v>419</v>
      </c>
      <c r="B115" s="32" t="s">
        <v>420</v>
      </c>
      <c r="C115" s="37" t="s">
        <v>158</v>
      </c>
      <c r="D115" s="34" t="s">
        <v>421</v>
      </c>
      <c r="E115" s="34" t="s">
        <v>160</v>
      </c>
      <c r="F115" s="34" t="s">
        <v>161</v>
      </c>
      <c r="G115" s="35" t="s">
        <v>14</v>
      </c>
      <c r="H115" s="35" t="s">
        <v>14</v>
      </c>
      <c r="I115" s="35" t="s">
        <v>14</v>
      </c>
      <c r="J115" s="35" t="str">
        <f t="shared" si="3"/>
        <v>-</v>
      </c>
      <c r="K115" s="31" t="str">
        <f t="shared" ca="1" si="5"/>
        <v>/A.</v>
      </c>
      <c r="L115" s="31" t="str">
        <f ca="1">IFERROR(__xludf.dummyfunction("CONCATENATE(ArrayFormula(""; ""&amp;QUERY(Hallazgos!A:F,""SELECT B WHERE E CONTAINS '""&amp;A115&amp;""' LABEL B ''"")))"),"#N/A")</f>
        <v>#N/A</v>
      </c>
    </row>
    <row r="116" spans="1:12" ht="102" x14ac:dyDescent="0.2">
      <c r="A116" s="32" t="s">
        <v>422</v>
      </c>
      <c r="B116" s="32" t="s">
        <v>423</v>
      </c>
      <c r="C116" s="37" t="s">
        <v>158</v>
      </c>
      <c r="D116" s="34" t="s">
        <v>421</v>
      </c>
      <c r="E116" s="34" t="s">
        <v>424</v>
      </c>
      <c r="F116" s="34" t="s">
        <v>161</v>
      </c>
      <c r="G116" s="35" t="s">
        <v>14</v>
      </c>
      <c r="H116" s="35" t="s">
        <v>14</v>
      </c>
      <c r="I116" s="35" t="s">
        <v>14</v>
      </c>
      <c r="J116" s="35" t="str">
        <f t="shared" si="3"/>
        <v>-</v>
      </c>
      <c r="K116" s="31" t="str">
        <f t="shared" ca="1" si="5"/>
        <v>/A.</v>
      </c>
      <c r="L116" s="31" t="str">
        <f ca="1">IFERROR(__xludf.dummyfunction("CONCATENATE(ArrayFormula(""; ""&amp;QUERY(Hallazgos!A:F,""SELECT B WHERE E CONTAINS '""&amp;A116&amp;""' LABEL B ''"")))"),"#N/A")</f>
        <v>#N/A</v>
      </c>
    </row>
    <row r="117" spans="1:12" ht="140.25" x14ac:dyDescent="0.2">
      <c r="A117" s="32" t="s">
        <v>425</v>
      </c>
      <c r="B117" s="32" t="s">
        <v>426</v>
      </c>
      <c r="C117" s="33" t="s">
        <v>164</v>
      </c>
      <c r="D117" s="34" t="s">
        <v>263</v>
      </c>
      <c r="E117" s="34" t="s">
        <v>424</v>
      </c>
      <c r="F117" s="34" t="s">
        <v>161</v>
      </c>
      <c r="G117" s="35" t="s">
        <v>14</v>
      </c>
      <c r="H117" s="35" t="s">
        <v>14</v>
      </c>
      <c r="I117" s="35" t="s">
        <v>14</v>
      </c>
      <c r="J117" s="35" t="str">
        <f t="shared" si="3"/>
        <v>-</v>
      </c>
      <c r="K117" s="31" t="str">
        <f t="shared" ca="1" si="5"/>
        <v>/A.</v>
      </c>
      <c r="L117" s="31" t="str">
        <f ca="1">IFERROR(__xludf.dummyfunction("CONCATENATE(ArrayFormula(""; ""&amp;QUERY(Hallazgos!A:F,""SELECT B WHERE E CONTAINS '""&amp;A117&amp;""' LABEL B ''"")))"),"#N/A")</f>
        <v>#N/A</v>
      </c>
    </row>
    <row r="118" spans="1:12" ht="165.75" x14ac:dyDescent="0.2">
      <c r="A118" s="32" t="s">
        <v>427</v>
      </c>
      <c r="B118" s="32" t="s">
        <v>428</v>
      </c>
      <c r="C118" s="33" t="s">
        <v>164</v>
      </c>
      <c r="D118" s="34" t="s">
        <v>263</v>
      </c>
      <c r="E118" s="34" t="s">
        <v>160</v>
      </c>
      <c r="F118" s="34" t="s">
        <v>161</v>
      </c>
      <c r="G118" s="35" t="s">
        <v>14</v>
      </c>
      <c r="H118" s="35" t="s">
        <v>14</v>
      </c>
      <c r="I118" s="35" t="s">
        <v>14</v>
      </c>
      <c r="J118" s="35" t="str">
        <f t="shared" si="3"/>
        <v>-</v>
      </c>
      <c r="K118" s="31" t="str">
        <f t="shared" ca="1" si="5"/>
        <v>/A.</v>
      </c>
      <c r="L118" s="31" t="str">
        <f ca="1">IFERROR(__xludf.dummyfunction("CONCATENATE(ArrayFormula(""; ""&amp;QUERY(Hallazgos!A:F,""SELECT B WHERE E CONTAINS '""&amp;A118&amp;""' LABEL B ''"")))"),"#N/A")</f>
        <v>#N/A</v>
      </c>
    </row>
    <row r="119" spans="1:12" ht="127.5" x14ac:dyDescent="0.2">
      <c r="A119" s="32" t="s">
        <v>429</v>
      </c>
      <c r="B119" s="32" t="s">
        <v>430</v>
      </c>
      <c r="C119" s="33" t="s">
        <v>164</v>
      </c>
      <c r="D119" s="34" t="s">
        <v>263</v>
      </c>
      <c r="E119" s="34" t="s">
        <v>160</v>
      </c>
      <c r="F119" s="34" t="s">
        <v>161</v>
      </c>
      <c r="G119" s="35" t="s">
        <v>14</v>
      </c>
      <c r="H119" s="35" t="s">
        <v>14</v>
      </c>
      <c r="I119" s="35" t="s">
        <v>14</v>
      </c>
      <c r="J119" s="35" t="str">
        <f t="shared" si="3"/>
        <v>-</v>
      </c>
      <c r="K119" s="31" t="str">
        <f t="shared" ca="1" si="5"/>
        <v>/A.</v>
      </c>
      <c r="L119" s="31" t="str">
        <f ca="1">IFERROR(__xludf.dummyfunction("CONCATENATE(ArrayFormula(""; ""&amp;QUERY(Hallazgos!A:F,""SELECT B WHERE E CONTAINS '""&amp;A119&amp;""' LABEL B ''"")))"),"#N/A")</f>
        <v>#N/A</v>
      </c>
    </row>
    <row r="120" spans="1:12" ht="191.25" x14ac:dyDescent="0.2">
      <c r="A120" s="32" t="s">
        <v>431</v>
      </c>
      <c r="B120" s="32" t="s">
        <v>432</v>
      </c>
      <c r="C120" s="33" t="s">
        <v>164</v>
      </c>
      <c r="D120" s="34" t="s">
        <v>263</v>
      </c>
      <c r="E120" s="34" t="s">
        <v>424</v>
      </c>
      <c r="F120" s="34" t="s">
        <v>161</v>
      </c>
      <c r="G120" s="35" t="s">
        <v>14</v>
      </c>
      <c r="H120" s="35" t="s">
        <v>14</v>
      </c>
      <c r="I120" s="35" t="s">
        <v>14</v>
      </c>
      <c r="J120" s="35" t="str">
        <f t="shared" si="3"/>
        <v>-</v>
      </c>
      <c r="K120" s="31" t="str">
        <f t="shared" ca="1" si="5"/>
        <v>/A.</v>
      </c>
      <c r="L120" s="31" t="str">
        <f ca="1">IFERROR(__xludf.dummyfunction("CONCATENATE(ArrayFormula(""; ""&amp;QUERY(Hallazgos!A:F,""SELECT B WHERE E CONTAINS '""&amp;A120&amp;""' LABEL B ''"")))"),"#N/A")</f>
        <v>#N/A</v>
      </c>
    </row>
    <row r="121" spans="1:12" ht="229.5" x14ac:dyDescent="0.2">
      <c r="A121" s="32" t="s">
        <v>433</v>
      </c>
      <c r="B121" s="32" t="s">
        <v>434</v>
      </c>
      <c r="C121" s="33" t="s">
        <v>158</v>
      </c>
      <c r="D121" s="34" t="s">
        <v>263</v>
      </c>
      <c r="E121" s="34" t="s">
        <v>160</v>
      </c>
      <c r="F121" s="34" t="s">
        <v>161</v>
      </c>
      <c r="G121" s="35" t="s">
        <v>14</v>
      </c>
      <c r="H121" s="35" t="s">
        <v>14</v>
      </c>
      <c r="I121" s="35" t="s">
        <v>14</v>
      </c>
      <c r="J121" s="35" t="str">
        <f t="shared" si="3"/>
        <v>-</v>
      </c>
      <c r="K121" s="31" t="str">
        <f t="shared" ca="1" si="5"/>
        <v>/A.</v>
      </c>
      <c r="L121" s="31" t="str">
        <f ca="1">IFERROR(__xludf.dummyfunction("CONCATENATE(ArrayFormula(""; ""&amp;QUERY(Hallazgos!A:F,""SELECT B WHERE E CONTAINS '""&amp;A121&amp;""' LABEL B ''"")))"),"#N/A")</f>
        <v>#N/A</v>
      </c>
    </row>
    <row r="122" spans="1:12" ht="102" x14ac:dyDescent="0.2">
      <c r="A122" s="32" t="s">
        <v>435</v>
      </c>
      <c r="B122" s="32" t="s">
        <v>436</v>
      </c>
      <c r="C122" s="33" t="s">
        <v>164</v>
      </c>
      <c r="D122" s="34" t="s">
        <v>263</v>
      </c>
      <c r="E122" s="34" t="s">
        <v>160</v>
      </c>
      <c r="F122" s="34" t="s">
        <v>161</v>
      </c>
      <c r="G122" s="35" t="s">
        <v>14</v>
      </c>
      <c r="H122" s="35" t="s">
        <v>14</v>
      </c>
      <c r="I122" s="35" t="s">
        <v>14</v>
      </c>
      <c r="J122" s="35" t="str">
        <f t="shared" si="3"/>
        <v>-</v>
      </c>
      <c r="K122" s="31" t="str">
        <f t="shared" ca="1" si="5"/>
        <v>/A.</v>
      </c>
      <c r="L122" s="31" t="str">
        <f ca="1">IFERROR(__xludf.dummyfunction("CONCATENATE(ArrayFormula(""; ""&amp;QUERY(Hallazgos!A:F,""SELECT B WHERE E CONTAINS '""&amp;A122&amp;""' LABEL B ''"")))"),"#N/A")</f>
        <v>#N/A</v>
      </c>
    </row>
    <row r="123" spans="1:12" ht="153" x14ac:dyDescent="0.2">
      <c r="A123" s="32" t="s">
        <v>437</v>
      </c>
      <c r="B123" s="32" t="s">
        <v>438</v>
      </c>
      <c r="C123" s="33" t="s">
        <v>164</v>
      </c>
      <c r="D123" s="34" t="s">
        <v>263</v>
      </c>
      <c r="E123" s="34" t="s">
        <v>160</v>
      </c>
      <c r="F123" s="34" t="s">
        <v>161</v>
      </c>
      <c r="G123" s="35" t="s">
        <v>14</v>
      </c>
      <c r="H123" s="35" t="s">
        <v>14</v>
      </c>
      <c r="I123" s="35" t="s">
        <v>14</v>
      </c>
      <c r="J123" s="35" t="str">
        <f t="shared" si="3"/>
        <v>-</v>
      </c>
      <c r="K123" s="31" t="str">
        <f t="shared" ca="1" si="5"/>
        <v>/A.</v>
      </c>
      <c r="L123" s="31" t="str">
        <f ca="1">IFERROR(__xludf.dummyfunction("CONCATENATE(ArrayFormula(""; ""&amp;QUERY(Hallazgos!A:F,""SELECT B WHERE E CONTAINS '""&amp;A123&amp;""' LABEL B ''"")))"),"#N/A")</f>
        <v>#N/A</v>
      </c>
    </row>
    <row r="124" spans="1:12" ht="216.75" x14ac:dyDescent="0.2">
      <c r="A124" s="32" t="s">
        <v>439</v>
      </c>
      <c r="B124" s="32" t="s">
        <v>440</v>
      </c>
      <c r="C124" s="33" t="s">
        <v>158</v>
      </c>
      <c r="D124" s="34" t="s">
        <v>210</v>
      </c>
      <c r="E124" s="34" t="s">
        <v>160</v>
      </c>
      <c r="F124" s="34" t="s">
        <v>194</v>
      </c>
      <c r="G124" s="35" t="s">
        <v>14</v>
      </c>
      <c r="H124" s="35" t="s">
        <v>14</v>
      </c>
      <c r="I124" s="35" t="s">
        <v>14</v>
      </c>
      <c r="J124" s="35" t="str">
        <f t="shared" si="3"/>
        <v>-</v>
      </c>
      <c r="K124" s="31" t="str">
        <f t="shared" ca="1" si="5"/>
        <v>/A.</v>
      </c>
      <c r="L124" s="31" t="str">
        <f ca="1">IFERROR(__xludf.dummyfunction("CONCATENATE(ArrayFormula(""; ""&amp;QUERY(Hallazgos!A:F,""SELECT B WHERE E CONTAINS '""&amp;A124&amp;""' LABEL B ''"")))"),"#N/A")</f>
        <v>#N/A</v>
      </c>
    </row>
    <row r="125" spans="1:12" ht="216.75" x14ac:dyDescent="0.2">
      <c r="A125" s="32" t="s">
        <v>441</v>
      </c>
      <c r="B125" s="32" t="s">
        <v>442</v>
      </c>
      <c r="C125" s="33" t="s">
        <v>158</v>
      </c>
      <c r="D125" s="34" t="s">
        <v>443</v>
      </c>
      <c r="E125" s="34" t="s">
        <v>444</v>
      </c>
      <c r="F125" s="34" t="s">
        <v>161</v>
      </c>
      <c r="G125" s="35" t="s">
        <v>14</v>
      </c>
      <c r="H125" s="35" t="s">
        <v>14</v>
      </c>
      <c r="I125" s="35" t="s">
        <v>14</v>
      </c>
      <c r="J125" s="35" t="str">
        <f t="shared" si="3"/>
        <v>-</v>
      </c>
      <c r="K125" s="31" t="str">
        <f t="shared" ca="1" si="5"/>
        <v>/A.</v>
      </c>
      <c r="L125" s="31" t="str">
        <f ca="1">IFERROR(__xludf.dummyfunction("CONCATENATE(ArrayFormula(""; ""&amp;QUERY(Hallazgos!A:F,""SELECT B WHERE E CONTAINS '""&amp;A125&amp;""' LABEL B ''"")))"),"#N/A")</f>
        <v>#N/A</v>
      </c>
    </row>
    <row r="126" spans="1:12" ht="242.25" x14ac:dyDescent="0.2">
      <c r="A126" s="32" t="s">
        <v>445</v>
      </c>
      <c r="B126" s="32" t="s">
        <v>446</v>
      </c>
      <c r="C126" s="33" t="s">
        <v>158</v>
      </c>
      <c r="D126" s="34" t="s">
        <v>210</v>
      </c>
      <c r="E126" s="34" t="s">
        <v>205</v>
      </c>
      <c r="F126" s="34" t="s">
        <v>447</v>
      </c>
      <c r="G126" s="35" t="s">
        <v>14</v>
      </c>
      <c r="H126" s="35" t="s">
        <v>14</v>
      </c>
      <c r="I126" s="35" t="s">
        <v>14</v>
      </c>
      <c r="J126" s="35" t="str">
        <f t="shared" si="3"/>
        <v>-</v>
      </c>
      <c r="K126" s="31" t="str">
        <f t="shared" ca="1" si="5"/>
        <v>/A.</v>
      </c>
      <c r="L126" s="31" t="str">
        <f ca="1">IFERROR(__xludf.dummyfunction("CONCATENATE(ArrayFormula(""; ""&amp;QUERY(Hallazgos!A:F,""SELECT B WHERE E CONTAINS '""&amp;A126&amp;""' LABEL B ''"")))"),"#N/A")</f>
        <v>#N/A</v>
      </c>
    </row>
    <row r="127" spans="1:12" ht="267.75" x14ac:dyDescent="0.2">
      <c r="A127" s="32" t="s">
        <v>448</v>
      </c>
      <c r="B127" s="32" t="s">
        <v>449</v>
      </c>
      <c r="C127" s="33" t="s">
        <v>182</v>
      </c>
      <c r="D127" s="34" t="s">
        <v>305</v>
      </c>
      <c r="E127" s="34" t="s">
        <v>166</v>
      </c>
      <c r="F127" s="34" t="s">
        <v>450</v>
      </c>
      <c r="G127" s="35" t="s">
        <v>14</v>
      </c>
      <c r="H127" s="35" t="s">
        <v>14</v>
      </c>
      <c r="I127" s="35" t="s">
        <v>14</v>
      </c>
      <c r="J127" s="35" t="str">
        <f t="shared" si="3"/>
        <v>-</v>
      </c>
      <c r="K127" s="31" t="str">
        <f t="shared" ca="1" si="5"/>
        <v>/A.</v>
      </c>
      <c r="L127" s="31" t="str">
        <f ca="1">IFERROR(__xludf.dummyfunction("CONCATENATE(ArrayFormula(""; ""&amp;QUERY(Hallazgos!A:F,""SELECT B WHERE E CONTAINS '""&amp;A127&amp;""' LABEL B ''"")))"),"#N/A")</f>
        <v>#N/A</v>
      </c>
    </row>
    <row r="128" spans="1:12" ht="178.5" x14ac:dyDescent="0.2">
      <c r="A128" s="32" t="s">
        <v>451</v>
      </c>
      <c r="B128" s="32" t="s">
        <v>452</v>
      </c>
      <c r="C128" s="33" t="s">
        <v>164</v>
      </c>
      <c r="D128" s="34" t="s">
        <v>165</v>
      </c>
      <c r="E128" s="34" t="s">
        <v>166</v>
      </c>
      <c r="F128" s="34" t="s">
        <v>450</v>
      </c>
      <c r="G128" s="35" t="s">
        <v>14</v>
      </c>
      <c r="H128" s="35" t="s">
        <v>14</v>
      </c>
      <c r="I128" s="35" t="s">
        <v>14</v>
      </c>
      <c r="J128" s="35" t="str">
        <f t="shared" si="3"/>
        <v>-</v>
      </c>
      <c r="K128" s="31" t="str">
        <f t="shared" ca="1" si="5"/>
        <v>/A.</v>
      </c>
      <c r="L128" s="31" t="str">
        <f ca="1">IFERROR(__xludf.dummyfunction("CONCATENATE(ArrayFormula(""; ""&amp;QUERY(Hallazgos!A:F,""SELECT B WHERE E CONTAINS '""&amp;A128&amp;""' LABEL B ''"")))"),"#N/A")</f>
        <v>#N/A</v>
      </c>
    </row>
    <row r="129" spans="1:12" ht="102" x14ac:dyDescent="0.2">
      <c r="A129" s="32" t="s">
        <v>453</v>
      </c>
      <c r="B129" s="32" t="s">
        <v>454</v>
      </c>
      <c r="C129" s="33" t="s">
        <v>182</v>
      </c>
      <c r="D129" s="34" t="s">
        <v>455</v>
      </c>
      <c r="E129" s="34" t="s">
        <v>227</v>
      </c>
      <c r="F129" s="34" t="s">
        <v>450</v>
      </c>
      <c r="G129" s="35" t="s">
        <v>14</v>
      </c>
      <c r="H129" s="35" t="s">
        <v>14</v>
      </c>
      <c r="I129" s="35" t="s">
        <v>14</v>
      </c>
      <c r="J129" s="35" t="str">
        <f t="shared" si="3"/>
        <v>-</v>
      </c>
      <c r="K129" s="31" t="str">
        <f t="shared" ca="1" si="5"/>
        <v>/A.</v>
      </c>
      <c r="L129" s="31" t="str">
        <f ca="1">IFERROR(__xludf.dummyfunction("CONCATENATE(ArrayFormula(""; ""&amp;QUERY(Hallazgos!A:F,""SELECT B WHERE E CONTAINS '""&amp;A129&amp;""' LABEL B ''"")))"),"#N/A")</f>
        <v>#N/A</v>
      </c>
    </row>
    <row r="130" spans="1:12" ht="114.75" x14ac:dyDescent="0.2">
      <c r="A130" s="32" t="s">
        <v>456</v>
      </c>
      <c r="B130" s="32" t="s">
        <v>457</v>
      </c>
      <c r="C130" s="33" t="s">
        <v>182</v>
      </c>
      <c r="D130" s="34" t="s">
        <v>455</v>
      </c>
      <c r="E130" s="34" t="s">
        <v>250</v>
      </c>
      <c r="F130" s="34" t="s">
        <v>450</v>
      </c>
      <c r="G130" s="35" t="s">
        <v>14</v>
      </c>
      <c r="H130" s="35" t="s">
        <v>14</v>
      </c>
      <c r="I130" s="35" t="s">
        <v>14</v>
      </c>
      <c r="J130" s="35" t="str">
        <f t="shared" si="3"/>
        <v>-</v>
      </c>
      <c r="K130" s="31" t="str">
        <f t="shared" ca="1" si="5"/>
        <v>/A.</v>
      </c>
      <c r="L130" s="31" t="str">
        <f ca="1">IFERROR(__xludf.dummyfunction("CONCATENATE(ArrayFormula(""; ""&amp;QUERY(Hallazgos!A:F,""SELECT B WHERE E CONTAINS '""&amp;A130&amp;""' LABEL B ''"")))"),"#N/A")</f>
        <v>#N/A</v>
      </c>
    </row>
    <row r="131" spans="1:12" ht="114.75" x14ac:dyDescent="0.2">
      <c r="A131" s="32" t="s">
        <v>458</v>
      </c>
      <c r="B131" s="32" t="s">
        <v>459</v>
      </c>
      <c r="C131" s="33" t="s">
        <v>164</v>
      </c>
      <c r="D131" s="34" t="s">
        <v>455</v>
      </c>
      <c r="E131" s="34" t="s">
        <v>166</v>
      </c>
      <c r="F131" s="34" t="s">
        <v>450</v>
      </c>
      <c r="G131" s="35" t="s">
        <v>14</v>
      </c>
      <c r="H131" s="35" t="s">
        <v>14</v>
      </c>
      <c r="I131" s="35" t="s">
        <v>14</v>
      </c>
      <c r="J131" s="35" t="str">
        <f t="shared" ref="J131:J194" si="6">IF(G131="Sí", IF(H131="Sí", "DP", "SP"), IF(H131="Sí", "SD", "-"))</f>
        <v>-</v>
      </c>
      <c r="K131" s="31" t="str">
        <f t="shared" ref="K131:K162" ca="1" si="7">IF(IFERROR(L131,7)=7,"",RIGHT(L131,LEN(L131)-2)&amp;".")</f>
        <v>/A.</v>
      </c>
      <c r="L131" s="31" t="str">
        <f ca="1">IFERROR(__xludf.dummyfunction("CONCATENATE(ArrayFormula(""; ""&amp;QUERY(Hallazgos!A:F,""SELECT B WHERE E CONTAINS '""&amp;A131&amp;""' LABEL B ''"")))"),"#N/A")</f>
        <v>#N/A</v>
      </c>
    </row>
    <row r="132" spans="1:12" ht="153" x14ac:dyDescent="0.2">
      <c r="A132" s="32" t="s">
        <v>460</v>
      </c>
      <c r="B132" s="32" t="s">
        <v>461</v>
      </c>
      <c r="C132" s="33" t="s">
        <v>182</v>
      </c>
      <c r="D132" s="34" t="s">
        <v>305</v>
      </c>
      <c r="E132" s="34" t="s">
        <v>166</v>
      </c>
      <c r="F132" s="34" t="s">
        <v>450</v>
      </c>
      <c r="G132" s="35" t="s">
        <v>14</v>
      </c>
      <c r="H132" s="35" t="s">
        <v>14</v>
      </c>
      <c r="I132" s="35" t="s">
        <v>14</v>
      </c>
      <c r="J132" s="35" t="str">
        <f t="shared" si="6"/>
        <v>-</v>
      </c>
      <c r="K132" s="31" t="str">
        <f t="shared" ca="1" si="7"/>
        <v>/A.</v>
      </c>
      <c r="L132" s="31" t="str">
        <f ca="1">IFERROR(__xludf.dummyfunction("CONCATENATE(ArrayFormula(""; ""&amp;QUERY(Hallazgos!A:F,""SELECT B WHERE E CONTAINS '""&amp;A132&amp;""' LABEL B ''"")))"),"#N/A")</f>
        <v>#N/A</v>
      </c>
    </row>
    <row r="133" spans="1:12" ht="114.75" x14ac:dyDescent="0.2">
      <c r="A133" s="32" t="s">
        <v>462</v>
      </c>
      <c r="B133" s="32" t="s">
        <v>463</v>
      </c>
      <c r="C133" s="33" t="s">
        <v>182</v>
      </c>
      <c r="D133" s="34" t="s">
        <v>305</v>
      </c>
      <c r="E133" s="34" t="s">
        <v>166</v>
      </c>
      <c r="F133" s="34" t="s">
        <v>450</v>
      </c>
      <c r="G133" s="35" t="s">
        <v>14</v>
      </c>
      <c r="H133" s="35" t="s">
        <v>14</v>
      </c>
      <c r="I133" s="35" t="s">
        <v>14</v>
      </c>
      <c r="J133" s="35" t="str">
        <f t="shared" si="6"/>
        <v>-</v>
      </c>
      <c r="K133" s="31" t="str">
        <f t="shared" ca="1" si="7"/>
        <v>/A.</v>
      </c>
      <c r="L133" s="31" t="str">
        <f ca="1">IFERROR(__xludf.dummyfunction("CONCATENATE(ArrayFormula(""; ""&amp;QUERY(Hallazgos!A:F,""SELECT B WHERE E CONTAINS '""&amp;A133&amp;""' LABEL B ''"")))"),"#N/A")</f>
        <v>#N/A</v>
      </c>
    </row>
    <row r="134" spans="1:12" ht="114.75" x14ac:dyDescent="0.2">
      <c r="A134" s="32" t="s">
        <v>464</v>
      </c>
      <c r="B134" s="32" t="s">
        <v>465</v>
      </c>
      <c r="C134" s="33" t="s">
        <v>182</v>
      </c>
      <c r="D134" s="34" t="s">
        <v>305</v>
      </c>
      <c r="E134" s="34" t="s">
        <v>166</v>
      </c>
      <c r="F134" s="34" t="s">
        <v>450</v>
      </c>
      <c r="G134" s="35" t="s">
        <v>14</v>
      </c>
      <c r="H134" s="35" t="s">
        <v>14</v>
      </c>
      <c r="I134" s="35" t="s">
        <v>14</v>
      </c>
      <c r="J134" s="35" t="str">
        <f t="shared" si="6"/>
        <v>-</v>
      </c>
      <c r="K134" s="31" t="str">
        <f t="shared" ca="1" si="7"/>
        <v>/A.</v>
      </c>
      <c r="L134" s="31" t="str">
        <f ca="1">IFERROR(__xludf.dummyfunction("CONCATENATE(ArrayFormula(""; ""&amp;QUERY(Hallazgos!A:F,""SELECT B WHERE E CONTAINS '""&amp;A134&amp;""' LABEL B ''"")))"),"#N/A")</f>
        <v>#N/A</v>
      </c>
    </row>
    <row r="135" spans="1:12" ht="114.75" x14ac:dyDescent="0.2">
      <c r="A135" s="32" t="s">
        <v>466</v>
      </c>
      <c r="B135" s="32" t="s">
        <v>467</v>
      </c>
      <c r="C135" s="33" t="s">
        <v>182</v>
      </c>
      <c r="D135" s="34" t="s">
        <v>305</v>
      </c>
      <c r="E135" s="34" t="s">
        <v>166</v>
      </c>
      <c r="F135" s="34" t="s">
        <v>450</v>
      </c>
      <c r="G135" s="35" t="s">
        <v>14</v>
      </c>
      <c r="H135" s="35" t="s">
        <v>14</v>
      </c>
      <c r="I135" s="35" t="s">
        <v>14</v>
      </c>
      <c r="J135" s="35" t="str">
        <f t="shared" si="6"/>
        <v>-</v>
      </c>
      <c r="K135" s="31" t="str">
        <f t="shared" ca="1" si="7"/>
        <v>/A.</v>
      </c>
      <c r="L135" s="31" t="str">
        <f ca="1">IFERROR(__xludf.dummyfunction("CONCATENATE(ArrayFormula(""; ""&amp;QUERY(Hallazgos!A:F,""SELECT B WHERE E CONTAINS '""&amp;A135&amp;""' LABEL B ''"")))"),"#N/A")</f>
        <v>#N/A</v>
      </c>
    </row>
    <row r="136" spans="1:12" ht="165.75" x14ac:dyDescent="0.2">
      <c r="A136" s="32" t="s">
        <v>468</v>
      </c>
      <c r="B136" s="32" t="s">
        <v>469</v>
      </c>
      <c r="C136" s="33" t="s">
        <v>158</v>
      </c>
      <c r="D136" s="34" t="s">
        <v>305</v>
      </c>
      <c r="E136" s="34" t="s">
        <v>166</v>
      </c>
      <c r="F136" s="34" t="s">
        <v>450</v>
      </c>
      <c r="G136" s="35" t="s">
        <v>14</v>
      </c>
      <c r="H136" s="35" t="s">
        <v>14</v>
      </c>
      <c r="I136" s="35" t="s">
        <v>14</v>
      </c>
      <c r="J136" s="35" t="str">
        <f t="shared" si="6"/>
        <v>-</v>
      </c>
      <c r="K136" s="31" t="str">
        <f t="shared" ca="1" si="7"/>
        <v>/A.</v>
      </c>
      <c r="L136" s="31" t="str">
        <f ca="1">IFERROR(__xludf.dummyfunction("CONCATENATE(ArrayFormula(""; ""&amp;QUERY(Hallazgos!A:F,""SELECT B WHERE E CONTAINS '""&amp;A136&amp;""' LABEL B ''"")))"),"#N/A")</f>
        <v>#N/A</v>
      </c>
    </row>
    <row r="137" spans="1:12" ht="165.75" x14ac:dyDescent="0.2">
      <c r="A137" s="32" t="s">
        <v>470</v>
      </c>
      <c r="B137" s="32" t="s">
        <v>471</v>
      </c>
      <c r="C137" s="37" t="s">
        <v>182</v>
      </c>
      <c r="D137" s="34" t="s">
        <v>305</v>
      </c>
      <c r="E137" s="34" t="s">
        <v>166</v>
      </c>
      <c r="F137" s="34" t="s">
        <v>450</v>
      </c>
      <c r="G137" s="35" t="s">
        <v>14</v>
      </c>
      <c r="H137" s="35" t="s">
        <v>14</v>
      </c>
      <c r="I137" s="35" t="s">
        <v>14</v>
      </c>
      <c r="J137" s="35" t="str">
        <f t="shared" si="6"/>
        <v>-</v>
      </c>
      <c r="K137" s="31" t="str">
        <f t="shared" ca="1" si="7"/>
        <v>/A.</v>
      </c>
      <c r="L137" s="31" t="str">
        <f ca="1">IFERROR(__xludf.dummyfunction("CONCATENATE(ArrayFormula(""; ""&amp;QUERY(Hallazgos!A:F,""SELECT B WHERE E CONTAINS '""&amp;A137&amp;""' LABEL B ''"")))"),"#N/A")</f>
        <v>#N/A</v>
      </c>
    </row>
    <row r="138" spans="1:12" ht="165.75" x14ac:dyDescent="0.2">
      <c r="A138" s="32" t="s">
        <v>472</v>
      </c>
      <c r="B138" s="32" t="s">
        <v>473</v>
      </c>
      <c r="C138" s="37" t="s">
        <v>182</v>
      </c>
      <c r="D138" s="34" t="s">
        <v>305</v>
      </c>
      <c r="E138" s="34" t="s">
        <v>166</v>
      </c>
      <c r="F138" s="34" t="s">
        <v>450</v>
      </c>
      <c r="G138" s="35" t="s">
        <v>14</v>
      </c>
      <c r="H138" s="35" t="s">
        <v>14</v>
      </c>
      <c r="I138" s="35" t="s">
        <v>14</v>
      </c>
      <c r="J138" s="35" t="str">
        <f t="shared" si="6"/>
        <v>-</v>
      </c>
      <c r="K138" s="31" t="str">
        <f t="shared" ca="1" si="7"/>
        <v>/A.</v>
      </c>
      <c r="L138" s="31" t="str">
        <f ca="1">IFERROR(__xludf.dummyfunction("CONCATENATE(ArrayFormula(""; ""&amp;QUERY(Hallazgos!A:F,""SELECT B WHERE E CONTAINS '""&amp;A138&amp;""' LABEL B ''"")))"),"#N/A")</f>
        <v>#N/A</v>
      </c>
    </row>
    <row r="139" spans="1:12" ht="178.5" x14ac:dyDescent="0.2">
      <c r="A139" s="32" t="s">
        <v>474</v>
      </c>
      <c r="B139" s="32" t="s">
        <v>475</v>
      </c>
      <c r="C139" s="33" t="s">
        <v>164</v>
      </c>
      <c r="D139" s="34" t="s">
        <v>476</v>
      </c>
      <c r="E139" s="34" t="s">
        <v>197</v>
      </c>
      <c r="F139" s="34" t="s">
        <v>161</v>
      </c>
      <c r="G139" s="35" t="s">
        <v>14</v>
      </c>
      <c r="H139" s="35" t="s">
        <v>14</v>
      </c>
      <c r="I139" s="35" t="s">
        <v>14</v>
      </c>
      <c r="J139" s="35" t="str">
        <f t="shared" si="6"/>
        <v>-</v>
      </c>
      <c r="K139" s="31" t="str">
        <f t="shared" ca="1" si="7"/>
        <v>/A.</v>
      </c>
      <c r="L139" s="31" t="str">
        <f ca="1">IFERROR(__xludf.dummyfunction("CONCATENATE(ArrayFormula(""; ""&amp;QUERY(Hallazgos!A:F,""SELECT B WHERE E CONTAINS '""&amp;A139&amp;""' LABEL B ''"")))"),"#N/A")</f>
        <v>#N/A</v>
      </c>
    </row>
    <row r="140" spans="1:12" ht="191.25" x14ac:dyDescent="0.2">
      <c r="A140" s="36" t="s">
        <v>477</v>
      </c>
      <c r="B140" s="36" t="s">
        <v>478</v>
      </c>
      <c r="C140" s="37" t="s">
        <v>164</v>
      </c>
      <c r="D140" s="34" t="s">
        <v>476</v>
      </c>
      <c r="E140" s="34" t="s">
        <v>197</v>
      </c>
      <c r="F140" s="34" t="s">
        <v>161</v>
      </c>
      <c r="G140" s="35" t="s">
        <v>14</v>
      </c>
      <c r="H140" s="35" t="s">
        <v>14</v>
      </c>
      <c r="I140" s="35" t="s">
        <v>14</v>
      </c>
      <c r="J140" s="35" t="str">
        <f t="shared" si="6"/>
        <v>-</v>
      </c>
      <c r="K140" s="31" t="str">
        <f t="shared" ca="1" si="7"/>
        <v>/A.</v>
      </c>
      <c r="L140" s="31" t="str">
        <f ca="1">IFERROR(__xludf.dummyfunction("CONCATENATE(ArrayFormula(""; ""&amp;QUERY(Hallazgos!A:F,""SELECT B WHERE E CONTAINS '""&amp;A140&amp;""' LABEL B ''"")))"),"#N/A")</f>
        <v>#N/A</v>
      </c>
    </row>
    <row r="141" spans="1:12" ht="153" x14ac:dyDescent="0.2">
      <c r="A141" s="36" t="s">
        <v>479</v>
      </c>
      <c r="B141" s="36" t="s">
        <v>480</v>
      </c>
      <c r="C141" s="37" t="s">
        <v>164</v>
      </c>
      <c r="D141" s="34" t="s">
        <v>476</v>
      </c>
      <c r="E141" s="34" t="s">
        <v>160</v>
      </c>
      <c r="F141" s="34" t="s">
        <v>161</v>
      </c>
      <c r="G141" s="35" t="s">
        <v>14</v>
      </c>
      <c r="H141" s="35" t="s">
        <v>14</v>
      </c>
      <c r="I141" s="35" t="s">
        <v>14</v>
      </c>
      <c r="J141" s="35" t="str">
        <f t="shared" si="6"/>
        <v>-</v>
      </c>
      <c r="K141" s="31" t="str">
        <f t="shared" ca="1" si="7"/>
        <v>/A.</v>
      </c>
      <c r="L141" s="31" t="str">
        <f ca="1">IFERROR(__xludf.dummyfunction("CONCATENATE(ArrayFormula(""; ""&amp;QUERY(Hallazgos!A:F,""SELECT B WHERE E CONTAINS '""&amp;A141&amp;""' LABEL B ''"")))"),"#N/A")</f>
        <v>#N/A</v>
      </c>
    </row>
    <row r="142" spans="1:12" ht="140.25" x14ac:dyDescent="0.2">
      <c r="A142" s="32" t="s">
        <v>481</v>
      </c>
      <c r="B142" s="32" t="s">
        <v>482</v>
      </c>
      <c r="C142" s="33" t="s">
        <v>164</v>
      </c>
      <c r="D142" s="34" t="s">
        <v>483</v>
      </c>
      <c r="E142" s="34" t="s">
        <v>160</v>
      </c>
      <c r="F142" s="34" t="s">
        <v>161</v>
      </c>
      <c r="G142" s="35" t="s">
        <v>14</v>
      </c>
      <c r="H142" s="35" t="s">
        <v>14</v>
      </c>
      <c r="I142" s="35" t="s">
        <v>14</v>
      </c>
      <c r="J142" s="35" t="str">
        <f t="shared" si="6"/>
        <v>-</v>
      </c>
      <c r="K142" s="31" t="str">
        <f t="shared" ca="1" si="7"/>
        <v>/A.</v>
      </c>
      <c r="L142" s="31" t="str">
        <f ca="1">IFERROR(__xludf.dummyfunction("CONCATENATE(ArrayFormula(""; ""&amp;QUERY(Hallazgos!A:F,""SELECT B WHERE E CONTAINS '""&amp;A142&amp;""' LABEL B ''"")))"),"#N/A")</f>
        <v>#N/A</v>
      </c>
    </row>
    <row r="143" spans="1:12" ht="242.25" x14ac:dyDescent="0.2">
      <c r="A143" s="39" t="s">
        <v>484</v>
      </c>
      <c r="B143" s="39" t="s">
        <v>485</v>
      </c>
      <c r="C143" s="33" t="s">
        <v>164</v>
      </c>
      <c r="D143" s="34" t="s">
        <v>486</v>
      </c>
      <c r="E143" s="34" t="s">
        <v>160</v>
      </c>
      <c r="F143" s="34" t="s">
        <v>161</v>
      </c>
      <c r="G143" s="35" t="s">
        <v>14</v>
      </c>
      <c r="H143" s="35" t="s">
        <v>14</v>
      </c>
      <c r="I143" s="35" t="s">
        <v>14</v>
      </c>
      <c r="J143" s="35" t="str">
        <f t="shared" si="6"/>
        <v>-</v>
      </c>
      <c r="K143" s="31" t="str">
        <f t="shared" ca="1" si="7"/>
        <v>/A.</v>
      </c>
      <c r="L143" s="31" t="str">
        <f ca="1">IFERROR(__xludf.dummyfunction("CONCATENATE(ArrayFormula(""; ""&amp;QUERY(Hallazgos!A:F,""SELECT B WHERE E CONTAINS '""&amp;A143&amp;""' LABEL B ''"")))"),"#N/A")</f>
        <v>#N/A</v>
      </c>
    </row>
    <row r="144" spans="1:12" ht="178.5" x14ac:dyDescent="0.2">
      <c r="A144" s="32" t="s">
        <v>487</v>
      </c>
      <c r="B144" s="32" t="s">
        <v>488</v>
      </c>
      <c r="C144" s="33" t="s">
        <v>164</v>
      </c>
      <c r="D144" s="34" t="s">
        <v>486</v>
      </c>
      <c r="E144" s="34" t="s">
        <v>250</v>
      </c>
      <c r="F144" s="34" t="s">
        <v>161</v>
      </c>
      <c r="G144" s="35" t="s">
        <v>14</v>
      </c>
      <c r="H144" s="35" t="s">
        <v>14</v>
      </c>
      <c r="I144" s="35" t="s">
        <v>14</v>
      </c>
      <c r="J144" s="35" t="str">
        <f t="shared" si="6"/>
        <v>-</v>
      </c>
      <c r="K144" s="31" t="str">
        <f t="shared" ca="1" si="7"/>
        <v>/A.</v>
      </c>
      <c r="L144" s="31" t="str">
        <f ca="1">IFERROR(__xludf.dummyfunction("CONCATENATE(ArrayFormula(""; ""&amp;QUERY(Hallazgos!A:F,""SELECT B WHERE E CONTAINS '""&amp;A144&amp;""' LABEL B ''"")))"),"#N/A")</f>
        <v>#N/A</v>
      </c>
    </row>
    <row r="145" spans="1:12" ht="127.5" x14ac:dyDescent="0.2">
      <c r="A145" s="32" t="s">
        <v>489</v>
      </c>
      <c r="B145" s="32" t="s">
        <v>490</v>
      </c>
      <c r="C145" s="33" t="s">
        <v>164</v>
      </c>
      <c r="D145" s="34" t="s">
        <v>486</v>
      </c>
      <c r="E145" s="34" t="s">
        <v>224</v>
      </c>
      <c r="F145" s="34" t="s">
        <v>161</v>
      </c>
      <c r="G145" s="35" t="s">
        <v>14</v>
      </c>
      <c r="H145" s="35" t="s">
        <v>14</v>
      </c>
      <c r="I145" s="35" t="s">
        <v>14</v>
      </c>
      <c r="J145" s="35" t="str">
        <f t="shared" si="6"/>
        <v>-</v>
      </c>
      <c r="K145" s="31" t="str">
        <f t="shared" ca="1" si="7"/>
        <v>/A.</v>
      </c>
      <c r="L145" s="31" t="str">
        <f ca="1">IFERROR(__xludf.dummyfunction("CONCATENATE(ArrayFormula(""; ""&amp;QUERY(Hallazgos!A:F,""SELECT B WHERE E CONTAINS '""&amp;A145&amp;""' LABEL B ''"")))"),"#N/A")</f>
        <v>#N/A</v>
      </c>
    </row>
    <row r="146" spans="1:12" ht="140.25" x14ac:dyDescent="0.2">
      <c r="A146" s="32" t="s">
        <v>491</v>
      </c>
      <c r="B146" s="32" t="s">
        <v>492</v>
      </c>
      <c r="C146" s="33" t="s">
        <v>164</v>
      </c>
      <c r="D146" s="34" t="s">
        <v>486</v>
      </c>
      <c r="E146" s="34" t="s">
        <v>166</v>
      </c>
      <c r="F146" s="34" t="s">
        <v>161</v>
      </c>
      <c r="G146" s="35" t="s">
        <v>14</v>
      </c>
      <c r="H146" s="35" t="s">
        <v>14</v>
      </c>
      <c r="I146" s="35" t="s">
        <v>14</v>
      </c>
      <c r="J146" s="35" t="str">
        <f t="shared" si="6"/>
        <v>-</v>
      </c>
      <c r="K146" s="31" t="str">
        <f t="shared" ca="1" si="7"/>
        <v>/A.</v>
      </c>
      <c r="L146" s="31" t="str">
        <f ca="1">IFERROR(__xludf.dummyfunction("CONCATENATE(ArrayFormula(""; ""&amp;QUERY(Hallazgos!A:F,""SELECT B WHERE E CONTAINS '""&amp;A146&amp;""' LABEL B ''"")))"),"#N/A")</f>
        <v>#N/A</v>
      </c>
    </row>
    <row r="147" spans="1:12" ht="216.75" x14ac:dyDescent="0.2">
      <c r="A147" s="32" t="s">
        <v>493</v>
      </c>
      <c r="B147" s="32" t="s">
        <v>494</v>
      </c>
      <c r="C147" s="33" t="s">
        <v>164</v>
      </c>
      <c r="D147" s="34" t="s">
        <v>483</v>
      </c>
      <c r="E147" s="34" t="s">
        <v>227</v>
      </c>
      <c r="F147" s="34" t="s">
        <v>161</v>
      </c>
      <c r="G147" s="35" t="s">
        <v>14</v>
      </c>
      <c r="H147" s="35" t="s">
        <v>14</v>
      </c>
      <c r="I147" s="35" t="s">
        <v>14</v>
      </c>
      <c r="J147" s="35" t="str">
        <f t="shared" si="6"/>
        <v>-</v>
      </c>
      <c r="K147" s="31" t="str">
        <f t="shared" ca="1" si="7"/>
        <v>/A.</v>
      </c>
      <c r="L147" s="31" t="str">
        <f ca="1">IFERROR(__xludf.dummyfunction("CONCATENATE(ArrayFormula(""; ""&amp;QUERY(Hallazgos!A:F,""SELECT B WHERE E CONTAINS '""&amp;A147&amp;""' LABEL B ''"")))"),"#N/A")</f>
        <v>#N/A</v>
      </c>
    </row>
    <row r="148" spans="1:12" ht="153" x14ac:dyDescent="0.2">
      <c r="A148" s="32" t="s">
        <v>495</v>
      </c>
      <c r="B148" s="32" t="s">
        <v>496</v>
      </c>
      <c r="C148" s="33" t="s">
        <v>164</v>
      </c>
      <c r="D148" s="34" t="s">
        <v>486</v>
      </c>
      <c r="E148" s="34" t="s">
        <v>160</v>
      </c>
      <c r="F148" s="34" t="s">
        <v>161</v>
      </c>
      <c r="G148" s="35" t="s">
        <v>14</v>
      </c>
      <c r="H148" s="35" t="s">
        <v>14</v>
      </c>
      <c r="I148" s="35" t="s">
        <v>14</v>
      </c>
      <c r="J148" s="35" t="str">
        <f t="shared" si="6"/>
        <v>-</v>
      </c>
      <c r="K148" s="31" t="str">
        <f t="shared" ca="1" si="7"/>
        <v>/A.</v>
      </c>
      <c r="L148" s="31" t="str">
        <f ca="1">IFERROR(__xludf.dummyfunction("CONCATENATE(ArrayFormula(""; ""&amp;QUERY(Hallazgos!A:F,""SELECT B WHERE E CONTAINS '""&amp;A148&amp;""' LABEL B ''"")))"),"#N/A")</f>
        <v>#N/A</v>
      </c>
    </row>
    <row r="149" spans="1:12" ht="191.25" x14ac:dyDescent="0.2">
      <c r="A149" s="32" t="s">
        <v>497</v>
      </c>
      <c r="B149" s="32" t="s">
        <v>498</v>
      </c>
      <c r="C149" s="33" t="s">
        <v>164</v>
      </c>
      <c r="D149" s="34" t="s">
        <v>499</v>
      </c>
      <c r="E149" s="34" t="s">
        <v>160</v>
      </c>
      <c r="F149" s="34" t="s">
        <v>161</v>
      </c>
      <c r="G149" s="35" t="s">
        <v>14</v>
      </c>
      <c r="H149" s="35" t="s">
        <v>14</v>
      </c>
      <c r="I149" s="35" t="s">
        <v>14</v>
      </c>
      <c r="J149" s="35" t="str">
        <f t="shared" si="6"/>
        <v>-</v>
      </c>
      <c r="K149" s="31" t="str">
        <f t="shared" ca="1" si="7"/>
        <v>/A.</v>
      </c>
      <c r="L149" s="31" t="str">
        <f ca="1">IFERROR(__xludf.dummyfunction("CONCATENATE(ArrayFormula(""; ""&amp;QUERY(Hallazgos!A:F,""SELECT B WHERE E CONTAINS '""&amp;A149&amp;""' LABEL B ''"")))"),"#N/A")</f>
        <v>#N/A</v>
      </c>
    </row>
    <row r="150" spans="1:12" ht="204" x14ac:dyDescent="0.2">
      <c r="A150" s="36" t="s">
        <v>500</v>
      </c>
      <c r="B150" s="36" t="s">
        <v>501</v>
      </c>
      <c r="C150" s="37" t="s">
        <v>164</v>
      </c>
      <c r="D150" s="34" t="s">
        <v>499</v>
      </c>
      <c r="E150" s="34" t="s">
        <v>160</v>
      </c>
      <c r="F150" s="34" t="s">
        <v>161</v>
      </c>
      <c r="G150" s="35" t="s">
        <v>14</v>
      </c>
      <c r="H150" s="35" t="s">
        <v>14</v>
      </c>
      <c r="I150" s="35" t="s">
        <v>14</v>
      </c>
      <c r="J150" s="35" t="str">
        <f t="shared" si="6"/>
        <v>-</v>
      </c>
      <c r="K150" s="31" t="str">
        <f t="shared" ca="1" si="7"/>
        <v>/A.</v>
      </c>
      <c r="L150" s="31" t="str">
        <f ca="1">IFERROR(__xludf.dummyfunction("CONCATENATE(ArrayFormula(""; ""&amp;QUERY(Hallazgos!A:F,""SELECT B WHERE E CONTAINS '""&amp;A150&amp;""' LABEL B ''"")))"),"#N/A")</f>
        <v>#N/A</v>
      </c>
    </row>
    <row r="151" spans="1:12" ht="191.25" x14ac:dyDescent="0.2">
      <c r="A151" s="36" t="s">
        <v>502</v>
      </c>
      <c r="B151" s="36" t="s">
        <v>503</v>
      </c>
      <c r="C151" s="37" t="s">
        <v>164</v>
      </c>
      <c r="D151" s="34" t="s">
        <v>499</v>
      </c>
      <c r="E151" s="34" t="s">
        <v>160</v>
      </c>
      <c r="F151" s="34" t="s">
        <v>161</v>
      </c>
      <c r="G151" s="35" t="s">
        <v>14</v>
      </c>
      <c r="H151" s="35" t="s">
        <v>14</v>
      </c>
      <c r="I151" s="35" t="s">
        <v>14</v>
      </c>
      <c r="J151" s="35" t="str">
        <f t="shared" si="6"/>
        <v>-</v>
      </c>
      <c r="K151" s="31" t="str">
        <f t="shared" ca="1" si="7"/>
        <v>/A.</v>
      </c>
      <c r="L151" s="31" t="str">
        <f ca="1">IFERROR(__xludf.dummyfunction("CONCATENATE(ArrayFormula(""; ""&amp;QUERY(Hallazgos!A:F,""SELECT B WHERE E CONTAINS '""&amp;A151&amp;""' LABEL B ''"")))"),"#N/A")</f>
        <v>#N/A</v>
      </c>
    </row>
    <row r="152" spans="1:12" ht="127.5" x14ac:dyDescent="0.2">
      <c r="A152" s="36" t="s">
        <v>504</v>
      </c>
      <c r="B152" s="36" t="s">
        <v>505</v>
      </c>
      <c r="C152" s="37" t="s">
        <v>164</v>
      </c>
      <c r="D152" s="34" t="s">
        <v>499</v>
      </c>
      <c r="E152" s="34" t="s">
        <v>250</v>
      </c>
      <c r="F152" s="34" t="s">
        <v>161</v>
      </c>
      <c r="G152" s="35" t="s">
        <v>14</v>
      </c>
      <c r="H152" s="35" t="s">
        <v>14</v>
      </c>
      <c r="I152" s="35" t="s">
        <v>14</v>
      </c>
      <c r="J152" s="35" t="str">
        <f t="shared" si="6"/>
        <v>-</v>
      </c>
      <c r="K152" s="31" t="str">
        <f t="shared" ca="1" si="7"/>
        <v>/A.</v>
      </c>
      <c r="L152" s="31" t="str">
        <f ca="1">IFERROR(__xludf.dummyfunction("CONCATENATE(ArrayFormula(""; ""&amp;QUERY(Hallazgos!A:F,""SELECT B WHERE E CONTAINS '""&amp;A152&amp;""' LABEL B ''"")))"),"#N/A")</f>
        <v>#N/A</v>
      </c>
    </row>
    <row r="153" spans="1:12" ht="229.5" x14ac:dyDescent="0.2">
      <c r="A153" s="36" t="s">
        <v>506</v>
      </c>
      <c r="B153" s="36" t="s">
        <v>507</v>
      </c>
      <c r="C153" s="37" t="s">
        <v>164</v>
      </c>
      <c r="D153" s="34" t="s">
        <v>499</v>
      </c>
      <c r="E153" s="34" t="s">
        <v>166</v>
      </c>
      <c r="F153" s="34" t="s">
        <v>161</v>
      </c>
      <c r="G153" s="35" t="s">
        <v>14</v>
      </c>
      <c r="H153" s="35" t="s">
        <v>14</v>
      </c>
      <c r="I153" s="35" t="s">
        <v>14</v>
      </c>
      <c r="J153" s="35" t="str">
        <f t="shared" si="6"/>
        <v>-</v>
      </c>
      <c r="K153" s="31" t="str">
        <f t="shared" ca="1" si="7"/>
        <v>/A.</v>
      </c>
      <c r="L153" s="31" t="str">
        <f ca="1">IFERROR(__xludf.dummyfunction("CONCATENATE(ArrayFormula(""; ""&amp;QUERY(Hallazgos!A:F,""SELECT B WHERE E CONTAINS '""&amp;A153&amp;""' LABEL B ''"")))"),"#N/A")</f>
        <v>#N/A</v>
      </c>
    </row>
    <row r="154" spans="1:12" ht="153" x14ac:dyDescent="0.2">
      <c r="A154" s="36" t="s">
        <v>508</v>
      </c>
      <c r="B154" s="36" t="s">
        <v>509</v>
      </c>
      <c r="C154" s="37" t="s">
        <v>164</v>
      </c>
      <c r="D154" s="34" t="s">
        <v>499</v>
      </c>
      <c r="E154" s="34" t="s">
        <v>160</v>
      </c>
      <c r="F154" s="34" t="s">
        <v>161</v>
      </c>
      <c r="G154" s="35" t="s">
        <v>14</v>
      </c>
      <c r="H154" s="35" t="s">
        <v>14</v>
      </c>
      <c r="I154" s="35" t="s">
        <v>14</v>
      </c>
      <c r="J154" s="35" t="str">
        <f t="shared" si="6"/>
        <v>-</v>
      </c>
      <c r="K154" s="31" t="str">
        <f t="shared" ca="1" si="7"/>
        <v>/A.</v>
      </c>
      <c r="L154" s="31" t="str">
        <f ca="1">IFERROR(__xludf.dummyfunction("CONCATENATE(ArrayFormula(""; ""&amp;QUERY(Hallazgos!A:F,""SELECT B WHERE E CONTAINS '""&amp;A154&amp;""' LABEL B ''"")))"),"#N/A")</f>
        <v>#N/A</v>
      </c>
    </row>
    <row r="155" spans="1:12" ht="153" x14ac:dyDescent="0.2">
      <c r="A155" s="32" t="s">
        <v>510</v>
      </c>
      <c r="B155" s="32" t="s">
        <v>511</v>
      </c>
      <c r="C155" s="37" t="s">
        <v>164</v>
      </c>
      <c r="D155" s="34" t="s">
        <v>499</v>
      </c>
      <c r="E155" s="34" t="s">
        <v>424</v>
      </c>
      <c r="F155" s="34" t="s">
        <v>161</v>
      </c>
      <c r="G155" s="35" t="s">
        <v>14</v>
      </c>
      <c r="H155" s="35" t="s">
        <v>14</v>
      </c>
      <c r="I155" s="35" t="s">
        <v>14</v>
      </c>
      <c r="J155" s="35" t="str">
        <f t="shared" si="6"/>
        <v>-</v>
      </c>
      <c r="K155" s="31" t="str">
        <f t="shared" ca="1" si="7"/>
        <v>/A.</v>
      </c>
      <c r="L155" s="31" t="str">
        <f ca="1">IFERROR(__xludf.dummyfunction("CONCATENATE(ArrayFormula(""; ""&amp;QUERY(Hallazgos!A:F,""SELECT B WHERE E CONTAINS '""&amp;A155&amp;""' LABEL B ''"")))"),"#N/A")</f>
        <v>#N/A</v>
      </c>
    </row>
    <row r="156" spans="1:12" ht="165.75" x14ac:dyDescent="0.2">
      <c r="A156" s="32" t="s">
        <v>512</v>
      </c>
      <c r="B156" s="32" t="s">
        <v>513</v>
      </c>
      <c r="C156" s="37" t="s">
        <v>164</v>
      </c>
      <c r="D156" s="34" t="s">
        <v>499</v>
      </c>
      <c r="E156" s="34" t="s">
        <v>205</v>
      </c>
      <c r="F156" s="34" t="s">
        <v>161</v>
      </c>
      <c r="G156" s="35" t="s">
        <v>14</v>
      </c>
      <c r="H156" s="35" t="s">
        <v>14</v>
      </c>
      <c r="I156" s="35" t="s">
        <v>14</v>
      </c>
      <c r="J156" s="35" t="str">
        <f t="shared" si="6"/>
        <v>-</v>
      </c>
      <c r="K156" s="31" t="str">
        <f t="shared" ca="1" si="7"/>
        <v>/A.</v>
      </c>
      <c r="L156" s="31" t="str">
        <f ca="1">IFERROR(__xludf.dummyfunction("CONCATENATE(ArrayFormula(""; ""&amp;QUERY(Hallazgos!A:F,""SELECT B WHERE E CONTAINS '""&amp;A156&amp;""' LABEL B ''"")))"),"#N/A")</f>
        <v>#N/A</v>
      </c>
    </row>
    <row r="157" spans="1:12" ht="140.25" x14ac:dyDescent="0.2">
      <c r="A157" s="32" t="s">
        <v>514</v>
      </c>
      <c r="B157" s="32" t="s">
        <v>515</v>
      </c>
      <c r="C157" s="37" t="s">
        <v>182</v>
      </c>
      <c r="D157" s="34" t="s">
        <v>516</v>
      </c>
      <c r="E157" s="34" t="s">
        <v>166</v>
      </c>
      <c r="F157" s="34" t="s">
        <v>450</v>
      </c>
      <c r="G157" s="35" t="s">
        <v>14</v>
      </c>
      <c r="H157" s="35" t="s">
        <v>14</v>
      </c>
      <c r="I157" s="35" t="s">
        <v>14</v>
      </c>
      <c r="J157" s="35" t="str">
        <f t="shared" si="6"/>
        <v>-</v>
      </c>
      <c r="K157" s="31" t="str">
        <f t="shared" ca="1" si="7"/>
        <v>/A.</v>
      </c>
      <c r="L157" s="31" t="str">
        <f ca="1">IFERROR(__xludf.dummyfunction("CONCATENATE(ArrayFormula(""; ""&amp;QUERY(Hallazgos!A:F,""SELECT B WHERE E CONTAINS '""&amp;A157&amp;""' LABEL B ''"")))"),"#N/A")</f>
        <v>#N/A</v>
      </c>
    </row>
    <row r="158" spans="1:12" ht="127.5" x14ac:dyDescent="0.2">
      <c r="A158" s="32" t="s">
        <v>517</v>
      </c>
      <c r="B158" s="32" t="s">
        <v>518</v>
      </c>
      <c r="C158" s="37" t="s">
        <v>182</v>
      </c>
      <c r="D158" s="34" t="s">
        <v>516</v>
      </c>
      <c r="E158" s="34" t="s">
        <v>166</v>
      </c>
      <c r="F158" s="34" t="s">
        <v>450</v>
      </c>
      <c r="G158" s="35" t="s">
        <v>14</v>
      </c>
      <c r="H158" s="35" t="s">
        <v>14</v>
      </c>
      <c r="I158" s="35" t="s">
        <v>14</v>
      </c>
      <c r="J158" s="35" t="str">
        <f t="shared" si="6"/>
        <v>-</v>
      </c>
      <c r="K158" s="31" t="str">
        <f t="shared" ca="1" si="7"/>
        <v>/A.</v>
      </c>
      <c r="L158" s="31" t="str">
        <f ca="1">IFERROR(__xludf.dummyfunction("CONCATENATE(ArrayFormula(""; ""&amp;QUERY(Hallazgos!A:F,""SELECT B WHERE E CONTAINS '""&amp;A158&amp;""' LABEL B ''"")))"),"#N/A")</f>
        <v>#N/A</v>
      </c>
    </row>
    <row r="159" spans="1:12" ht="178.5" x14ac:dyDescent="0.2">
      <c r="A159" s="32" t="s">
        <v>519</v>
      </c>
      <c r="B159" s="32" t="s">
        <v>520</v>
      </c>
      <c r="C159" s="37" t="s">
        <v>182</v>
      </c>
      <c r="D159" s="34" t="s">
        <v>305</v>
      </c>
      <c r="E159" s="34" t="s">
        <v>312</v>
      </c>
      <c r="F159" s="34" t="s">
        <v>161</v>
      </c>
      <c r="G159" s="35" t="s">
        <v>14</v>
      </c>
      <c r="H159" s="35" t="s">
        <v>14</v>
      </c>
      <c r="I159" s="35" t="s">
        <v>14</v>
      </c>
      <c r="J159" s="35" t="str">
        <f t="shared" si="6"/>
        <v>-</v>
      </c>
      <c r="K159" s="31" t="str">
        <f t="shared" ca="1" si="7"/>
        <v>/A.</v>
      </c>
      <c r="L159" s="31" t="str">
        <f ca="1">IFERROR(__xludf.dummyfunction("CONCATENATE(ArrayFormula(""; ""&amp;QUERY(Hallazgos!A:F,""SELECT B WHERE E CONTAINS '""&amp;A159&amp;""' LABEL B ''"")))"),"#N/A")</f>
        <v>#N/A</v>
      </c>
    </row>
    <row r="160" spans="1:12" ht="255" x14ac:dyDescent="0.2">
      <c r="A160" s="32" t="s">
        <v>521</v>
      </c>
      <c r="B160" s="32" t="s">
        <v>522</v>
      </c>
      <c r="C160" s="37" t="s">
        <v>182</v>
      </c>
      <c r="D160" s="34" t="s">
        <v>305</v>
      </c>
      <c r="E160" s="34" t="s">
        <v>166</v>
      </c>
      <c r="F160" s="34" t="s">
        <v>194</v>
      </c>
      <c r="G160" s="35" t="s">
        <v>14</v>
      </c>
      <c r="H160" s="35" t="s">
        <v>14</v>
      </c>
      <c r="I160" s="35" t="s">
        <v>14</v>
      </c>
      <c r="J160" s="35" t="str">
        <f t="shared" si="6"/>
        <v>-</v>
      </c>
      <c r="K160" s="31" t="str">
        <f t="shared" ca="1" si="7"/>
        <v>/A.</v>
      </c>
      <c r="L160" s="31" t="str">
        <f ca="1">IFERROR(__xludf.dummyfunction("CONCATENATE(ArrayFormula(""; ""&amp;QUERY(Hallazgos!A:F,""SELECT B WHERE E CONTAINS '""&amp;A160&amp;""' LABEL B ''"")))"),"#N/A")</f>
        <v>#N/A</v>
      </c>
    </row>
    <row r="161" spans="1:12" ht="357" x14ac:dyDescent="0.2">
      <c r="A161" s="32" t="s">
        <v>523</v>
      </c>
      <c r="B161" s="32" t="s">
        <v>524</v>
      </c>
      <c r="C161" s="33" t="s">
        <v>182</v>
      </c>
      <c r="D161" s="34" t="s">
        <v>516</v>
      </c>
      <c r="E161" s="34" t="s">
        <v>166</v>
      </c>
      <c r="F161" s="34" t="s">
        <v>450</v>
      </c>
      <c r="G161" s="35" t="s">
        <v>14</v>
      </c>
      <c r="H161" s="35" t="s">
        <v>14</v>
      </c>
      <c r="I161" s="35" t="s">
        <v>14</v>
      </c>
      <c r="J161" s="35" t="str">
        <f t="shared" si="6"/>
        <v>-</v>
      </c>
      <c r="K161" s="31" t="str">
        <f t="shared" ca="1" si="7"/>
        <v>/A.</v>
      </c>
      <c r="L161" s="31" t="str">
        <f ca="1">IFERROR(__xludf.dummyfunction("CONCATENATE(ArrayFormula(""; ""&amp;QUERY(Hallazgos!A:F,""SELECT B WHERE E CONTAINS '""&amp;A161&amp;""' LABEL B ''"")))"),"#N/A")</f>
        <v>#N/A</v>
      </c>
    </row>
    <row r="162" spans="1:12" ht="165.75" x14ac:dyDescent="0.2">
      <c r="A162" s="38" t="s">
        <v>525</v>
      </c>
      <c r="B162" s="38" t="s">
        <v>526</v>
      </c>
      <c r="C162" s="37" t="s">
        <v>182</v>
      </c>
      <c r="D162" s="34" t="s">
        <v>527</v>
      </c>
      <c r="E162" s="34" t="s">
        <v>160</v>
      </c>
      <c r="F162" s="34" t="s">
        <v>161</v>
      </c>
      <c r="G162" s="35" t="s">
        <v>14</v>
      </c>
      <c r="H162" s="35" t="s">
        <v>14</v>
      </c>
      <c r="I162" s="35" t="s">
        <v>14</v>
      </c>
      <c r="J162" s="35" t="str">
        <f t="shared" si="6"/>
        <v>-</v>
      </c>
      <c r="K162" s="31" t="str">
        <f t="shared" ca="1" si="7"/>
        <v>/A.</v>
      </c>
      <c r="L162" s="31" t="str">
        <f ca="1">IFERROR(__xludf.dummyfunction("CONCATENATE(ArrayFormula(""; ""&amp;QUERY(Hallazgos!A:F,""SELECT B WHERE E CONTAINS '""&amp;A162&amp;""' LABEL B ''"")))"),"#N/A")</f>
        <v>#N/A</v>
      </c>
    </row>
    <row r="163" spans="1:12" ht="127.5" x14ac:dyDescent="0.2">
      <c r="A163" s="39" t="s">
        <v>528</v>
      </c>
      <c r="B163" s="39" t="s">
        <v>529</v>
      </c>
      <c r="C163" s="33" t="s">
        <v>182</v>
      </c>
      <c r="D163" s="34" t="s">
        <v>527</v>
      </c>
      <c r="E163" s="34" t="s">
        <v>160</v>
      </c>
      <c r="F163" s="34" t="s">
        <v>161</v>
      </c>
      <c r="G163" s="35" t="s">
        <v>14</v>
      </c>
      <c r="H163" s="35" t="s">
        <v>14</v>
      </c>
      <c r="I163" s="35" t="s">
        <v>14</v>
      </c>
      <c r="J163" s="35" t="str">
        <f t="shared" si="6"/>
        <v>-</v>
      </c>
      <c r="K163" s="31" t="str">
        <f t="shared" ref="K163:K190" ca="1" si="8">IF(IFERROR(L163,7)=7,"",RIGHT(L163,LEN(L163)-2)&amp;".")</f>
        <v>/A.</v>
      </c>
      <c r="L163" s="31" t="str">
        <f ca="1">IFERROR(__xludf.dummyfunction("CONCATENATE(ArrayFormula(""; ""&amp;QUERY(Hallazgos!A:F,""SELECT B WHERE E CONTAINS '""&amp;A163&amp;""' LABEL B ''"")))"),"#N/A")</f>
        <v>#N/A</v>
      </c>
    </row>
    <row r="164" spans="1:12" ht="216.75" x14ac:dyDescent="0.2">
      <c r="A164" s="38" t="s">
        <v>530</v>
      </c>
      <c r="B164" s="38" t="s">
        <v>531</v>
      </c>
      <c r="C164" s="37" t="s">
        <v>164</v>
      </c>
      <c r="D164" s="34" t="s">
        <v>483</v>
      </c>
      <c r="E164" s="34" t="s">
        <v>224</v>
      </c>
      <c r="F164" s="34" t="s">
        <v>161</v>
      </c>
      <c r="G164" s="35" t="s">
        <v>14</v>
      </c>
      <c r="H164" s="35" t="s">
        <v>14</v>
      </c>
      <c r="I164" s="35" t="s">
        <v>14</v>
      </c>
      <c r="J164" s="35" t="str">
        <f t="shared" si="6"/>
        <v>-</v>
      </c>
      <c r="K164" s="31" t="str">
        <f t="shared" ca="1" si="8"/>
        <v>/A.</v>
      </c>
      <c r="L164" s="31" t="str">
        <f ca="1">IFERROR(__xludf.dummyfunction("CONCATENATE(ArrayFormula(""; ""&amp;QUERY(Hallazgos!A:F,""SELECT B WHERE E CONTAINS '""&amp;A164&amp;""' LABEL B ''"")))"),"#N/A")</f>
        <v>#N/A</v>
      </c>
    </row>
    <row r="165" spans="1:12" ht="216.75" x14ac:dyDescent="0.2">
      <c r="A165" s="38" t="s">
        <v>532</v>
      </c>
      <c r="B165" s="38" t="s">
        <v>533</v>
      </c>
      <c r="C165" s="33" t="s">
        <v>164</v>
      </c>
      <c r="D165" s="34" t="s">
        <v>483</v>
      </c>
      <c r="E165" s="34" t="s">
        <v>224</v>
      </c>
      <c r="F165" s="34" t="s">
        <v>161</v>
      </c>
      <c r="G165" s="35" t="s">
        <v>14</v>
      </c>
      <c r="H165" s="35" t="s">
        <v>14</v>
      </c>
      <c r="I165" s="35" t="s">
        <v>14</v>
      </c>
      <c r="J165" s="35" t="str">
        <f t="shared" si="6"/>
        <v>-</v>
      </c>
      <c r="K165" s="31" t="str">
        <f t="shared" ca="1" si="8"/>
        <v>/A.</v>
      </c>
      <c r="L165" s="31" t="str">
        <f ca="1">IFERROR(__xludf.dummyfunction("CONCATENATE(ArrayFormula(""; ""&amp;QUERY(Hallazgos!A:F,""SELECT B WHERE E CONTAINS '""&amp;A165&amp;""' LABEL B ''"")))"),"#N/A")</f>
        <v>#N/A</v>
      </c>
    </row>
    <row r="166" spans="1:12" ht="204" x14ac:dyDescent="0.2">
      <c r="A166" s="38" t="s">
        <v>534</v>
      </c>
      <c r="B166" s="39" t="s">
        <v>535</v>
      </c>
      <c r="C166" s="37" t="s">
        <v>182</v>
      </c>
      <c r="D166" s="34" t="s">
        <v>483</v>
      </c>
      <c r="E166" s="34" t="s">
        <v>250</v>
      </c>
      <c r="F166" s="34" t="s">
        <v>161</v>
      </c>
      <c r="G166" s="35" t="s">
        <v>14</v>
      </c>
      <c r="H166" s="35" t="s">
        <v>14</v>
      </c>
      <c r="I166" s="35" t="s">
        <v>14</v>
      </c>
      <c r="J166" s="35" t="str">
        <f t="shared" si="6"/>
        <v>-</v>
      </c>
      <c r="K166" s="31" t="str">
        <f t="shared" ca="1" si="8"/>
        <v>/A.</v>
      </c>
      <c r="L166" s="31" t="str">
        <f ca="1">IFERROR(__xludf.dummyfunction("CONCATENATE(ArrayFormula(""; ""&amp;QUERY(Hallazgos!A:F,""SELECT B WHERE E CONTAINS '""&amp;A166&amp;""' LABEL B ''"")))"),"#N/A")</f>
        <v>#N/A</v>
      </c>
    </row>
    <row r="167" spans="1:12" ht="127.5" x14ac:dyDescent="0.2">
      <c r="A167" s="38" t="s">
        <v>536</v>
      </c>
      <c r="B167" s="39" t="s">
        <v>537</v>
      </c>
      <c r="C167" s="33" t="s">
        <v>182</v>
      </c>
      <c r="D167" s="34" t="s">
        <v>483</v>
      </c>
      <c r="E167" s="34" t="s">
        <v>221</v>
      </c>
      <c r="F167" s="34" t="s">
        <v>161</v>
      </c>
      <c r="G167" s="35" t="s">
        <v>14</v>
      </c>
      <c r="H167" s="35" t="s">
        <v>14</v>
      </c>
      <c r="I167" s="35" t="s">
        <v>14</v>
      </c>
      <c r="J167" s="35" t="str">
        <f t="shared" si="6"/>
        <v>-</v>
      </c>
      <c r="K167" s="31" t="str">
        <f t="shared" ca="1" si="8"/>
        <v>/A.</v>
      </c>
      <c r="L167" s="31" t="str">
        <f ca="1">IFERROR(__xludf.dummyfunction("CONCATENATE(ArrayFormula(""; ""&amp;QUERY(Hallazgos!A:F,""SELECT B WHERE E CONTAINS '""&amp;A167&amp;""' LABEL B ''"")))"),"#N/A")</f>
        <v>#N/A</v>
      </c>
    </row>
    <row r="168" spans="1:12" ht="102" x14ac:dyDescent="0.2">
      <c r="A168" s="38" t="s">
        <v>538</v>
      </c>
      <c r="B168" s="38" t="s">
        <v>539</v>
      </c>
      <c r="C168" s="37" t="s">
        <v>164</v>
      </c>
      <c r="D168" s="34" t="s">
        <v>483</v>
      </c>
      <c r="E168" s="34" t="s">
        <v>444</v>
      </c>
      <c r="F168" s="34" t="s">
        <v>161</v>
      </c>
      <c r="G168" s="35" t="s">
        <v>14</v>
      </c>
      <c r="H168" s="35" t="s">
        <v>14</v>
      </c>
      <c r="I168" s="35" t="s">
        <v>14</v>
      </c>
      <c r="J168" s="35" t="str">
        <f t="shared" si="6"/>
        <v>-</v>
      </c>
      <c r="K168" s="31" t="str">
        <f t="shared" ca="1" si="8"/>
        <v>/A.</v>
      </c>
      <c r="L168" s="31" t="str">
        <f ca="1">IFERROR(__xludf.dummyfunction("CONCATENATE(ArrayFormula(""; ""&amp;QUERY(Hallazgos!A:F,""SELECT B WHERE E CONTAINS '""&amp;A168&amp;""' LABEL B ''"")))"),"#N/A")</f>
        <v>#N/A</v>
      </c>
    </row>
    <row r="169" spans="1:12" ht="114.75" x14ac:dyDescent="0.2">
      <c r="A169" s="38" t="s">
        <v>540</v>
      </c>
      <c r="B169" s="38" t="s">
        <v>541</v>
      </c>
      <c r="C169" s="37" t="s">
        <v>182</v>
      </c>
      <c r="D169" s="34" t="s">
        <v>542</v>
      </c>
      <c r="E169" s="34" t="s">
        <v>205</v>
      </c>
      <c r="F169" s="34" t="s">
        <v>161</v>
      </c>
      <c r="G169" s="35" t="s">
        <v>14</v>
      </c>
      <c r="H169" s="35" t="s">
        <v>14</v>
      </c>
      <c r="I169" s="35" t="s">
        <v>14</v>
      </c>
      <c r="J169" s="35" t="str">
        <f t="shared" si="6"/>
        <v>-</v>
      </c>
      <c r="K169" s="31" t="str">
        <f t="shared" ca="1" si="8"/>
        <v>/A.</v>
      </c>
      <c r="L169" s="31" t="str">
        <f ca="1">IFERROR(__xludf.dummyfunction("CONCATENATE(ArrayFormula(""; ""&amp;QUERY(Hallazgos!A:F,""SELECT B WHERE E CONTAINS '""&amp;A169&amp;""' LABEL B ''"")))"),"#N/A")</f>
        <v>#N/A</v>
      </c>
    </row>
    <row r="170" spans="1:12" ht="114.75" x14ac:dyDescent="0.2">
      <c r="A170" s="38" t="s">
        <v>543</v>
      </c>
      <c r="B170" s="38" t="s">
        <v>544</v>
      </c>
      <c r="C170" s="37" t="s">
        <v>182</v>
      </c>
      <c r="D170" s="34" t="s">
        <v>542</v>
      </c>
      <c r="E170" s="34" t="s">
        <v>205</v>
      </c>
      <c r="F170" s="34" t="s">
        <v>161</v>
      </c>
      <c r="G170" s="35" t="s">
        <v>14</v>
      </c>
      <c r="H170" s="35" t="s">
        <v>14</v>
      </c>
      <c r="I170" s="35" t="s">
        <v>14</v>
      </c>
      <c r="J170" s="35" t="str">
        <f t="shared" si="6"/>
        <v>-</v>
      </c>
      <c r="K170" s="31" t="str">
        <f t="shared" ca="1" si="8"/>
        <v>/A.</v>
      </c>
      <c r="L170" s="31" t="str">
        <f ca="1">IFERROR(__xludf.dummyfunction("CONCATENATE(ArrayFormula(""; ""&amp;QUERY(Hallazgos!A:F,""SELECT B WHERE E CONTAINS '""&amp;A170&amp;""' LABEL B ''"")))"),"#N/A")</f>
        <v>#N/A</v>
      </c>
    </row>
    <row r="171" spans="1:12" ht="165.75" x14ac:dyDescent="0.2">
      <c r="A171" s="38" t="s">
        <v>545</v>
      </c>
      <c r="B171" s="38" t="s">
        <v>546</v>
      </c>
      <c r="C171" s="37" t="s">
        <v>158</v>
      </c>
      <c r="D171" s="34" t="s">
        <v>547</v>
      </c>
      <c r="E171" s="34" t="s">
        <v>166</v>
      </c>
      <c r="F171" s="34" t="s">
        <v>161</v>
      </c>
      <c r="G171" s="35" t="s">
        <v>14</v>
      </c>
      <c r="H171" s="35" t="s">
        <v>14</v>
      </c>
      <c r="I171" s="35" t="s">
        <v>14</v>
      </c>
      <c r="J171" s="35" t="str">
        <f t="shared" si="6"/>
        <v>-</v>
      </c>
      <c r="K171" s="31" t="str">
        <f t="shared" ca="1" si="8"/>
        <v>/A.</v>
      </c>
      <c r="L171" s="31" t="str">
        <f ca="1">IFERROR(__xludf.dummyfunction("CONCATENATE(ArrayFormula(""; ""&amp;QUERY(Hallazgos!A:F,""SELECT B WHERE E CONTAINS '""&amp;A171&amp;""' LABEL B ''"")))"),"#N/A")</f>
        <v>#N/A</v>
      </c>
    </row>
    <row r="172" spans="1:12" ht="165.75" x14ac:dyDescent="0.2">
      <c r="A172" s="38" t="s">
        <v>548</v>
      </c>
      <c r="B172" s="38" t="s">
        <v>549</v>
      </c>
      <c r="C172" s="37" t="s">
        <v>158</v>
      </c>
      <c r="D172" s="34" t="s">
        <v>547</v>
      </c>
      <c r="E172" s="34" t="s">
        <v>224</v>
      </c>
      <c r="F172" s="34" t="s">
        <v>194</v>
      </c>
      <c r="G172" s="35" t="s">
        <v>14</v>
      </c>
      <c r="H172" s="35" t="s">
        <v>14</v>
      </c>
      <c r="I172" s="35" t="s">
        <v>14</v>
      </c>
      <c r="J172" s="35" t="str">
        <f t="shared" si="6"/>
        <v>-</v>
      </c>
      <c r="K172" s="31" t="str">
        <f t="shared" ca="1" si="8"/>
        <v>/A.</v>
      </c>
      <c r="L172" s="31" t="str">
        <f ca="1">IFERROR(__xludf.dummyfunction("CONCATENATE(ArrayFormula(""; ""&amp;QUERY(Hallazgos!A:F,""SELECT B WHERE E CONTAINS '""&amp;A172&amp;""' LABEL B ''"")))"),"#N/A")</f>
        <v>#N/A</v>
      </c>
    </row>
    <row r="173" spans="1:12" ht="191.25" x14ac:dyDescent="0.2">
      <c r="A173" s="38" t="s">
        <v>550</v>
      </c>
      <c r="B173" s="38" t="s">
        <v>551</v>
      </c>
      <c r="C173" s="37" t="s">
        <v>158</v>
      </c>
      <c r="D173" s="34" t="s">
        <v>547</v>
      </c>
      <c r="E173" s="34" t="s">
        <v>197</v>
      </c>
      <c r="F173" s="34" t="s">
        <v>161</v>
      </c>
      <c r="G173" s="35" t="s">
        <v>14</v>
      </c>
      <c r="H173" s="35" t="s">
        <v>14</v>
      </c>
      <c r="I173" s="35" t="s">
        <v>14</v>
      </c>
      <c r="J173" s="35" t="str">
        <f t="shared" si="6"/>
        <v>-</v>
      </c>
      <c r="K173" s="31" t="str">
        <f t="shared" ca="1" si="8"/>
        <v>/A.</v>
      </c>
      <c r="L173" s="31" t="str">
        <f ca="1">IFERROR(__xludf.dummyfunction("CONCATENATE(ArrayFormula(""; ""&amp;QUERY(Hallazgos!A:F,""SELECT B WHERE E CONTAINS '""&amp;A173&amp;""' LABEL B ''"")))"),"#N/A")</f>
        <v>#N/A</v>
      </c>
    </row>
    <row r="174" spans="1:12" ht="191.25" x14ac:dyDescent="0.2">
      <c r="A174" s="38" t="s">
        <v>552</v>
      </c>
      <c r="B174" s="38" t="s">
        <v>553</v>
      </c>
      <c r="C174" s="37" t="s">
        <v>158</v>
      </c>
      <c r="D174" s="34" t="s">
        <v>547</v>
      </c>
      <c r="E174" s="34" t="s">
        <v>197</v>
      </c>
      <c r="F174" s="34" t="s">
        <v>194</v>
      </c>
      <c r="G174" s="35" t="s">
        <v>14</v>
      </c>
      <c r="H174" s="35" t="s">
        <v>14</v>
      </c>
      <c r="I174" s="35" t="s">
        <v>14</v>
      </c>
      <c r="J174" s="35" t="str">
        <f t="shared" si="6"/>
        <v>-</v>
      </c>
      <c r="K174" s="31" t="str">
        <f t="shared" ca="1" si="8"/>
        <v>/A.</v>
      </c>
      <c r="L174" s="31" t="str">
        <f ca="1">IFERROR(__xludf.dummyfunction("CONCATENATE(ArrayFormula(""; ""&amp;QUERY(Hallazgos!A:F,""SELECT B WHERE E CONTAINS '""&amp;A174&amp;""' LABEL B ''"")))"),"#N/A")</f>
        <v>#N/A</v>
      </c>
    </row>
    <row r="175" spans="1:12" ht="229.5" x14ac:dyDescent="0.2">
      <c r="A175" s="38" t="s">
        <v>554</v>
      </c>
      <c r="B175" s="38" t="s">
        <v>555</v>
      </c>
      <c r="C175" s="37" t="s">
        <v>158</v>
      </c>
      <c r="D175" s="34" t="s">
        <v>547</v>
      </c>
      <c r="E175" s="34" t="s">
        <v>160</v>
      </c>
      <c r="F175" s="34" t="s">
        <v>161</v>
      </c>
      <c r="G175" s="35" t="s">
        <v>14</v>
      </c>
      <c r="H175" s="35" t="s">
        <v>14</v>
      </c>
      <c r="I175" s="35" t="s">
        <v>14</v>
      </c>
      <c r="J175" s="35" t="str">
        <f t="shared" si="6"/>
        <v>-</v>
      </c>
      <c r="K175" s="31" t="str">
        <f t="shared" ca="1" si="8"/>
        <v>/A.</v>
      </c>
      <c r="L175" s="31" t="str">
        <f ca="1">IFERROR(__xludf.dummyfunction("CONCATENATE(ArrayFormula(""; ""&amp;QUERY(Hallazgos!A:F,""SELECT B WHERE E CONTAINS '""&amp;A175&amp;""' LABEL B ''"")))"),"#N/A")</f>
        <v>#N/A</v>
      </c>
    </row>
    <row r="176" spans="1:12" ht="127.5" x14ac:dyDescent="0.2">
      <c r="A176" s="38" t="s">
        <v>556</v>
      </c>
      <c r="B176" s="38" t="s">
        <v>557</v>
      </c>
      <c r="C176" s="37" t="s">
        <v>158</v>
      </c>
      <c r="D176" s="34" t="s">
        <v>547</v>
      </c>
      <c r="E176" s="34" t="s">
        <v>160</v>
      </c>
      <c r="F176" s="34" t="s">
        <v>161</v>
      </c>
      <c r="G176" s="35" t="s">
        <v>14</v>
      </c>
      <c r="H176" s="35" t="s">
        <v>14</v>
      </c>
      <c r="I176" s="35" t="s">
        <v>14</v>
      </c>
      <c r="J176" s="35" t="str">
        <f t="shared" si="6"/>
        <v>-</v>
      </c>
      <c r="K176" s="31" t="str">
        <f t="shared" ca="1" si="8"/>
        <v>/A.</v>
      </c>
      <c r="L176" s="31" t="str">
        <f ca="1">IFERROR(__xludf.dummyfunction("CONCATENATE(ArrayFormula(""; ""&amp;QUERY(Hallazgos!A:F,""SELECT B WHERE E CONTAINS '""&amp;A176&amp;""' LABEL B ''"")))"),"#N/A")</f>
        <v>#N/A</v>
      </c>
    </row>
    <row r="177" spans="1:12" ht="191.25" x14ac:dyDescent="0.2">
      <c r="A177" s="38" t="s">
        <v>558</v>
      </c>
      <c r="B177" s="38" t="s">
        <v>559</v>
      </c>
      <c r="C177" s="37" t="s">
        <v>158</v>
      </c>
      <c r="D177" s="34" t="s">
        <v>269</v>
      </c>
      <c r="E177" s="34" t="s">
        <v>221</v>
      </c>
      <c r="F177" s="34" t="s">
        <v>161</v>
      </c>
      <c r="G177" s="35" t="s">
        <v>14</v>
      </c>
      <c r="H177" s="35" t="s">
        <v>14</v>
      </c>
      <c r="I177" s="35" t="s">
        <v>14</v>
      </c>
      <c r="J177" s="35" t="str">
        <f t="shared" si="6"/>
        <v>-</v>
      </c>
      <c r="K177" s="31" t="str">
        <f t="shared" ca="1" si="8"/>
        <v>/A.</v>
      </c>
      <c r="L177" s="31" t="str">
        <f ca="1">IFERROR(__xludf.dummyfunction("CONCATENATE(ArrayFormula(""; ""&amp;QUERY(Hallazgos!A:F,""SELECT B WHERE E CONTAINS '""&amp;A177&amp;""' LABEL B ''"")))"),"#N/A")</f>
        <v>#N/A</v>
      </c>
    </row>
    <row r="178" spans="1:12" ht="114.75" x14ac:dyDescent="0.2">
      <c r="A178" s="38" t="s">
        <v>560</v>
      </c>
      <c r="B178" s="38" t="s">
        <v>561</v>
      </c>
      <c r="C178" s="37" t="s">
        <v>158</v>
      </c>
      <c r="D178" s="34" t="s">
        <v>547</v>
      </c>
      <c r="E178" s="34" t="s">
        <v>160</v>
      </c>
      <c r="F178" s="34" t="s">
        <v>194</v>
      </c>
      <c r="G178" s="35" t="s">
        <v>14</v>
      </c>
      <c r="H178" s="35" t="s">
        <v>14</v>
      </c>
      <c r="I178" s="35" t="s">
        <v>14</v>
      </c>
      <c r="J178" s="35" t="str">
        <f t="shared" si="6"/>
        <v>-</v>
      </c>
      <c r="K178" s="31" t="str">
        <f t="shared" ca="1" si="8"/>
        <v>/A.</v>
      </c>
      <c r="L178" s="31" t="str">
        <f ca="1">IFERROR(__xludf.dummyfunction("CONCATENATE(ArrayFormula(""; ""&amp;QUERY(Hallazgos!A:F,""SELECT B WHERE E CONTAINS '""&amp;A178&amp;""' LABEL B ''"")))"),"#N/A")</f>
        <v>#N/A</v>
      </c>
    </row>
    <row r="179" spans="1:12" ht="382.5" x14ac:dyDescent="0.2">
      <c r="A179" s="38" t="s">
        <v>562</v>
      </c>
      <c r="B179" s="38" t="s">
        <v>563</v>
      </c>
      <c r="C179" s="37" t="s">
        <v>158</v>
      </c>
      <c r="D179" s="34" t="s">
        <v>547</v>
      </c>
      <c r="E179" s="34" t="s">
        <v>227</v>
      </c>
      <c r="F179" s="34" t="s">
        <v>194</v>
      </c>
      <c r="G179" s="35" t="s">
        <v>14</v>
      </c>
      <c r="H179" s="35" t="s">
        <v>14</v>
      </c>
      <c r="I179" s="35" t="s">
        <v>14</v>
      </c>
      <c r="J179" s="35" t="str">
        <f t="shared" si="6"/>
        <v>-</v>
      </c>
      <c r="K179" s="31" t="str">
        <f t="shared" ca="1" si="8"/>
        <v>/A.</v>
      </c>
      <c r="L179" s="31" t="str">
        <f ca="1">IFERROR(__xludf.dummyfunction("CONCATENATE(ArrayFormula(""; ""&amp;QUERY(Hallazgos!A:F,""SELECT B WHERE E CONTAINS '""&amp;A179&amp;""' LABEL B ''"")))"),"#N/A")</f>
        <v>#N/A</v>
      </c>
    </row>
    <row r="180" spans="1:12" ht="140.25" x14ac:dyDescent="0.2">
      <c r="A180" s="38" t="s">
        <v>564</v>
      </c>
      <c r="B180" s="38" t="s">
        <v>565</v>
      </c>
      <c r="C180" s="37" t="s">
        <v>158</v>
      </c>
      <c r="D180" s="34" t="s">
        <v>547</v>
      </c>
      <c r="E180" s="34" t="s">
        <v>160</v>
      </c>
      <c r="F180" s="34" t="s">
        <v>194</v>
      </c>
      <c r="G180" s="35" t="s">
        <v>14</v>
      </c>
      <c r="H180" s="35" t="s">
        <v>14</v>
      </c>
      <c r="I180" s="35" t="s">
        <v>14</v>
      </c>
      <c r="J180" s="35" t="str">
        <f t="shared" si="6"/>
        <v>-</v>
      </c>
      <c r="K180" s="31" t="str">
        <f t="shared" ca="1" si="8"/>
        <v>/A.</v>
      </c>
      <c r="L180" s="31" t="str">
        <f ca="1">IFERROR(__xludf.dummyfunction("CONCATENATE(ArrayFormula(""; ""&amp;QUERY(Hallazgos!A:F,""SELECT B WHERE E CONTAINS '""&amp;A180&amp;""' LABEL B ''"")))"),"#N/A")</f>
        <v>#N/A</v>
      </c>
    </row>
    <row r="181" spans="1:12" ht="216.75" x14ac:dyDescent="0.2">
      <c r="A181" s="38" t="s">
        <v>566</v>
      </c>
      <c r="B181" s="38" t="s">
        <v>567</v>
      </c>
      <c r="C181" s="37" t="s">
        <v>164</v>
      </c>
      <c r="D181" s="34" t="s">
        <v>258</v>
      </c>
      <c r="E181" s="34" t="s">
        <v>221</v>
      </c>
      <c r="F181" s="34" t="s">
        <v>161</v>
      </c>
      <c r="G181" s="35" t="s">
        <v>14</v>
      </c>
      <c r="H181" s="35" t="s">
        <v>14</v>
      </c>
      <c r="I181" s="35" t="s">
        <v>14</v>
      </c>
      <c r="J181" s="35" t="str">
        <f t="shared" si="6"/>
        <v>-</v>
      </c>
      <c r="K181" s="31" t="str">
        <f t="shared" ca="1" si="8"/>
        <v>/A.</v>
      </c>
      <c r="L181" s="31" t="str">
        <f ca="1">IFERROR(__xludf.dummyfunction("CONCATENATE(ArrayFormula(""; ""&amp;QUERY(Hallazgos!A:F,""SELECT B WHERE E CONTAINS '""&amp;A181&amp;""' LABEL B ''"")))"),"#N/A")</f>
        <v>#N/A</v>
      </c>
    </row>
    <row r="182" spans="1:12" ht="165.75" x14ac:dyDescent="0.2">
      <c r="A182" s="38" t="s">
        <v>568</v>
      </c>
      <c r="B182" s="38" t="s">
        <v>569</v>
      </c>
      <c r="C182" s="37" t="s">
        <v>158</v>
      </c>
      <c r="D182" s="34" t="s">
        <v>190</v>
      </c>
      <c r="E182" s="34" t="s">
        <v>197</v>
      </c>
      <c r="F182" s="34" t="s">
        <v>161</v>
      </c>
      <c r="G182" s="35" t="s">
        <v>14</v>
      </c>
      <c r="H182" s="35" t="s">
        <v>14</v>
      </c>
      <c r="I182" s="35" t="s">
        <v>14</v>
      </c>
      <c r="J182" s="35" t="str">
        <f t="shared" si="6"/>
        <v>-</v>
      </c>
      <c r="K182" s="31" t="str">
        <f t="shared" ca="1" si="8"/>
        <v>/A.</v>
      </c>
      <c r="L182" s="31" t="str">
        <f ca="1">IFERROR(__xludf.dummyfunction("CONCATENATE(ArrayFormula(""; ""&amp;QUERY(Hallazgos!A:F,""SELECT B WHERE E CONTAINS '""&amp;A182&amp;""' LABEL B ''"")))"),"#N/A")</f>
        <v>#N/A</v>
      </c>
    </row>
    <row r="183" spans="1:12" ht="204" x14ac:dyDescent="0.2">
      <c r="A183" s="38" t="s">
        <v>570</v>
      </c>
      <c r="B183" s="38" t="s">
        <v>571</v>
      </c>
      <c r="C183" s="37" t="s">
        <v>158</v>
      </c>
      <c r="D183" s="34" t="s">
        <v>258</v>
      </c>
      <c r="E183" s="34" t="s">
        <v>444</v>
      </c>
      <c r="F183" s="34" t="s">
        <v>161</v>
      </c>
      <c r="G183" s="35" t="s">
        <v>14</v>
      </c>
      <c r="H183" s="35" t="s">
        <v>14</v>
      </c>
      <c r="I183" s="35" t="s">
        <v>14</v>
      </c>
      <c r="J183" s="35" t="str">
        <f t="shared" si="6"/>
        <v>-</v>
      </c>
      <c r="K183" s="31" t="str">
        <f t="shared" ca="1" si="8"/>
        <v>/A.</v>
      </c>
      <c r="L183" s="31" t="str">
        <f ca="1">IFERROR(__xludf.dummyfunction("CONCATENATE(ArrayFormula(""; ""&amp;QUERY(Hallazgos!A:F,""SELECT B WHERE E CONTAINS '""&amp;A183&amp;""' LABEL B ''"")))"),"#N/A")</f>
        <v>#N/A</v>
      </c>
    </row>
    <row r="184" spans="1:12" ht="242.25" x14ac:dyDescent="0.2">
      <c r="A184" s="38" t="s">
        <v>572</v>
      </c>
      <c r="B184" s="38" t="s">
        <v>573</v>
      </c>
      <c r="C184" s="37" t="s">
        <v>164</v>
      </c>
      <c r="D184" s="34" t="s">
        <v>258</v>
      </c>
      <c r="E184" s="34" t="s">
        <v>166</v>
      </c>
      <c r="F184" s="34" t="s">
        <v>161</v>
      </c>
      <c r="G184" s="35" t="s">
        <v>14</v>
      </c>
      <c r="H184" s="35" t="s">
        <v>14</v>
      </c>
      <c r="I184" s="35" t="s">
        <v>14</v>
      </c>
      <c r="J184" s="35" t="str">
        <f t="shared" si="6"/>
        <v>-</v>
      </c>
      <c r="K184" s="31" t="str">
        <f t="shared" ca="1" si="8"/>
        <v>/A.</v>
      </c>
      <c r="L184" s="31" t="str">
        <f ca="1">IFERROR(__xludf.dummyfunction("CONCATENATE(ArrayFormula(""; ""&amp;QUERY(Hallazgos!A:F,""SELECT B WHERE E CONTAINS '""&amp;A184&amp;""' LABEL B ''"")))"),"#N/A")</f>
        <v>#N/A</v>
      </c>
    </row>
    <row r="185" spans="1:12" ht="127.5" x14ac:dyDescent="0.2">
      <c r="A185" s="38" t="s">
        <v>574</v>
      </c>
      <c r="B185" s="38" t="s">
        <v>575</v>
      </c>
      <c r="C185" s="37" t="s">
        <v>182</v>
      </c>
      <c r="D185" s="34" t="s">
        <v>258</v>
      </c>
      <c r="E185" s="34" t="s">
        <v>166</v>
      </c>
      <c r="F185" s="34" t="s">
        <v>161</v>
      </c>
      <c r="G185" s="35" t="s">
        <v>14</v>
      </c>
      <c r="H185" s="35" t="s">
        <v>14</v>
      </c>
      <c r="I185" s="35" t="s">
        <v>14</v>
      </c>
      <c r="J185" s="35" t="str">
        <f t="shared" si="6"/>
        <v>-</v>
      </c>
      <c r="K185" s="31" t="str">
        <f t="shared" ca="1" si="8"/>
        <v>/A.</v>
      </c>
      <c r="L185" s="31" t="str">
        <f ca="1">IFERROR(__xludf.dummyfunction("CONCATENATE(ArrayFormula(""; ""&amp;QUERY(Hallazgos!A:F,""SELECT B WHERE E CONTAINS '""&amp;A185&amp;""' LABEL B ''"")))"),"#N/A")</f>
        <v>#N/A</v>
      </c>
    </row>
    <row r="186" spans="1:12" ht="153" x14ac:dyDescent="0.2">
      <c r="A186" s="38" t="s">
        <v>576</v>
      </c>
      <c r="B186" s="38" t="s">
        <v>577</v>
      </c>
      <c r="C186" s="37" t="s">
        <v>164</v>
      </c>
      <c r="D186" s="34" t="s">
        <v>258</v>
      </c>
      <c r="E186" s="34" t="s">
        <v>444</v>
      </c>
      <c r="F186" s="34" t="s">
        <v>161</v>
      </c>
      <c r="G186" s="35" t="s">
        <v>14</v>
      </c>
      <c r="H186" s="35" t="s">
        <v>14</v>
      </c>
      <c r="I186" s="35" t="s">
        <v>14</v>
      </c>
      <c r="J186" s="35" t="str">
        <f t="shared" si="6"/>
        <v>-</v>
      </c>
      <c r="K186" s="31" t="str">
        <f t="shared" ca="1" si="8"/>
        <v>/A.</v>
      </c>
      <c r="L186" s="31" t="str">
        <f ca="1">IFERROR(__xludf.dummyfunction("CONCATENATE(ArrayFormula(""; ""&amp;QUERY(Hallazgos!A:F,""SELECT B WHERE E CONTAINS '""&amp;A186&amp;""' LABEL B ''"")))"),"#N/A")</f>
        <v>#N/A</v>
      </c>
    </row>
    <row r="187" spans="1:12" ht="102" x14ac:dyDescent="0.2">
      <c r="A187" s="38" t="s">
        <v>578</v>
      </c>
      <c r="B187" s="38" t="s">
        <v>579</v>
      </c>
      <c r="C187" s="37" t="s">
        <v>164</v>
      </c>
      <c r="D187" s="34" t="s">
        <v>258</v>
      </c>
      <c r="E187" s="34" t="s">
        <v>444</v>
      </c>
      <c r="F187" s="34" t="s">
        <v>161</v>
      </c>
      <c r="G187" s="35" t="s">
        <v>14</v>
      </c>
      <c r="H187" s="35" t="s">
        <v>14</v>
      </c>
      <c r="I187" s="35" t="s">
        <v>14</v>
      </c>
      <c r="J187" s="35" t="str">
        <f t="shared" si="6"/>
        <v>-</v>
      </c>
      <c r="K187" s="31" t="str">
        <f t="shared" ca="1" si="8"/>
        <v>/A.</v>
      </c>
      <c r="L187" s="31" t="str">
        <f ca="1">IFERROR(__xludf.dummyfunction("CONCATENATE(ArrayFormula(""; ""&amp;QUERY(Hallazgos!A:F,""SELECT B WHERE E CONTAINS '""&amp;A187&amp;""' LABEL B ''"")))"),"#N/A")</f>
        <v>#N/A</v>
      </c>
    </row>
    <row r="188" spans="1:12" ht="178.5" x14ac:dyDescent="0.2">
      <c r="A188" s="38" t="s">
        <v>580</v>
      </c>
      <c r="B188" s="38" t="s">
        <v>581</v>
      </c>
      <c r="C188" s="37" t="s">
        <v>164</v>
      </c>
      <c r="D188" s="34" t="s">
        <v>258</v>
      </c>
      <c r="E188" s="34" t="s">
        <v>160</v>
      </c>
      <c r="F188" s="34" t="s">
        <v>161</v>
      </c>
      <c r="G188" s="35" t="s">
        <v>14</v>
      </c>
      <c r="H188" s="35" t="s">
        <v>14</v>
      </c>
      <c r="I188" s="35" t="s">
        <v>14</v>
      </c>
      <c r="J188" s="35" t="str">
        <f t="shared" si="6"/>
        <v>-</v>
      </c>
      <c r="K188" s="31" t="str">
        <f t="shared" ca="1" si="8"/>
        <v>/A.</v>
      </c>
      <c r="L188" s="31" t="str">
        <f ca="1">IFERROR(__xludf.dummyfunction("CONCATENATE(ArrayFormula(""; ""&amp;QUERY(Hallazgos!A:F,""SELECT B WHERE E CONTAINS '""&amp;A188&amp;""' LABEL B ''"")))"),"#N/A")</f>
        <v>#N/A</v>
      </c>
    </row>
    <row r="189" spans="1:12" ht="229.5" x14ac:dyDescent="0.2">
      <c r="A189" s="38" t="s">
        <v>582</v>
      </c>
      <c r="B189" s="38" t="s">
        <v>583</v>
      </c>
      <c r="C189" s="37" t="s">
        <v>164</v>
      </c>
      <c r="D189" s="34" t="s">
        <v>258</v>
      </c>
      <c r="E189" s="34" t="s">
        <v>250</v>
      </c>
      <c r="F189" s="34" t="s">
        <v>161</v>
      </c>
      <c r="G189" s="35" t="s">
        <v>14</v>
      </c>
      <c r="H189" s="35" t="s">
        <v>14</v>
      </c>
      <c r="I189" s="35" t="s">
        <v>14</v>
      </c>
      <c r="J189" s="35" t="str">
        <f t="shared" si="6"/>
        <v>-</v>
      </c>
      <c r="K189" s="31" t="str">
        <f t="shared" ca="1" si="8"/>
        <v>/A.</v>
      </c>
      <c r="L189" s="31" t="str">
        <f ca="1">IFERROR(__xludf.dummyfunction("CONCATENATE(ArrayFormula(""; ""&amp;QUERY(Hallazgos!A:F,""SELECT B WHERE E CONTAINS '""&amp;A189&amp;""' LABEL B ''"")))"),"#N/A")</f>
        <v>#N/A</v>
      </c>
    </row>
    <row r="190" spans="1:12" ht="229.5" x14ac:dyDescent="0.2">
      <c r="A190" s="38" t="s">
        <v>584</v>
      </c>
      <c r="B190" s="38" t="s">
        <v>585</v>
      </c>
      <c r="C190" s="37" t="s">
        <v>164</v>
      </c>
      <c r="D190" s="34" t="s">
        <v>258</v>
      </c>
      <c r="E190" s="34" t="s">
        <v>250</v>
      </c>
      <c r="F190" s="34" t="s">
        <v>161</v>
      </c>
      <c r="G190" s="35" t="s">
        <v>14</v>
      </c>
      <c r="H190" s="35" t="s">
        <v>14</v>
      </c>
      <c r="I190" s="35" t="s">
        <v>14</v>
      </c>
      <c r="J190" s="35" t="str">
        <f t="shared" si="6"/>
        <v>-</v>
      </c>
      <c r="K190" s="31" t="str">
        <f t="shared" ca="1" si="8"/>
        <v>/A.</v>
      </c>
      <c r="L190" s="31" t="str">
        <f ca="1">IFERROR(__xludf.dummyfunction("CONCATENATE(ArrayFormula(""; ""&amp;QUERY(Hallazgos!A:F,""SELECT B WHERE E CONTAINS '""&amp;A190&amp;""' LABEL B ''"")))"),"#N/A")</f>
        <v>#N/A</v>
      </c>
    </row>
    <row r="191" spans="1:12" ht="228" x14ac:dyDescent="0.2">
      <c r="A191" s="40" t="s">
        <v>586</v>
      </c>
      <c r="B191" s="40" t="s">
        <v>587</v>
      </c>
      <c r="C191" s="34" t="s">
        <v>164</v>
      </c>
      <c r="D191" s="34" t="s">
        <v>258</v>
      </c>
      <c r="E191" s="34" t="s">
        <v>197</v>
      </c>
      <c r="F191" s="34" t="s">
        <v>191</v>
      </c>
      <c r="G191" s="35" t="s">
        <v>14</v>
      </c>
      <c r="H191" s="35" t="s">
        <v>14</v>
      </c>
      <c r="I191" s="35" t="s">
        <v>14</v>
      </c>
      <c r="J191" s="35" t="str">
        <f t="shared" si="6"/>
        <v>-</v>
      </c>
      <c r="K191" s="31"/>
      <c r="L191" s="31" t="str">
        <f ca="1">IFERROR(__xludf.dummyfunction("CONCATENATE(ArrayFormula(""; ""&amp;QUERY(Hallazgos!A:F,""SELECT B WHERE E CONTAINS '""&amp;A191&amp;""' LABEL B ''"")))"),"#N/A")</f>
        <v>#N/A</v>
      </c>
    </row>
    <row r="192" spans="1:12" ht="199.5" x14ac:dyDescent="0.2">
      <c r="A192" s="40" t="s">
        <v>588</v>
      </c>
      <c r="B192" s="40" t="s">
        <v>589</v>
      </c>
      <c r="C192" s="34" t="s">
        <v>158</v>
      </c>
      <c r="D192" s="34" t="s">
        <v>258</v>
      </c>
      <c r="E192" s="34" t="s">
        <v>444</v>
      </c>
      <c r="F192" s="34" t="s">
        <v>161</v>
      </c>
      <c r="G192" s="35" t="s">
        <v>14</v>
      </c>
      <c r="H192" s="35" t="s">
        <v>14</v>
      </c>
      <c r="I192" s="35" t="s">
        <v>14</v>
      </c>
      <c r="J192" s="35" t="str">
        <f t="shared" si="6"/>
        <v>-</v>
      </c>
      <c r="K192" s="31"/>
      <c r="L192" s="31" t="str">
        <f ca="1">IFERROR(__xludf.dummyfunction("CONCATENATE(ArrayFormula(""; ""&amp;QUERY(Hallazgos!A:F,""SELECT B WHERE E CONTAINS '""&amp;A192&amp;""' LABEL B ''"")))"),"#N/A")</f>
        <v>#N/A</v>
      </c>
    </row>
    <row r="193" spans="1:12" ht="228" x14ac:dyDescent="0.2">
      <c r="A193" s="40" t="s">
        <v>590</v>
      </c>
      <c r="B193" s="40" t="s">
        <v>591</v>
      </c>
      <c r="C193" s="34" t="s">
        <v>164</v>
      </c>
      <c r="D193" s="34" t="s">
        <v>258</v>
      </c>
      <c r="E193" s="34" t="s">
        <v>221</v>
      </c>
      <c r="F193" s="34" t="s">
        <v>161</v>
      </c>
      <c r="G193" s="35" t="s">
        <v>14</v>
      </c>
      <c r="H193" s="35" t="s">
        <v>14</v>
      </c>
      <c r="I193" s="35" t="s">
        <v>14</v>
      </c>
      <c r="J193" s="35" t="str">
        <f t="shared" si="6"/>
        <v>-</v>
      </c>
      <c r="K193" s="31"/>
      <c r="L193" s="31" t="str">
        <f ca="1">IFERROR(__xludf.dummyfunction("CONCATENATE(ArrayFormula(""; ""&amp;QUERY(Hallazgos!A:F,""SELECT B WHERE E CONTAINS '""&amp;A193&amp;""' LABEL B ''"")))"),"#N/A")</f>
        <v>#N/A</v>
      </c>
    </row>
    <row r="194" spans="1:12" ht="142.5" x14ac:dyDescent="0.2">
      <c r="A194" s="40" t="s">
        <v>592</v>
      </c>
      <c r="B194" s="40" t="s">
        <v>593</v>
      </c>
      <c r="C194" s="34" t="s">
        <v>164</v>
      </c>
      <c r="D194" s="34" t="s">
        <v>258</v>
      </c>
      <c r="E194" s="34" t="s">
        <v>218</v>
      </c>
      <c r="F194" s="34" t="s">
        <v>161</v>
      </c>
      <c r="G194" s="35" t="s">
        <v>14</v>
      </c>
      <c r="H194" s="35" t="s">
        <v>14</v>
      </c>
      <c r="I194" s="35" t="s">
        <v>14</v>
      </c>
      <c r="J194" s="35" t="str">
        <f t="shared" si="6"/>
        <v>-</v>
      </c>
      <c r="K194" s="31"/>
      <c r="L194" s="31" t="str">
        <f ca="1">IFERROR(__xludf.dummyfunction("CONCATENATE(ArrayFormula(""; ""&amp;QUERY(Hallazgos!A:F,""SELECT B WHERE E CONTAINS '""&amp;A194&amp;""' LABEL B ''"")))"),"#N/A")</f>
        <v>#N/A</v>
      </c>
    </row>
    <row r="195" spans="1:12" ht="313.5" x14ac:dyDescent="0.2">
      <c r="A195" s="40" t="s">
        <v>594</v>
      </c>
      <c r="B195" s="40" t="s">
        <v>595</v>
      </c>
      <c r="C195" s="34" t="s">
        <v>164</v>
      </c>
      <c r="D195" s="34" t="s">
        <v>258</v>
      </c>
      <c r="E195" s="34" t="s">
        <v>211</v>
      </c>
      <c r="F195" s="34" t="s">
        <v>161</v>
      </c>
      <c r="G195" s="35" t="s">
        <v>14</v>
      </c>
      <c r="H195" s="35" t="s">
        <v>14</v>
      </c>
      <c r="I195" s="35" t="s">
        <v>14</v>
      </c>
      <c r="J195" s="35" t="str">
        <f t="shared" ref="J195:J219" si="9">IF(G195="Sí", IF(H195="Sí", "DP", "SP"), IF(H195="Sí", "SD", "-"))</f>
        <v>-</v>
      </c>
      <c r="K195" s="31"/>
      <c r="L195" s="31" t="str">
        <f ca="1">IFERROR(__xludf.dummyfunction("CONCATENATE(ArrayFormula(""; ""&amp;QUERY(Hallazgos!A:F,""SELECT B WHERE E CONTAINS '""&amp;A195&amp;""' LABEL B ''"")))"),"#N/A")</f>
        <v>#N/A</v>
      </c>
    </row>
    <row r="196" spans="1:12" ht="199.5" x14ac:dyDescent="0.2">
      <c r="A196" s="40" t="s">
        <v>596</v>
      </c>
      <c r="B196" s="40" t="s">
        <v>597</v>
      </c>
      <c r="C196" s="34" t="s">
        <v>182</v>
      </c>
      <c r="D196" s="34" t="s">
        <v>258</v>
      </c>
      <c r="E196" s="34" t="s">
        <v>166</v>
      </c>
      <c r="F196" s="34" t="s">
        <v>450</v>
      </c>
      <c r="G196" s="35" t="s">
        <v>14</v>
      </c>
      <c r="H196" s="35" t="s">
        <v>14</v>
      </c>
      <c r="I196" s="35" t="s">
        <v>14</v>
      </c>
      <c r="J196" s="35" t="str">
        <f t="shared" si="9"/>
        <v>-</v>
      </c>
      <c r="K196" s="31"/>
      <c r="L196" s="31" t="str">
        <f ca="1">IFERROR(__xludf.dummyfunction("CONCATENATE(ArrayFormula(""; ""&amp;QUERY(Hallazgos!A:F,""SELECT B WHERE E CONTAINS '""&amp;A196&amp;""' LABEL B ''"")))"),"#N/A")</f>
        <v>#N/A</v>
      </c>
    </row>
    <row r="197" spans="1:12" ht="270.75" x14ac:dyDescent="0.2">
      <c r="A197" s="40" t="s">
        <v>598</v>
      </c>
      <c r="B197" s="40" t="s">
        <v>599</v>
      </c>
      <c r="C197" s="34" t="s">
        <v>164</v>
      </c>
      <c r="D197" s="34" t="s">
        <v>258</v>
      </c>
      <c r="E197" s="34" t="s">
        <v>272</v>
      </c>
      <c r="F197" s="34" t="s">
        <v>161</v>
      </c>
      <c r="G197" s="35" t="s">
        <v>14</v>
      </c>
      <c r="H197" s="35" t="s">
        <v>14</v>
      </c>
      <c r="I197" s="35" t="s">
        <v>14</v>
      </c>
      <c r="J197" s="35" t="str">
        <f t="shared" si="9"/>
        <v>-</v>
      </c>
      <c r="K197" s="31"/>
      <c r="L197" s="31" t="str">
        <f ca="1">IFERROR(__xludf.dummyfunction("CONCATENATE(ArrayFormula(""; ""&amp;QUERY(Hallazgos!A:F,""SELECT B WHERE E CONTAINS '""&amp;A197&amp;""' LABEL B ''"")))"),"#N/A")</f>
        <v>#N/A</v>
      </c>
    </row>
    <row r="198" spans="1:12" ht="185.25" x14ac:dyDescent="0.2">
      <c r="A198" s="40" t="s">
        <v>600</v>
      </c>
      <c r="B198" s="40" t="s">
        <v>601</v>
      </c>
      <c r="C198" s="34" t="s">
        <v>164</v>
      </c>
      <c r="D198" s="34" t="s">
        <v>258</v>
      </c>
      <c r="E198" s="34" t="s">
        <v>160</v>
      </c>
      <c r="F198" s="34" t="s">
        <v>161</v>
      </c>
      <c r="G198" s="35" t="s">
        <v>14</v>
      </c>
      <c r="H198" s="35" t="s">
        <v>14</v>
      </c>
      <c r="I198" s="35" t="s">
        <v>14</v>
      </c>
      <c r="J198" s="35" t="str">
        <f t="shared" si="9"/>
        <v>-</v>
      </c>
      <c r="K198" s="31"/>
      <c r="L198" s="31" t="str">
        <f ca="1">IFERROR(__xludf.dummyfunction("CONCATENATE(ArrayFormula(""; ""&amp;QUERY(Hallazgos!A:F,""SELECT B WHERE E CONTAINS '""&amp;A198&amp;""' LABEL B ''"")))"),"#N/A")</f>
        <v>#N/A</v>
      </c>
    </row>
    <row r="199" spans="1:12" ht="128.25" x14ac:dyDescent="0.2">
      <c r="A199" s="40" t="s">
        <v>602</v>
      </c>
      <c r="B199" s="40" t="s">
        <v>603</v>
      </c>
      <c r="C199" s="34" t="s">
        <v>164</v>
      </c>
      <c r="D199" s="34" t="s">
        <v>258</v>
      </c>
      <c r="E199" s="34" t="s">
        <v>160</v>
      </c>
      <c r="F199" s="34" t="s">
        <v>161</v>
      </c>
      <c r="G199" s="35" t="s">
        <v>14</v>
      </c>
      <c r="H199" s="35" t="s">
        <v>14</v>
      </c>
      <c r="I199" s="35" t="s">
        <v>14</v>
      </c>
      <c r="J199" s="35" t="str">
        <f t="shared" si="9"/>
        <v>-</v>
      </c>
      <c r="K199" s="31"/>
      <c r="L199" s="31" t="str">
        <f ca="1">IFERROR(__xludf.dummyfunction("CONCATENATE(ArrayFormula(""; ""&amp;QUERY(Hallazgos!A:F,""SELECT B WHERE E CONTAINS '""&amp;A199&amp;""' LABEL B ''"")))"),"#N/A")</f>
        <v>#N/A</v>
      </c>
    </row>
    <row r="200" spans="1:12" ht="242.25" x14ac:dyDescent="0.2">
      <c r="A200" s="40" t="s">
        <v>604</v>
      </c>
      <c r="B200" s="40" t="s">
        <v>605</v>
      </c>
      <c r="C200" s="34" t="s">
        <v>182</v>
      </c>
      <c r="D200" s="34" t="s">
        <v>258</v>
      </c>
      <c r="E200" s="34" t="s">
        <v>166</v>
      </c>
      <c r="F200" s="34" t="s">
        <v>191</v>
      </c>
      <c r="G200" s="35" t="s">
        <v>14</v>
      </c>
      <c r="H200" s="35" t="s">
        <v>14</v>
      </c>
      <c r="I200" s="35" t="s">
        <v>14</v>
      </c>
      <c r="J200" s="35" t="str">
        <f t="shared" si="9"/>
        <v>-</v>
      </c>
      <c r="K200" s="31"/>
      <c r="L200" s="31" t="str">
        <f ca="1">IFERROR(__xludf.dummyfunction("CONCATENATE(ArrayFormula(""; ""&amp;QUERY(Hallazgos!A:F,""SELECT B WHERE E CONTAINS '""&amp;A200&amp;""' LABEL B ''"")))"),"#N/A")</f>
        <v>#N/A</v>
      </c>
    </row>
    <row r="201" spans="1:12" ht="185.25" x14ac:dyDescent="0.2">
      <c r="A201" s="40" t="s">
        <v>606</v>
      </c>
      <c r="B201" s="40" t="s">
        <v>607</v>
      </c>
      <c r="C201" s="34" t="s">
        <v>182</v>
      </c>
      <c r="D201" s="34" t="s">
        <v>258</v>
      </c>
      <c r="E201" s="34" t="s">
        <v>166</v>
      </c>
      <c r="F201" s="34" t="s">
        <v>191</v>
      </c>
      <c r="G201" s="35" t="s">
        <v>14</v>
      </c>
      <c r="H201" s="35" t="s">
        <v>14</v>
      </c>
      <c r="I201" s="35" t="s">
        <v>14</v>
      </c>
      <c r="J201" s="35" t="str">
        <f t="shared" si="9"/>
        <v>-</v>
      </c>
      <c r="K201" s="31"/>
      <c r="L201" s="31" t="str">
        <f ca="1">IFERROR(__xludf.dummyfunction("CONCATENATE(ArrayFormula(""; ""&amp;QUERY(Hallazgos!A:F,""SELECT B WHERE E CONTAINS '""&amp;A201&amp;""' LABEL B ''"")))"),"#N/A")</f>
        <v>#N/A</v>
      </c>
    </row>
    <row r="202" spans="1:12" ht="299.25" x14ac:dyDescent="0.2">
      <c r="A202" s="40" t="s">
        <v>608</v>
      </c>
      <c r="B202" s="40" t="s">
        <v>609</v>
      </c>
      <c r="C202" s="34" t="s">
        <v>182</v>
      </c>
      <c r="D202" s="34" t="s">
        <v>610</v>
      </c>
      <c r="E202" s="34" t="s">
        <v>166</v>
      </c>
      <c r="F202" s="34" t="s">
        <v>161</v>
      </c>
      <c r="G202" s="35" t="s">
        <v>14</v>
      </c>
      <c r="H202" s="35" t="s">
        <v>14</v>
      </c>
      <c r="I202" s="35" t="s">
        <v>14</v>
      </c>
      <c r="J202" s="35" t="str">
        <f t="shared" si="9"/>
        <v>-</v>
      </c>
      <c r="K202" s="31"/>
      <c r="L202" s="31" t="str">
        <f ca="1">IFERROR(__xludf.dummyfunction("CONCATENATE(ArrayFormula(""; ""&amp;QUERY(Hallazgos!A:F,""SELECT B WHERE E CONTAINS '""&amp;A202&amp;""' LABEL B ''"")))"),"#N/A")</f>
        <v>#N/A</v>
      </c>
    </row>
    <row r="203" spans="1:12" ht="285" x14ac:dyDescent="0.2">
      <c r="A203" s="40" t="s">
        <v>611</v>
      </c>
      <c r="B203" s="40" t="s">
        <v>612</v>
      </c>
      <c r="C203" s="34" t="s">
        <v>182</v>
      </c>
      <c r="D203" s="34" t="s">
        <v>610</v>
      </c>
      <c r="E203" s="34" t="s">
        <v>166</v>
      </c>
      <c r="F203" s="34" t="s">
        <v>161</v>
      </c>
      <c r="G203" s="35" t="s">
        <v>14</v>
      </c>
      <c r="H203" s="35" t="s">
        <v>14</v>
      </c>
      <c r="I203" s="35" t="s">
        <v>14</v>
      </c>
      <c r="J203" s="35" t="str">
        <f t="shared" si="9"/>
        <v>-</v>
      </c>
      <c r="K203" s="31"/>
      <c r="L203" s="31" t="str">
        <f ca="1">IFERROR(__xludf.dummyfunction("CONCATENATE(ArrayFormula(""; ""&amp;QUERY(Hallazgos!A:F,""SELECT B WHERE E CONTAINS '""&amp;A203&amp;""' LABEL B ''"")))"),"#N/A")</f>
        <v>#N/A</v>
      </c>
    </row>
    <row r="204" spans="1:12" ht="256.5" x14ac:dyDescent="0.2">
      <c r="A204" s="40" t="s">
        <v>613</v>
      </c>
      <c r="B204" s="40" t="s">
        <v>614</v>
      </c>
      <c r="C204" s="34" t="s">
        <v>182</v>
      </c>
      <c r="D204" s="34" t="s">
        <v>610</v>
      </c>
      <c r="E204" s="34" t="s">
        <v>166</v>
      </c>
      <c r="F204" s="34" t="s">
        <v>167</v>
      </c>
      <c r="G204" s="35" t="s">
        <v>14</v>
      </c>
      <c r="H204" s="35" t="s">
        <v>14</v>
      </c>
      <c r="I204" s="35" t="s">
        <v>14</v>
      </c>
      <c r="J204" s="35" t="str">
        <f t="shared" si="9"/>
        <v>-</v>
      </c>
      <c r="K204" s="31"/>
      <c r="L204" s="31" t="str">
        <f ca="1">IFERROR(__xludf.dummyfunction("CONCATENATE(ArrayFormula(""; ""&amp;QUERY(Hallazgos!A:F,""SELECT B WHERE E CONTAINS '""&amp;A204&amp;""' LABEL B ''"")))"),"#N/A")</f>
        <v>#N/A</v>
      </c>
    </row>
    <row r="205" spans="1:12" ht="156.75" x14ac:dyDescent="0.2">
      <c r="A205" s="40" t="s">
        <v>615</v>
      </c>
      <c r="B205" s="40" t="s">
        <v>616</v>
      </c>
      <c r="C205" s="34" t="s">
        <v>182</v>
      </c>
      <c r="D205" s="34" t="s">
        <v>610</v>
      </c>
      <c r="E205" s="34" t="s">
        <v>166</v>
      </c>
      <c r="F205" s="34" t="s">
        <v>161</v>
      </c>
      <c r="G205" s="35" t="s">
        <v>14</v>
      </c>
      <c r="H205" s="35" t="s">
        <v>14</v>
      </c>
      <c r="I205" s="35" t="s">
        <v>14</v>
      </c>
      <c r="J205" s="35" t="str">
        <f t="shared" si="9"/>
        <v>-</v>
      </c>
      <c r="K205" s="31"/>
      <c r="L205" s="31" t="str">
        <f ca="1">IFERROR(__xludf.dummyfunction("CONCATENATE(ArrayFormula(""; ""&amp;QUERY(Hallazgos!A:F,""SELECT B WHERE E CONTAINS '""&amp;A205&amp;""' LABEL B ''"")))"),"#N/A")</f>
        <v>#N/A</v>
      </c>
    </row>
    <row r="206" spans="1:12" ht="171" x14ac:dyDescent="0.2">
      <c r="A206" s="40" t="s">
        <v>617</v>
      </c>
      <c r="B206" s="40" t="s">
        <v>618</v>
      </c>
      <c r="C206" s="34" t="s">
        <v>164</v>
      </c>
      <c r="D206" s="34" t="s">
        <v>258</v>
      </c>
      <c r="E206" s="34" t="s">
        <v>619</v>
      </c>
      <c r="F206" s="34" t="s">
        <v>161</v>
      </c>
      <c r="G206" s="35" t="s">
        <v>14</v>
      </c>
      <c r="H206" s="35" t="s">
        <v>14</v>
      </c>
      <c r="I206" s="35" t="s">
        <v>14</v>
      </c>
      <c r="J206" s="35" t="str">
        <f t="shared" si="9"/>
        <v>-</v>
      </c>
      <c r="K206" s="31"/>
      <c r="L206" s="31" t="str">
        <f ca="1">IFERROR(__xludf.dummyfunction("CONCATENATE(ArrayFormula(""; ""&amp;QUERY(Hallazgos!A:F,""SELECT B WHERE E CONTAINS '""&amp;A206&amp;""' LABEL B ''"")))"),"#N/A")</f>
        <v>#N/A</v>
      </c>
    </row>
    <row r="207" spans="1:12" ht="228" x14ac:dyDescent="0.2">
      <c r="A207" s="40" t="s">
        <v>620</v>
      </c>
      <c r="B207" s="40" t="s">
        <v>621</v>
      </c>
      <c r="C207" s="34" t="s">
        <v>164</v>
      </c>
      <c r="D207" s="34" t="s">
        <v>258</v>
      </c>
      <c r="E207" s="34" t="s">
        <v>619</v>
      </c>
      <c r="F207" s="34" t="s">
        <v>161</v>
      </c>
      <c r="G207" s="35" t="s">
        <v>14</v>
      </c>
      <c r="H207" s="35" t="s">
        <v>14</v>
      </c>
      <c r="I207" s="35" t="s">
        <v>14</v>
      </c>
      <c r="J207" s="35" t="str">
        <f t="shared" si="9"/>
        <v>-</v>
      </c>
      <c r="K207" s="31"/>
      <c r="L207" s="31" t="str">
        <f ca="1">IFERROR(__xludf.dummyfunction("CONCATENATE(ArrayFormula(""; ""&amp;QUERY(Hallazgos!A:F,""SELECT B WHERE E CONTAINS '""&amp;A207&amp;""' LABEL B ''"")))"),"#N/A")</f>
        <v>#N/A</v>
      </c>
    </row>
    <row r="208" spans="1:12" ht="213.75" x14ac:dyDescent="0.2">
      <c r="A208" s="40" t="s">
        <v>622</v>
      </c>
      <c r="B208" s="40" t="s">
        <v>623</v>
      </c>
      <c r="C208" s="34" t="s">
        <v>158</v>
      </c>
      <c r="D208" s="34" t="s">
        <v>210</v>
      </c>
      <c r="E208" s="34" t="s">
        <v>205</v>
      </c>
      <c r="F208" s="34" t="s">
        <v>194</v>
      </c>
      <c r="G208" s="35" t="s">
        <v>14</v>
      </c>
      <c r="H208" s="35" t="s">
        <v>14</v>
      </c>
      <c r="I208" s="35" t="s">
        <v>14</v>
      </c>
      <c r="J208" s="35" t="str">
        <f t="shared" si="9"/>
        <v>-</v>
      </c>
      <c r="K208" s="31"/>
      <c r="L208" s="31" t="str">
        <f ca="1">IFERROR(__xludf.dummyfunction("CONCATENATE(ArrayFormula(""; ""&amp;QUERY(Hallazgos!A:F,""SELECT B WHERE E CONTAINS '""&amp;A208&amp;""' LABEL B ''"")))"),"#N/A")</f>
        <v>#N/A</v>
      </c>
    </row>
    <row r="209" spans="1:12" ht="142.5" x14ac:dyDescent="0.2">
      <c r="A209" s="40" t="s">
        <v>624</v>
      </c>
      <c r="B209" s="40" t="s">
        <v>625</v>
      </c>
      <c r="C209" s="34" t="s">
        <v>158</v>
      </c>
      <c r="D209" s="34" t="s">
        <v>336</v>
      </c>
      <c r="E209" s="34" t="s">
        <v>197</v>
      </c>
      <c r="F209" s="34" t="s">
        <v>194</v>
      </c>
      <c r="G209" s="35" t="s">
        <v>14</v>
      </c>
      <c r="H209" s="35" t="s">
        <v>14</v>
      </c>
      <c r="I209" s="35" t="s">
        <v>14</v>
      </c>
      <c r="J209" s="35" t="str">
        <f t="shared" si="9"/>
        <v>-</v>
      </c>
      <c r="K209" s="31"/>
      <c r="L209" s="31" t="str">
        <f ca="1">IFERROR(__xludf.dummyfunction("CONCATENATE(ArrayFormula(""; ""&amp;QUERY(Hallazgos!A:F,""SELECT B WHERE E CONTAINS '""&amp;A209&amp;""' LABEL B ''"")))"),"#N/A")</f>
        <v>#N/A</v>
      </c>
    </row>
    <row r="210" spans="1:12" ht="242.25" x14ac:dyDescent="0.2">
      <c r="A210" s="40" t="s">
        <v>626</v>
      </c>
      <c r="B210" s="40" t="s">
        <v>627</v>
      </c>
      <c r="C210" s="34" t="s">
        <v>158</v>
      </c>
      <c r="D210" s="34" t="s">
        <v>336</v>
      </c>
      <c r="E210" s="34" t="s">
        <v>221</v>
      </c>
      <c r="F210" s="34" t="s">
        <v>161</v>
      </c>
      <c r="G210" s="35" t="s">
        <v>14</v>
      </c>
      <c r="H210" s="35" t="s">
        <v>14</v>
      </c>
      <c r="I210" s="35" t="s">
        <v>14</v>
      </c>
      <c r="J210" s="35" t="str">
        <f t="shared" si="9"/>
        <v>-</v>
      </c>
      <c r="K210" s="31"/>
      <c r="L210" s="31" t="str">
        <f ca="1">IFERROR(__xludf.dummyfunction("CONCATENATE(ArrayFormula(""; ""&amp;QUERY(Hallazgos!A:F,""SELECT B WHERE E CONTAINS '""&amp;A210&amp;""' LABEL B ''"")))"),"#N/A")</f>
        <v>#N/A</v>
      </c>
    </row>
    <row r="211" spans="1:12" ht="228" x14ac:dyDescent="0.2">
      <c r="A211" s="40" t="s">
        <v>628</v>
      </c>
      <c r="B211" s="40" t="s">
        <v>629</v>
      </c>
      <c r="C211" s="34" t="s">
        <v>158</v>
      </c>
      <c r="D211" s="34" t="s">
        <v>336</v>
      </c>
      <c r="E211" s="34" t="s">
        <v>227</v>
      </c>
      <c r="F211" s="34" t="s">
        <v>161</v>
      </c>
      <c r="G211" s="35" t="s">
        <v>14</v>
      </c>
      <c r="H211" s="35" t="s">
        <v>14</v>
      </c>
      <c r="I211" s="35" t="s">
        <v>14</v>
      </c>
      <c r="J211" s="35" t="str">
        <f t="shared" si="9"/>
        <v>-</v>
      </c>
      <c r="K211" s="31"/>
      <c r="L211" s="31" t="str">
        <f ca="1">IFERROR(__xludf.dummyfunction("CONCATENATE(ArrayFormula(""; ""&amp;QUERY(Hallazgos!A:F,""SELECT B WHERE E CONTAINS '""&amp;A211&amp;""' LABEL B ''"")))"),"#N/A")</f>
        <v>#N/A</v>
      </c>
    </row>
    <row r="212" spans="1:12" ht="270.75" x14ac:dyDescent="0.2">
      <c r="A212" s="40" t="s">
        <v>630</v>
      </c>
      <c r="B212" s="40" t="s">
        <v>631</v>
      </c>
      <c r="C212" s="34" t="s">
        <v>158</v>
      </c>
      <c r="D212" s="34" t="s">
        <v>200</v>
      </c>
      <c r="E212" s="34" t="s">
        <v>227</v>
      </c>
      <c r="F212" s="34" t="s">
        <v>161</v>
      </c>
      <c r="G212" s="35" t="s">
        <v>14</v>
      </c>
      <c r="H212" s="35" t="s">
        <v>14</v>
      </c>
      <c r="I212" s="35" t="s">
        <v>14</v>
      </c>
      <c r="J212" s="35" t="str">
        <f t="shared" si="9"/>
        <v>-</v>
      </c>
      <c r="K212" s="31"/>
      <c r="L212" s="31" t="str">
        <f ca="1">IFERROR(__xludf.dummyfunction("CONCATENATE(ArrayFormula(""; ""&amp;QUERY(Hallazgos!A:F,""SELECT B WHERE E CONTAINS '""&amp;A212&amp;""' LABEL B ''"")))"),"#N/A")</f>
        <v>#N/A</v>
      </c>
    </row>
    <row r="213" spans="1:12" ht="213.75" x14ac:dyDescent="0.2">
      <c r="A213" s="40" t="s">
        <v>632</v>
      </c>
      <c r="B213" s="40" t="s">
        <v>633</v>
      </c>
      <c r="C213" s="34" t="s">
        <v>158</v>
      </c>
      <c r="D213" s="34" t="s">
        <v>210</v>
      </c>
      <c r="E213" s="34" t="s">
        <v>205</v>
      </c>
      <c r="F213" s="34" t="s">
        <v>194</v>
      </c>
      <c r="G213" s="35" t="s">
        <v>14</v>
      </c>
      <c r="H213" s="35" t="s">
        <v>14</v>
      </c>
      <c r="I213" s="35" t="s">
        <v>14</v>
      </c>
      <c r="J213" s="35" t="str">
        <f t="shared" si="9"/>
        <v>-</v>
      </c>
      <c r="K213" s="31"/>
      <c r="L213" s="31" t="str">
        <f ca="1">IFERROR(__xludf.dummyfunction("CONCATENATE(ArrayFormula(""; ""&amp;QUERY(Hallazgos!A:F,""SELECT B WHERE E CONTAINS '""&amp;A213&amp;""' LABEL B ''"")))"),"#N/A")</f>
        <v>#N/A</v>
      </c>
    </row>
    <row r="214" spans="1:12" ht="242.25" x14ac:dyDescent="0.2">
      <c r="A214" s="40" t="s">
        <v>634</v>
      </c>
      <c r="B214" s="40" t="s">
        <v>635</v>
      </c>
      <c r="C214" s="34" t="s">
        <v>164</v>
      </c>
      <c r="D214" s="34" t="s">
        <v>263</v>
      </c>
      <c r="E214" s="34" t="s">
        <v>160</v>
      </c>
      <c r="F214" s="34" t="s">
        <v>167</v>
      </c>
      <c r="G214" s="35" t="s">
        <v>14</v>
      </c>
      <c r="H214" s="35" t="s">
        <v>14</v>
      </c>
      <c r="I214" s="35" t="s">
        <v>14</v>
      </c>
      <c r="J214" s="35" t="str">
        <f t="shared" si="9"/>
        <v>-</v>
      </c>
      <c r="K214" s="31"/>
      <c r="L214" s="31" t="str">
        <f ca="1">IFERROR(__xludf.dummyfunction("CONCATENATE(ArrayFormula(""; ""&amp;QUERY(Hallazgos!A:F,""SELECT B WHERE E CONTAINS '""&amp;A214&amp;""' LABEL B ''"")))"),"#N/A")</f>
        <v>#N/A</v>
      </c>
    </row>
    <row r="215" spans="1:12" ht="185.25" x14ac:dyDescent="0.2">
      <c r="A215" s="40" t="s">
        <v>636</v>
      </c>
      <c r="B215" s="40" t="s">
        <v>637</v>
      </c>
      <c r="C215" s="34" t="s">
        <v>164</v>
      </c>
      <c r="D215" s="34" t="s">
        <v>263</v>
      </c>
      <c r="E215" s="34" t="s">
        <v>160</v>
      </c>
      <c r="F215" s="34" t="s">
        <v>167</v>
      </c>
      <c r="G215" s="35" t="s">
        <v>14</v>
      </c>
      <c r="H215" s="35" t="s">
        <v>14</v>
      </c>
      <c r="I215" s="35" t="s">
        <v>14</v>
      </c>
      <c r="J215" s="35" t="str">
        <f t="shared" si="9"/>
        <v>-</v>
      </c>
      <c r="K215" s="31"/>
      <c r="L215" s="31" t="str">
        <f ca="1">IFERROR(__xludf.dummyfunction("CONCATENATE(ArrayFormula(""; ""&amp;QUERY(Hallazgos!A:F,""SELECT B WHERE E CONTAINS '""&amp;A215&amp;""' LABEL B ''"")))"),"#N/A")</f>
        <v>#N/A</v>
      </c>
    </row>
    <row r="216" spans="1:12" ht="213.75" x14ac:dyDescent="0.2">
      <c r="A216" s="40" t="s">
        <v>638</v>
      </c>
      <c r="B216" s="40" t="s">
        <v>639</v>
      </c>
      <c r="C216" s="34" t="s">
        <v>164</v>
      </c>
      <c r="D216" s="34" t="s">
        <v>263</v>
      </c>
      <c r="E216" s="34" t="s">
        <v>160</v>
      </c>
      <c r="F216" s="34" t="s">
        <v>450</v>
      </c>
      <c r="G216" s="35" t="s">
        <v>14</v>
      </c>
      <c r="H216" s="35" t="s">
        <v>14</v>
      </c>
      <c r="I216" s="35" t="s">
        <v>14</v>
      </c>
      <c r="J216" s="35" t="str">
        <f t="shared" si="9"/>
        <v>-</v>
      </c>
      <c r="K216" s="31"/>
      <c r="L216" s="31" t="str">
        <f ca="1">IFERROR(__xludf.dummyfunction("CONCATENATE(ArrayFormula(""; ""&amp;QUERY(Hallazgos!A:F,""SELECT B WHERE E CONTAINS '""&amp;A216&amp;""' LABEL B ''"")))"),"#N/A")</f>
        <v>#N/A</v>
      </c>
    </row>
    <row r="217" spans="1:12" ht="213.75" x14ac:dyDescent="0.2">
      <c r="A217" s="40" t="s">
        <v>640</v>
      </c>
      <c r="B217" s="40" t="s">
        <v>641</v>
      </c>
      <c r="C217" s="34" t="s">
        <v>164</v>
      </c>
      <c r="D217" s="34" t="s">
        <v>263</v>
      </c>
      <c r="E217" s="34" t="s">
        <v>160</v>
      </c>
      <c r="F217" s="34" t="s">
        <v>194</v>
      </c>
      <c r="G217" s="35" t="s">
        <v>14</v>
      </c>
      <c r="H217" s="35" t="s">
        <v>14</v>
      </c>
      <c r="I217" s="35" t="s">
        <v>14</v>
      </c>
      <c r="J217" s="35" t="str">
        <f t="shared" si="9"/>
        <v>-</v>
      </c>
      <c r="K217" s="31"/>
      <c r="L217" s="31" t="str">
        <f ca="1">IFERROR(__xludf.dummyfunction("CONCATENATE(ArrayFormula(""; ""&amp;QUERY(Hallazgos!A:F,""SELECT B WHERE E CONTAINS '""&amp;A217&amp;""' LABEL B ''"")))"),"#N/A")</f>
        <v>#N/A</v>
      </c>
    </row>
    <row r="218" spans="1:12" ht="185.25" x14ac:dyDescent="0.2">
      <c r="A218" s="40" t="s">
        <v>642</v>
      </c>
      <c r="B218" s="40" t="s">
        <v>643</v>
      </c>
      <c r="C218" s="34" t="s">
        <v>164</v>
      </c>
      <c r="D218" s="34" t="s">
        <v>263</v>
      </c>
      <c r="E218" s="34" t="s">
        <v>160</v>
      </c>
      <c r="F218" s="34" t="s">
        <v>161</v>
      </c>
      <c r="G218" s="35" t="s">
        <v>14</v>
      </c>
      <c r="H218" s="35" t="s">
        <v>14</v>
      </c>
      <c r="I218" s="35" t="s">
        <v>14</v>
      </c>
      <c r="J218" s="35" t="str">
        <f t="shared" si="9"/>
        <v>-</v>
      </c>
      <c r="K218" s="31"/>
      <c r="L218" s="31" t="str">
        <f ca="1">IFERROR(__xludf.dummyfunction("CONCATENATE(ArrayFormula(""; ""&amp;QUERY(Hallazgos!A:F,""SELECT B WHERE E CONTAINS '""&amp;A218&amp;""' LABEL B ''"")))"),"#N/A")</f>
        <v>#N/A</v>
      </c>
    </row>
    <row r="219" spans="1:12" ht="199.5" x14ac:dyDescent="0.2">
      <c r="A219" s="40" t="s">
        <v>644</v>
      </c>
      <c r="B219" s="40" t="s">
        <v>645</v>
      </c>
      <c r="C219" s="34" t="s">
        <v>164</v>
      </c>
      <c r="D219" s="34" t="s">
        <v>258</v>
      </c>
      <c r="E219" s="34" t="s">
        <v>205</v>
      </c>
      <c r="F219" s="34" t="s">
        <v>161</v>
      </c>
      <c r="G219" s="35" t="s">
        <v>14</v>
      </c>
      <c r="H219" s="35" t="s">
        <v>14</v>
      </c>
      <c r="I219" s="35" t="s">
        <v>14</v>
      </c>
      <c r="J219" s="35" t="str">
        <f t="shared" si="9"/>
        <v>-</v>
      </c>
      <c r="K219" s="31"/>
      <c r="L219" s="31" t="str">
        <f ca="1">IFERROR(__xludf.dummyfunction("CONCATENATE(ArrayFormula(""; ""&amp;QUERY(Hallazgos!A:F,""SELECT B WHERE E CONTAINS '""&amp;A219&amp;""' LABEL B ''"")))"),"#N/A")</f>
        <v>#N/A</v>
      </c>
    </row>
    <row r="220" spans="1:12" ht="14.25" x14ac:dyDescent="0.2">
      <c r="A220" s="41"/>
      <c r="B220" s="42"/>
      <c r="C220" s="42"/>
      <c r="D220" s="41"/>
      <c r="E220" s="41"/>
      <c r="F220" s="41"/>
      <c r="G220" s="43"/>
      <c r="H220" s="43"/>
      <c r="I220" s="43"/>
      <c r="J220" s="41"/>
      <c r="K220" s="44"/>
      <c r="L220" s="41"/>
    </row>
    <row r="221" spans="1:12" ht="14.25" x14ac:dyDescent="0.2">
      <c r="A221" s="45"/>
      <c r="B221" s="46" t="s">
        <v>646</v>
      </c>
      <c r="C221" s="47" t="s">
        <v>647</v>
      </c>
      <c r="D221" s="48"/>
      <c r="E221" s="49"/>
      <c r="F221" s="49"/>
      <c r="G221" s="50"/>
      <c r="H221" s="51"/>
      <c r="I221" s="51"/>
      <c r="J221" s="52"/>
      <c r="K221" s="53"/>
      <c r="L221" s="52"/>
    </row>
    <row r="222" spans="1:12" ht="14.25" x14ac:dyDescent="0.2">
      <c r="A222" s="45"/>
      <c r="B222" s="54" t="s">
        <v>648</v>
      </c>
      <c r="C222" s="35">
        <f>COUNTIF(J3:J219,"DP")</f>
        <v>0</v>
      </c>
      <c r="D222" s="55"/>
      <c r="E222" s="52"/>
      <c r="F222" s="52"/>
      <c r="G222" s="56"/>
      <c r="H222" s="51"/>
      <c r="I222" s="51"/>
      <c r="J222" s="52"/>
      <c r="K222" s="53"/>
      <c r="L222" s="52"/>
    </row>
    <row r="223" spans="1:12" ht="14.25" x14ac:dyDescent="0.2">
      <c r="A223" s="45"/>
      <c r="B223" s="54" t="s">
        <v>649</v>
      </c>
      <c r="C223" s="35">
        <f>COUNTIF(J3:J219,"SP")</f>
        <v>0</v>
      </c>
      <c r="D223" s="55"/>
      <c r="E223" s="52"/>
      <c r="F223" s="52"/>
      <c r="G223" s="56"/>
      <c r="H223" s="51"/>
      <c r="I223" s="51"/>
      <c r="J223" s="52"/>
      <c r="K223" s="53"/>
      <c r="L223" s="52"/>
    </row>
    <row r="224" spans="1:12" ht="14.25" x14ac:dyDescent="0.2">
      <c r="A224" s="45"/>
      <c r="B224" s="54" t="s">
        <v>650</v>
      </c>
      <c r="C224" s="35">
        <f>COUNTIF(J3:J219,"SD")</f>
        <v>0</v>
      </c>
      <c r="D224" s="55"/>
      <c r="E224" s="52"/>
      <c r="F224" s="52"/>
      <c r="G224" s="56"/>
      <c r="H224" s="51"/>
      <c r="I224" s="51"/>
      <c r="J224" s="52"/>
      <c r="K224" s="53"/>
      <c r="L224" s="52"/>
    </row>
    <row r="225" spans="1:12" ht="14.25" x14ac:dyDescent="0.2">
      <c r="A225" s="52"/>
      <c r="B225" s="42"/>
      <c r="C225" s="42"/>
      <c r="D225" s="28"/>
      <c r="E225" s="28"/>
      <c r="F225" s="52"/>
      <c r="G225" s="51"/>
      <c r="H225" s="51"/>
      <c r="I225" s="51"/>
      <c r="J225" s="52"/>
      <c r="K225" s="53"/>
      <c r="L225" s="52"/>
    </row>
    <row r="226" spans="1:12" ht="14.25" x14ac:dyDescent="0.2">
      <c r="A226" s="45"/>
      <c r="B226" s="46" t="s">
        <v>651</v>
      </c>
      <c r="C226" s="47" t="s">
        <v>652</v>
      </c>
      <c r="D226" s="47" t="s">
        <v>653</v>
      </c>
      <c r="E226" s="47" t="s">
        <v>654</v>
      </c>
      <c r="F226" s="48"/>
      <c r="G226" s="50"/>
      <c r="H226" s="50"/>
      <c r="I226" s="50"/>
      <c r="J226" s="52"/>
      <c r="K226" s="53"/>
      <c r="L226" s="52"/>
    </row>
    <row r="227" spans="1:12" ht="14.25" x14ac:dyDescent="0.2">
      <c r="A227" s="45"/>
      <c r="B227" s="54" t="s">
        <v>655</v>
      </c>
      <c r="C227" s="57" t="str">
        <f>IFERROR(D227/(D227+E227),"Error")</f>
        <v>Error</v>
      </c>
      <c r="D227" s="58">
        <f>COUNTIF(G2:G219,"Sí")</f>
        <v>0</v>
      </c>
      <c r="E227" s="58">
        <f>COUNTIF(G2:G219,"No")</f>
        <v>0</v>
      </c>
      <c r="F227" s="55"/>
      <c r="G227" s="59"/>
      <c r="H227" s="51"/>
      <c r="I227" s="51"/>
      <c r="J227" s="52"/>
      <c r="K227" s="53"/>
      <c r="L227" s="52"/>
    </row>
    <row r="228" spans="1:12" ht="14.25" x14ac:dyDescent="0.2">
      <c r="A228" s="45"/>
      <c r="B228" s="54" t="s">
        <v>656</v>
      </c>
      <c r="C228" s="57" t="str">
        <f>IFERROR(D228/D227, "Error")</f>
        <v>Error</v>
      </c>
      <c r="D228" s="58">
        <f>COUNTIF(H2:H219,"Sí")</f>
        <v>0</v>
      </c>
      <c r="E228" s="58">
        <f>COUNTIF(H2:H219,"No")</f>
        <v>0</v>
      </c>
      <c r="F228" s="55"/>
      <c r="G228" s="59"/>
      <c r="H228" s="51"/>
      <c r="I228" s="51"/>
      <c r="J228" s="52"/>
      <c r="K228" s="53"/>
      <c r="L228" s="52"/>
    </row>
    <row r="229" spans="1:12" ht="14.25" x14ac:dyDescent="0.2">
      <c r="A229" s="45"/>
      <c r="B229" s="54" t="s">
        <v>657</v>
      </c>
      <c r="C229" s="57" t="str">
        <f>IFERROR(D229/D228, "Error")</f>
        <v>Error</v>
      </c>
      <c r="D229" s="58">
        <f>COUNTIF(I2:I219,"Sí")</f>
        <v>0</v>
      </c>
      <c r="E229" s="58">
        <f>COUNTIF(I2:I219,"No")</f>
        <v>0</v>
      </c>
      <c r="F229" s="55"/>
      <c r="G229" s="59"/>
      <c r="H229" s="51"/>
      <c r="I229" s="51"/>
      <c r="J229" s="52"/>
      <c r="K229" s="53"/>
      <c r="L229" s="52"/>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4"/>
  <sheetViews>
    <sheetView zoomScaleNormal="100" workbookViewId="0"/>
  </sheetViews>
  <sheetFormatPr baseColWidth="10" defaultColWidth="9.140625" defaultRowHeight="12.75" x14ac:dyDescent="0.2"/>
  <cols>
    <col min="1" max="1025" width="9.140625" customWidth="1"/>
  </cols>
  <sheetData>
    <row r="1" spans="1:28" ht="14.25" x14ac:dyDescent="0.2">
      <c r="A1" s="60" t="s">
        <v>658</v>
      </c>
      <c r="B1" s="61" t="s">
        <v>659</v>
      </c>
      <c r="C1" s="53"/>
      <c r="D1" s="60" t="s">
        <v>660</v>
      </c>
      <c r="E1" s="60" t="s">
        <v>658</v>
      </c>
      <c r="F1" s="56" t="s">
        <v>661</v>
      </c>
      <c r="G1" s="56" t="s">
        <v>662</v>
      </c>
      <c r="H1" s="56" t="s">
        <v>663</v>
      </c>
      <c r="I1" s="53"/>
      <c r="J1" s="53"/>
      <c r="K1" s="53"/>
      <c r="L1" s="53" t="s">
        <v>664</v>
      </c>
      <c r="M1" s="53"/>
      <c r="N1" s="53"/>
      <c r="O1" s="53"/>
      <c r="P1" s="62" t="str">
        <f ca="1">IFERROR(__xludf.dummyfunction("QUERY(TRANSPOSE((SPLIT(SUBSTITUTE(CONCATENATE(ARRAYFORMULA(QUERY(Hallazgos!A:F,""SELECT E"")&amp;CHAR(9))), CHAR(10), CHAR(9)),CHAR(9)))),""SELECT Col1 WHERE Col1 starts with 'REQ'"")"),"#N/A")</f>
        <v>#N/A</v>
      </c>
      <c r="Q1" s="62">
        <f t="shared" ref="Q1:Q43" ca="1" si="0">IFERROR(MATCH(LEFT(P1,8),INDIRECT($L$1&amp;"!A:A"),1),2)</f>
        <v>2</v>
      </c>
      <c r="R1" s="62" t="str">
        <f t="shared" ref="R1:R43" ca="1" si="1">IF(Q1=2,"",INDIRECT($L$1&amp;"!C"&amp;Q1))</f>
        <v/>
      </c>
      <c r="S1" s="62" t="str">
        <f t="shared" ref="S1:S43" ca="1" si="2">IF(Q1=2,"",INDIRECT($L$1&amp;"!D"&amp;Q1))</f>
        <v/>
      </c>
      <c r="T1" s="62" t="str">
        <f t="shared" ref="T1:T43" ca="1" si="3">IF(Q1=2,"",INDIRECT($L$1&amp;"!E"&amp;Q1))</f>
        <v/>
      </c>
      <c r="U1" s="62" t="str">
        <f t="shared" ref="U1:U43" ca="1" si="4">IF(Q1=2,"",INDIRECT($L$1&amp;"!F"&amp;Q1))</f>
        <v/>
      </c>
      <c r="V1" s="62"/>
      <c r="W1" s="62" t="str">
        <f ca="1">IFERROR(__xludf.dummyfunction("ArrayFormula(Query(IF({1,1},IF(S:S="""","""",S:S)),""SELECT Col1, COUNT(Col2) WHERE Col1 &lt;&gt; '' GROUP BY Col1 Label Col1 '', COUNT(Col2) ''""))"),"#REF!")</f>
        <v>#REF!</v>
      </c>
      <c r="X1" s="62">
        <v>1</v>
      </c>
      <c r="Y1" s="62" t="str">
        <f ca="1">IFERROR(__xludf.dummyfunction("IF(W1="""","""",QUERY(Hallazgos!C:I,""SELECT max(H) WHERE E CONTAINS 'Activo:""&amp;W1&amp;""' LABEL max(H) ''""))"),"#REF!")</f>
        <v>#REF!</v>
      </c>
      <c r="Z1" s="62" t="str">
        <f ca="1">IFERROR(__xludf.dummyfunction("ArrayFormula(Query(IF({1,1},IF(T:T="""","""",T:T)),""SELECT Col1, COUNT(Col2) WHERE Col1 &lt;&gt; '' GROUP BY Col1 Label Col1 '', COUNT(Col2) ''""))"),"#REF!")</f>
        <v>#REF!</v>
      </c>
      <c r="AA1" s="62">
        <v>1</v>
      </c>
      <c r="AB1" s="62" t="str">
        <f ca="1">IFERROR(__xludf.dummyfunction("IF(Z1="""","""",QUERY(Hallazgos!C:I,""SELECT max(H) WHERE E CONTAINS 'Alcance:""&amp;Z1&amp;""' LABEL max(H) ''""))"),"#REF!")</f>
        <v>#REF!</v>
      </c>
    </row>
    <row r="2" spans="1:28" ht="14.25" x14ac:dyDescent="0.2">
      <c r="A2" s="60" t="str">
        <f ca="1">IFERROR(__xludf.dummyfunction("QUERY(Z:AA,""SELECT Z, AA WHERE Z &lt;&gt;'' ORDER BY AA DESC"")"),"#REF!")</f>
        <v>#REF!</v>
      </c>
      <c r="B2" s="56">
        <v>2</v>
      </c>
      <c r="C2" s="53"/>
      <c r="D2" s="60" t="str">
        <f ca="1">IFERROR(__xludf.dummyfunction("QUERY(Z:AB,""SELECT AB, Z WHERE Z&lt;&gt;'' ORDER BY AB DESC"")"),"#REF!")</f>
        <v>#REF!</v>
      </c>
      <c r="E2" s="63" t="s">
        <v>166</v>
      </c>
      <c r="F2" s="52" t="str">
        <f t="shared" ref="F2:F22" ca="1" si="5">IF(D2&gt;6.9,D2,0)</f>
        <v>#REF!</v>
      </c>
      <c r="G2" s="52">
        <f t="shared" ref="G2:G22" ca="1" si="6">IF(AND(D2&lt;7,D2&gt;3.9),D2,0)</f>
        <v>0</v>
      </c>
      <c r="H2" s="52">
        <f t="shared" ref="H2:H22" ca="1" si="7">IF(D2&lt;4,D2,0)</f>
        <v>0</v>
      </c>
      <c r="I2" s="53"/>
      <c r="J2" s="53"/>
      <c r="K2" s="53"/>
      <c r="L2" s="53"/>
      <c r="M2" s="53"/>
      <c r="N2" s="53"/>
      <c r="O2" s="53"/>
      <c r="P2" s="64" t="s">
        <v>665</v>
      </c>
      <c r="Q2" s="62">
        <f t="shared" ca="1" si="0"/>
        <v>2</v>
      </c>
      <c r="R2" s="62" t="str">
        <f t="shared" ca="1" si="1"/>
        <v/>
      </c>
      <c r="S2" s="62" t="str">
        <f t="shared" ca="1" si="2"/>
        <v/>
      </c>
      <c r="T2" s="62" t="str">
        <f t="shared" ca="1" si="3"/>
        <v/>
      </c>
      <c r="U2" s="62" t="str">
        <f t="shared" ca="1" si="4"/>
        <v/>
      </c>
      <c r="V2" s="62"/>
      <c r="W2" s="62" t="s">
        <v>159</v>
      </c>
      <c r="X2" s="62">
        <v>1</v>
      </c>
      <c r="Y2" s="62" t="str">
        <f ca="1">IFERROR(__xludf.dummyfunction("IF(W2="""","""",QUERY(Hallazgos!C:I,""SELECT max(H) WHERE E CONTAINS 'Activo:""&amp;W2&amp;""' LABEL max(H) ''""))"),"#N/A")</f>
        <v>#N/A</v>
      </c>
      <c r="Z2" s="62" t="s">
        <v>250</v>
      </c>
      <c r="AA2" s="62">
        <v>1</v>
      </c>
      <c r="AB2" s="62" t="str">
        <f ca="1">IFERROR(__xludf.dummyfunction("IF(Z2="""","""",QUERY(Hallazgos!C:I,""SELECT max(H) WHERE E CONTAINS 'Alcance:""&amp;Z2&amp;""' LABEL max(H) ''""))"),"#N/A")</f>
        <v>#N/A</v>
      </c>
    </row>
    <row r="3" spans="1:28" ht="14.25" x14ac:dyDescent="0.2">
      <c r="A3" s="60" t="s">
        <v>166</v>
      </c>
      <c r="B3" s="56">
        <v>1</v>
      </c>
      <c r="C3" s="53"/>
      <c r="D3" s="60">
        <v>10</v>
      </c>
      <c r="E3" s="63" t="s">
        <v>250</v>
      </c>
      <c r="F3" s="52">
        <f t="shared" si="5"/>
        <v>10</v>
      </c>
      <c r="G3" s="52">
        <f t="shared" si="6"/>
        <v>0</v>
      </c>
      <c r="H3" s="52">
        <f t="shared" si="7"/>
        <v>0</v>
      </c>
      <c r="I3" s="53"/>
      <c r="J3" s="53"/>
      <c r="K3" s="53"/>
      <c r="L3" s="53"/>
      <c r="M3" s="53"/>
      <c r="N3" s="53"/>
      <c r="O3" s="53"/>
      <c r="P3" s="62" t="s">
        <v>666</v>
      </c>
      <c r="Q3" s="62">
        <f t="shared" ca="1" si="0"/>
        <v>2</v>
      </c>
      <c r="R3" s="62" t="str">
        <f t="shared" ca="1" si="1"/>
        <v/>
      </c>
      <c r="S3" s="62" t="str">
        <f t="shared" ca="1" si="2"/>
        <v/>
      </c>
      <c r="T3" s="62" t="str">
        <f t="shared" ca="1" si="3"/>
        <v/>
      </c>
      <c r="U3" s="62" t="str">
        <f t="shared" ca="1" si="4"/>
        <v/>
      </c>
      <c r="V3" s="62"/>
      <c r="W3" s="62" t="s">
        <v>269</v>
      </c>
      <c r="X3" s="62">
        <v>1</v>
      </c>
      <c r="Y3" s="62" t="str">
        <f ca="1">IFERROR(__xludf.dummyfunction("IF(W3="""","""",QUERY(Hallazgos!C:I,""SELECT max(H) WHERE E CONTAINS 'Activo:""&amp;W3&amp;""' LABEL max(H) ''""))"),"#N/A")</f>
        <v>#N/A</v>
      </c>
      <c r="Z3" s="62" t="s">
        <v>160</v>
      </c>
      <c r="AA3" s="62">
        <v>2</v>
      </c>
      <c r="AB3" s="62" t="str">
        <f ca="1">IFERROR(__xludf.dummyfunction("IF(Z3="""","""",QUERY(Hallazgos!C:I,""SELECT max(H) WHERE E CONTAINS 'Alcance:""&amp;Z3&amp;""' LABEL max(H) ''""))"),"#N/A")</f>
        <v>#N/A</v>
      </c>
    </row>
    <row r="4" spans="1:28" ht="14.25" x14ac:dyDescent="0.2">
      <c r="A4" s="60" t="s">
        <v>250</v>
      </c>
      <c r="B4" s="56">
        <v>1</v>
      </c>
      <c r="C4" s="53"/>
      <c r="D4" s="60">
        <v>10</v>
      </c>
      <c r="E4" s="63" t="s">
        <v>160</v>
      </c>
      <c r="F4" s="52">
        <f t="shared" si="5"/>
        <v>10</v>
      </c>
      <c r="G4" s="52">
        <f t="shared" si="6"/>
        <v>0</v>
      </c>
      <c r="H4" s="52">
        <f t="shared" si="7"/>
        <v>0</v>
      </c>
      <c r="I4" s="53"/>
      <c r="J4" s="53"/>
      <c r="K4" s="53"/>
      <c r="L4" s="53"/>
      <c r="M4" s="53"/>
      <c r="N4" s="53"/>
      <c r="O4" s="53"/>
      <c r="P4" s="62" t="s">
        <v>667</v>
      </c>
      <c r="Q4" s="62">
        <f t="shared" ca="1" si="0"/>
        <v>2</v>
      </c>
      <c r="R4" s="62" t="str">
        <f t="shared" ca="1" si="1"/>
        <v/>
      </c>
      <c r="S4" s="62" t="str">
        <f t="shared" ca="1" si="2"/>
        <v/>
      </c>
      <c r="T4" s="62" t="str">
        <f t="shared" ca="1" si="3"/>
        <v/>
      </c>
      <c r="U4" s="62" t="str">
        <f t="shared" ca="1" si="4"/>
        <v/>
      </c>
      <c r="V4" s="62"/>
      <c r="W4" s="62" t="s">
        <v>210</v>
      </c>
      <c r="X4" s="62">
        <v>1</v>
      </c>
      <c r="Y4" s="62" t="str">
        <f ca="1">IFERROR(__xludf.dummyfunction("IF(W4="""","""",QUERY(Hallazgos!C:I,""SELECT max(H) WHERE E CONTAINS 'Activo:""&amp;W4&amp;""' LABEL max(H) ''""))"),"#N/A")</f>
        <v>#N/A</v>
      </c>
      <c r="Z4" s="62" t="s">
        <v>205</v>
      </c>
      <c r="AA4" s="62">
        <v>1</v>
      </c>
      <c r="AB4" s="62" t="str">
        <f ca="1">IFERROR(__xludf.dummyfunction("IF(Z4="""","""",QUERY(Hallazgos!C:I,""SELECT max(H) WHERE E CONTAINS 'Alcance:""&amp;Z4&amp;""' LABEL max(H) ''""))"),"#N/A")</f>
        <v>#N/A</v>
      </c>
    </row>
    <row r="5" spans="1:28" ht="14.25" x14ac:dyDescent="0.2">
      <c r="A5" s="60" t="s">
        <v>205</v>
      </c>
      <c r="B5" s="56">
        <v>1</v>
      </c>
      <c r="C5" s="53"/>
      <c r="D5" s="60">
        <v>10</v>
      </c>
      <c r="E5" s="63" t="s">
        <v>205</v>
      </c>
      <c r="F5" s="52">
        <f t="shared" si="5"/>
        <v>10</v>
      </c>
      <c r="G5" s="52">
        <f t="shared" si="6"/>
        <v>0</v>
      </c>
      <c r="H5" s="52">
        <f t="shared" si="7"/>
        <v>0</v>
      </c>
      <c r="I5" s="53"/>
      <c r="J5" s="53"/>
      <c r="K5" s="53"/>
      <c r="L5" s="53"/>
      <c r="M5" s="53"/>
      <c r="N5" s="53"/>
      <c r="O5" s="53"/>
      <c r="P5" s="62" t="s">
        <v>668</v>
      </c>
      <c r="Q5" s="62">
        <f t="shared" ca="1" si="0"/>
        <v>2</v>
      </c>
      <c r="R5" s="62" t="str">
        <f t="shared" ca="1" si="1"/>
        <v/>
      </c>
      <c r="S5" s="62" t="str">
        <f t="shared" ca="1" si="2"/>
        <v/>
      </c>
      <c r="T5" s="62" t="str">
        <f t="shared" ca="1" si="3"/>
        <v/>
      </c>
      <c r="U5" s="62" t="str">
        <f t="shared" ca="1" si="4"/>
        <v/>
      </c>
      <c r="V5" s="62"/>
      <c r="W5" s="62" t="s">
        <v>253</v>
      </c>
      <c r="X5" s="62">
        <v>1</v>
      </c>
      <c r="Y5" s="62" t="str">
        <f ca="1">IFERROR(__xludf.dummyfunction("IF(W5="""","""",QUERY(Hallazgos!C:I,""SELECT max(H) WHERE E CONTAINS 'Activo:""&amp;W5&amp;""' LABEL max(H) ''""))"),"#N/A")</f>
        <v>#N/A</v>
      </c>
      <c r="Z5" s="62"/>
      <c r="AA5" s="62"/>
      <c r="AB5" s="62" t="str">
        <f ca="1">IFERROR(__xludf.dummyfunction("IF(Z5="""","""",QUERY(Hallazgos!C:I,""SELECT max(H) WHERE E CONTAINS 'Alcance:""&amp;Z5&amp;""' LABEL max(H) ''""))"),"")</f>
        <v/>
      </c>
    </row>
    <row r="6" spans="1:28" ht="14.25" x14ac:dyDescent="0.2">
      <c r="A6" s="60"/>
      <c r="B6" s="56"/>
      <c r="C6" s="53"/>
      <c r="D6" s="60"/>
      <c r="E6" s="63"/>
      <c r="F6" s="52">
        <f t="shared" si="5"/>
        <v>0</v>
      </c>
      <c r="G6" s="52">
        <f t="shared" si="6"/>
        <v>0</v>
      </c>
      <c r="H6" s="52">
        <f t="shared" si="7"/>
        <v>0</v>
      </c>
      <c r="I6" s="53"/>
      <c r="J6" s="53"/>
      <c r="K6" s="53"/>
      <c r="L6" s="53"/>
      <c r="M6" s="53"/>
      <c r="N6" s="53"/>
      <c r="O6" s="53"/>
      <c r="P6" s="62"/>
      <c r="Q6" s="62">
        <f t="shared" ca="1" si="0"/>
        <v>2</v>
      </c>
      <c r="R6" s="62" t="str">
        <f t="shared" ca="1" si="1"/>
        <v/>
      </c>
      <c r="S6" s="62" t="str">
        <f t="shared" ca="1" si="2"/>
        <v/>
      </c>
      <c r="T6" s="62" t="str">
        <f t="shared" ca="1" si="3"/>
        <v/>
      </c>
      <c r="U6" s="62" t="str">
        <f t="shared" ca="1" si="4"/>
        <v/>
      </c>
      <c r="V6" s="62"/>
      <c r="W6" s="62"/>
      <c r="X6" s="62"/>
      <c r="Y6" s="62" t="str">
        <f ca="1">IFERROR(__xludf.dummyfunction("IF(W6="""","""",QUERY(Hallazgos!C:I,""SELECT max(H) WHERE E CONTAINS 'Activo:""&amp;W6&amp;""' LABEL max(H) ''""))"),"")</f>
        <v/>
      </c>
      <c r="Z6" s="62"/>
      <c r="AA6" s="62"/>
      <c r="AB6" s="62" t="str">
        <f ca="1">IFERROR(__xludf.dummyfunction("IF(Z6="""","""",QUERY(Hallazgos!C:I,""SELECT max(H) WHERE E CONTAINS 'Alcance:""&amp;Z6&amp;""' LABEL max(H) ''""))"),"")</f>
        <v/>
      </c>
    </row>
    <row r="7" spans="1:28" ht="14.25" x14ac:dyDescent="0.2">
      <c r="A7" s="60"/>
      <c r="B7" s="56"/>
      <c r="C7" s="56"/>
      <c r="D7" s="60"/>
      <c r="E7" s="63"/>
      <c r="F7" s="52">
        <f t="shared" si="5"/>
        <v>0</v>
      </c>
      <c r="G7" s="52">
        <f t="shared" si="6"/>
        <v>0</v>
      </c>
      <c r="H7" s="52">
        <f t="shared" si="7"/>
        <v>0</v>
      </c>
      <c r="I7" s="53"/>
      <c r="J7" s="53"/>
      <c r="K7" s="53"/>
      <c r="L7" s="53"/>
      <c r="M7" s="53"/>
      <c r="N7" s="53"/>
      <c r="O7" s="53"/>
      <c r="P7" s="65"/>
      <c r="Q7" s="62">
        <f t="shared" ca="1" si="0"/>
        <v>2</v>
      </c>
      <c r="R7" s="62" t="str">
        <f t="shared" ca="1" si="1"/>
        <v/>
      </c>
      <c r="S7" s="62" t="str">
        <f t="shared" ca="1" si="2"/>
        <v/>
      </c>
      <c r="T7" s="62" t="str">
        <f t="shared" ca="1" si="3"/>
        <v/>
      </c>
      <c r="U7" s="62" t="str">
        <f t="shared" ca="1" si="4"/>
        <v/>
      </c>
      <c r="V7" s="62"/>
      <c r="W7" s="62"/>
      <c r="X7" s="62"/>
      <c r="Y7" s="62" t="str">
        <f ca="1">IFERROR(__xludf.dummyfunction("IF(W7="""","""",QUERY(Hallazgos!C:I,""SELECT max(H) WHERE E CONTAINS 'Activo:""&amp;W7&amp;""' LABEL max(H) ''""))"),"")</f>
        <v/>
      </c>
      <c r="Z7" s="62"/>
      <c r="AA7" s="62"/>
      <c r="AB7" s="62" t="str">
        <f ca="1">IFERROR(__xludf.dummyfunction("IF(Z7="""","""",QUERY(Hallazgos!C:I,""SELECT max(H) WHERE E CONTAINS 'Alcance:""&amp;Z7&amp;""' LABEL max(H) ''""))"),"")</f>
        <v/>
      </c>
    </row>
    <row r="8" spans="1:28" ht="14.25" x14ac:dyDescent="0.2">
      <c r="A8" s="66"/>
      <c r="B8" s="67"/>
      <c r="C8" s="56"/>
      <c r="D8" s="60"/>
      <c r="E8" s="63"/>
      <c r="F8" s="52">
        <f t="shared" si="5"/>
        <v>0</v>
      </c>
      <c r="G8" s="52">
        <f t="shared" si="6"/>
        <v>0</v>
      </c>
      <c r="H8" s="52">
        <f t="shared" si="7"/>
        <v>0</v>
      </c>
      <c r="I8" s="53"/>
      <c r="J8" s="53"/>
      <c r="K8" s="53"/>
      <c r="L8" s="53"/>
      <c r="M8" s="53"/>
      <c r="N8" s="53"/>
      <c r="O8" s="53"/>
      <c r="P8" s="65"/>
      <c r="Q8" s="62">
        <f t="shared" ca="1" si="0"/>
        <v>2</v>
      </c>
      <c r="R8" s="62" t="str">
        <f t="shared" ca="1" si="1"/>
        <v/>
      </c>
      <c r="S8" s="62" t="str">
        <f t="shared" ca="1" si="2"/>
        <v/>
      </c>
      <c r="T8" s="62" t="str">
        <f t="shared" ca="1" si="3"/>
        <v/>
      </c>
      <c r="U8" s="62" t="str">
        <f t="shared" ca="1" si="4"/>
        <v/>
      </c>
      <c r="V8" s="62"/>
      <c r="W8" s="62"/>
      <c r="X8" s="62"/>
      <c r="Y8" s="62" t="str">
        <f ca="1">IFERROR(__xludf.dummyfunction("IF(W8="""","""",QUERY(Hallazgos!C:I,""SELECT max(H) WHERE E CONTAINS 'Activo:""&amp;W8&amp;""' LABEL max(H) ''""))"),"")</f>
        <v/>
      </c>
      <c r="Z8" s="62"/>
      <c r="AA8" s="62"/>
      <c r="AB8" s="62" t="str">
        <f ca="1">IFERROR(__xludf.dummyfunction("IF(Z8="""","""",QUERY(Hallazgos!C:I,""SELECT max(H) WHERE E CONTAINS 'Alcance:""&amp;Z8&amp;""' LABEL max(H) ''""))"),"")</f>
        <v/>
      </c>
    </row>
    <row r="9" spans="1:28" ht="14.25" x14ac:dyDescent="0.2">
      <c r="A9" s="60"/>
      <c r="B9" s="56"/>
      <c r="C9" s="56"/>
      <c r="D9" s="60"/>
      <c r="E9" s="63"/>
      <c r="F9" s="52">
        <f t="shared" si="5"/>
        <v>0</v>
      </c>
      <c r="G9" s="52">
        <f t="shared" si="6"/>
        <v>0</v>
      </c>
      <c r="H9" s="52">
        <f t="shared" si="7"/>
        <v>0</v>
      </c>
      <c r="I9" s="53"/>
      <c r="J9" s="53"/>
      <c r="K9" s="53"/>
      <c r="L9" s="53"/>
      <c r="M9" s="53"/>
      <c r="N9" s="53"/>
      <c r="O9" s="53"/>
      <c r="P9" s="62"/>
      <c r="Q9" s="62">
        <f t="shared" ca="1" si="0"/>
        <v>2</v>
      </c>
      <c r="R9" s="62" t="str">
        <f t="shared" ca="1" si="1"/>
        <v/>
      </c>
      <c r="S9" s="62" t="str">
        <f t="shared" ca="1" si="2"/>
        <v/>
      </c>
      <c r="T9" s="62" t="str">
        <f t="shared" ca="1" si="3"/>
        <v/>
      </c>
      <c r="U9" s="62" t="str">
        <f t="shared" ca="1" si="4"/>
        <v/>
      </c>
      <c r="V9" s="62"/>
      <c r="W9" s="62"/>
      <c r="X9" s="62"/>
      <c r="Y9" s="62" t="str">
        <f ca="1">IFERROR(__xludf.dummyfunction("IF(W9="""","""",QUERY(Hallazgos!C:I,""SELECT max(H) WHERE E CONTAINS 'Activo:""&amp;W9&amp;""' LABEL max(H) ''""))"),"")</f>
        <v/>
      </c>
      <c r="Z9" s="62"/>
      <c r="AA9" s="62"/>
      <c r="AB9" s="62" t="str">
        <f ca="1">IFERROR(__xludf.dummyfunction("IF(Z9="""","""",QUERY(Hallazgos!C:I,""SELECT max(H) WHERE E CONTAINS 'Alcance:""&amp;Z9&amp;""' LABEL max(H) ''""))"),"")</f>
        <v/>
      </c>
    </row>
    <row r="10" spans="1:28" ht="14.25" x14ac:dyDescent="0.2">
      <c r="A10" s="60"/>
      <c r="B10" s="56"/>
      <c r="C10" s="53"/>
      <c r="D10" s="60"/>
      <c r="E10" s="63"/>
      <c r="F10" s="52">
        <f t="shared" si="5"/>
        <v>0</v>
      </c>
      <c r="G10" s="52">
        <f t="shared" si="6"/>
        <v>0</v>
      </c>
      <c r="H10" s="52">
        <f t="shared" si="7"/>
        <v>0</v>
      </c>
      <c r="I10" s="53"/>
      <c r="J10" s="53"/>
      <c r="K10" s="53"/>
      <c r="L10" s="53"/>
      <c r="M10" s="53"/>
      <c r="N10" s="53"/>
      <c r="O10" s="53"/>
      <c r="P10" s="62"/>
      <c r="Q10" s="62">
        <f t="shared" ca="1" si="0"/>
        <v>2</v>
      </c>
      <c r="R10" s="62" t="str">
        <f t="shared" ca="1" si="1"/>
        <v/>
      </c>
      <c r="S10" s="62" t="str">
        <f t="shared" ca="1" si="2"/>
        <v/>
      </c>
      <c r="T10" s="62" t="str">
        <f t="shared" ca="1" si="3"/>
        <v/>
      </c>
      <c r="U10" s="62" t="str">
        <f t="shared" ca="1" si="4"/>
        <v/>
      </c>
      <c r="V10" s="62"/>
      <c r="W10" s="62"/>
      <c r="X10" s="62"/>
      <c r="Y10" s="62" t="str">
        <f ca="1">IFERROR(__xludf.dummyfunction("IF(W10="""","""",QUERY(Hallazgos!C:I,""SELECT max(H) WHERE E CONTAINS 'Activo:""&amp;W10&amp;""' LABEL max(H) ''""))"),"")</f>
        <v/>
      </c>
      <c r="Z10" s="62"/>
      <c r="AA10" s="62"/>
      <c r="AB10" s="62" t="str">
        <f ca="1">IFERROR(__xludf.dummyfunction("IF(Z10="""","""",QUERY(Hallazgos!C:I,""SELECT max(H) WHERE E CONTAINS 'Alcance:""&amp;Z10&amp;""' LABEL max(H) ''""))"),"")</f>
        <v/>
      </c>
    </row>
    <row r="11" spans="1:28" ht="14.25" x14ac:dyDescent="0.2">
      <c r="A11" s="60"/>
      <c r="B11" s="56"/>
      <c r="C11" s="53"/>
      <c r="D11" s="60"/>
      <c r="E11" s="63"/>
      <c r="F11" s="52">
        <f t="shared" si="5"/>
        <v>0</v>
      </c>
      <c r="G11" s="52">
        <f t="shared" si="6"/>
        <v>0</v>
      </c>
      <c r="H11" s="52">
        <f t="shared" si="7"/>
        <v>0</v>
      </c>
      <c r="I11" s="53"/>
      <c r="J11" s="53"/>
      <c r="K11" s="53"/>
      <c r="L11" s="53"/>
      <c r="M11" s="53"/>
      <c r="N11" s="53"/>
      <c r="O11" s="53"/>
      <c r="P11" s="62"/>
      <c r="Q11" s="62">
        <f t="shared" ca="1" si="0"/>
        <v>2</v>
      </c>
      <c r="R11" s="62" t="str">
        <f t="shared" ca="1" si="1"/>
        <v/>
      </c>
      <c r="S11" s="62" t="str">
        <f t="shared" ca="1" si="2"/>
        <v/>
      </c>
      <c r="T11" s="62" t="str">
        <f t="shared" ca="1" si="3"/>
        <v/>
      </c>
      <c r="U11" s="62" t="str">
        <f t="shared" ca="1" si="4"/>
        <v/>
      </c>
      <c r="V11" s="62"/>
      <c r="W11" s="62"/>
      <c r="X11" s="62"/>
      <c r="Y11" s="62" t="str">
        <f ca="1">IFERROR(__xludf.dummyfunction("IF(W11="""","""",QUERY(Hallazgos!C:I,""SELECT max(H) WHERE E CONTAINS 'Activo:""&amp;W11&amp;""' LABEL max(H) ''""))"),"")</f>
        <v/>
      </c>
      <c r="Z11" s="62"/>
      <c r="AA11" s="62"/>
      <c r="AB11" s="62" t="str">
        <f ca="1">IFERROR(__xludf.dummyfunction("IF(Z11="""","""",QUERY(Hallazgos!C:I,""SELECT max(H) WHERE E CONTAINS 'Alcance:""&amp;Z11&amp;""' LABEL max(H) ''""))"),"")</f>
        <v/>
      </c>
    </row>
    <row r="12" spans="1:28" ht="14.25" x14ac:dyDescent="0.2">
      <c r="A12" s="60"/>
      <c r="B12" s="56"/>
      <c r="C12" s="53"/>
      <c r="D12" s="60"/>
      <c r="E12" s="63"/>
      <c r="F12" s="52">
        <f t="shared" si="5"/>
        <v>0</v>
      </c>
      <c r="G12" s="52">
        <f t="shared" si="6"/>
        <v>0</v>
      </c>
      <c r="H12" s="52">
        <f t="shared" si="7"/>
        <v>0</v>
      </c>
      <c r="I12" s="53"/>
      <c r="J12" s="53"/>
      <c r="K12" s="53"/>
      <c r="L12" s="53"/>
      <c r="M12" s="53"/>
      <c r="N12" s="53"/>
      <c r="O12" s="53"/>
      <c r="P12" s="62"/>
      <c r="Q12" s="62">
        <f t="shared" ca="1" si="0"/>
        <v>2</v>
      </c>
      <c r="R12" s="62" t="str">
        <f t="shared" ca="1" si="1"/>
        <v/>
      </c>
      <c r="S12" s="62" t="str">
        <f t="shared" ca="1" si="2"/>
        <v/>
      </c>
      <c r="T12" s="62" t="str">
        <f t="shared" ca="1" si="3"/>
        <v/>
      </c>
      <c r="U12" s="62" t="str">
        <f t="shared" ca="1" si="4"/>
        <v/>
      </c>
      <c r="V12" s="62"/>
      <c r="W12" s="62"/>
      <c r="X12" s="62"/>
      <c r="Y12" s="62" t="str">
        <f ca="1">IFERROR(__xludf.dummyfunction("IF(W12="""","""",QUERY(Hallazgos!C:I,""SELECT max(H) WHERE E CONTAINS 'Activo:""&amp;W12&amp;""' LABEL max(H) ''""))"),"")</f>
        <v/>
      </c>
      <c r="Z12" s="62"/>
      <c r="AA12" s="62"/>
      <c r="AB12" s="62" t="str">
        <f ca="1">IFERROR(__xludf.dummyfunction("IF(Z12="""","""",QUERY(Hallazgos!C:I,""SELECT max(H) WHERE E CONTAINS 'Alcance:""&amp;Z12&amp;""' LABEL max(H) ''""))"),"")</f>
        <v/>
      </c>
    </row>
    <row r="13" spans="1:28" ht="14.25" x14ac:dyDescent="0.2">
      <c r="A13" s="66"/>
      <c r="B13" s="67"/>
      <c r="C13" s="53"/>
      <c r="D13" s="60"/>
      <c r="E13" s="63"/>
      <c r="F13" s="52">
        <f t="shared" si="5"/>
        <v>0</v>
      </c>
      <c r="G13" s="52">
        <f t="shared" si="6"/>
        <v>0</v>
      </c>
      <c r="H13" s="52">
        <f t="shared" si="7"/>
        <v>0</v>
      </c>
      <c r="I13" s="53"/>
      <c r="J13" s="53"/>
      <c r="K13" s="53"/>
      <c r="L13" s="53" t="str">
        <f ca="1">IFERROR(__xludf.dummyfunction("IF(I13="""","""",QUERY(Hallazgos!D:I,""SELECT max(J) WHERE G CONTAINS '""&amp;I13&amp;""' LABEL max(J) ''""))"),"")</f>
        <v/>
      </c>
      <c r="M13" s="53"/>
      <c r="N13" s="53"/>
      <c r="O13" s="53"/>
      <c r="P13" s="62"/>
      <c r="Q13" s="62">
        <f t="shared" ca="1" si="0"/>
        <v>2</v>
      </c>
      <c r="R13" s="62" t="str">
        <f t="shared" ca="1" si="1"/>
        <v/>
      </c>
      <c r="S13" s="62" t="str">
        <f t="shared" ca="1" si="2"/>
        <v/>
      </c>
      <c r="T13" s="62" t="str">
        <f t="shared" ca="1" si="3"/>
        <v/>
      </c>
      <c r="U13" s="62" t="str">
        <f t="shared" ca="1" si="4"/>
        <v/>
      </c>
      <c r="V13" s="62"/>
      <c r="W13" s="62"/>
      <c r="X13" s="62"/>
      <c r="Y13" s="62" t="str">
        <f ca="1">IFERROR(__xludf.dummyfunction("IF(W13="""","""",QUERY(Hallazgos!C:I,""SELECT max(H) WHERE E CONTAINS 'Activo:""&amp;W13&amp;""' LABEL max(H) ''""))"),"")</f>
        <v/>
      </c>
      <c r="Z13" s="62"/>
      <c r="AA13" s="62"/>
      <c r="AB13" s="62" t="str">
        <f ca="1">IFERROR(__xludf.dummyfunction("IF(Z13="""","""",QUERY(Hallazgos!C:I,""SELECT max(H) WHERE E CONTAINS 'Alcance:""&amp;Z13&amp;""' LABEL max(H) ''""))"),"")</f>
        <v/>
      </c>
    </row>
    <row r="14" spans="1:28" ht="14.25" x14ac:dyDescent="0.2">
      <c r="A14" s="60"/>
      <c r="B14" s="56"/>
      <c r="C14" s="53"/>
      <c r="D14" s="60"/>
      <c r="E14" s="63"/>
      <c r="F14" s="52">
        <f t="shared" si="5"/>
        <v>0</v>
      </c>
      <c r="G14" s="52">
        <f t="shared" si="6"/>
        <v>0</v>
      </c>
      <c r="H14" s="52">
        <f t="shared" si="7"/>
        <v>0</v>
      </c>
      <c r="I14" s="53"/>
      <c r="J14" s="53"/>
      <c r="K14" s="53"/>
      <c r="L14" s="53" t="str">
        <f ca="1">IFERROR(__xludf.dummyfunction("IF(I14="""","""",QUERY(Hallazgos!D:I,""SELECT max(J) WHERE G CONTAINS '""&amp;I14&amp;""' LABEL max(J) ''""))"),"")</f>
        <v/>
      </c>
      <c r="M14" s="53"/>
      <c r="N14" s="53"/>
      <c r="O14" s="53"/>
      <c r="P14" s="62"/>
      <c r="Q14" s="62">
        <f t="shared" ca="1" si="0"/>
        <v>2</v>
      </c>
      <c r="R14" s="62" t="str">
        <f t="shared" ca="1" si="1"/>
        <v/>
      </c>
      <c r="S14" s="62" t="str">
        <f t="shared" ca="1" si="2"/>
        <v/>
      </c>
      <c r="T14" s="62" t="str">
        <f t="shared" ca="1" si="3"/>
        <v/>
      </c>
      <c r="U14" s="62" t="str">
        <f t="shared" ca="1" si="4"/>
        <v/>
      </c>
      <c r="V14" s="62"/>
      <c r="W14" s="62"/>
      <c r="X14" s="62"/>
      <c r="Y14" s="62" t="str">
        <f ca="1">IFERROR(__xludf.dummyfunction("IF(W14="""","""",QUERY(Hallazgos!C:I,""SELECT max(H) WHERE E CONTAINS 'Activo:""&amp;W14&amp;""' LABEL max(H) ''""))"),"")</f>
        <v/>
      </c>
      <c r="Z14" s="62"/>
      <c r="AA14" s="62"/>
      <c r="AB14" s="62" t="str">
        <f ca="1">IFERROR(__xludf.dummyfunction("IF(Z14="""","""",QUERY(Hallazgos!C:I,""SELECT max(H) WHERE E CONTAINS 'Alcance:""&amp;Z14&amp;""' LABEL max(H) ''""))"),"")</f>
        <v/>
      </c>
    </row>
    <row r="15" spans="1:28" ht="14.25" x14ac:dyDescent="0.2">
      <c r="A15" s="60"/>
      <c r="B15" s="56"/>
      <c r="C15" s="53"/>
      <c r="D15" s="60"/>
      <c r="E15" s="63"/>
      <c r="F15" s="52">
        <f t="shared" si="5"/>
        <v>0</v>
      </c>
      <c r="G15" s="52">
        <f t="shared" si="6"/>
        <v>0</v>
      </c>
      <c r="H15" s="52">
        <f t="shared" si="7"/>
        <v>0</v>
      </c>
      <c r="I15" s="53"/>
      <c r="J15" s="53"/>
      <c r="K15" s="53"/>
      <c r="L15" s="53" t="str">
        <f ca="1">IFERROR(__xludf.dummyfunction("IF(I15="""","""",QUERY(Hallazgos!D:I,""SELECT max(J) WHERE G CONTAINS '""&amp;I15&amp;""' LABEL max(J) ''""))"),"")</f>
        <v/>
      </c>
      <c r="M15" s="53"/>
      <c r="N15" s="53"/>
      <c r="O15" s="53"/>
      <c r="P15" s="62"/>
      <c r="Q15" s="62">
        <f t="shared" ca="1" si="0"/>
        <v>2</v>
      </c>
      <c r="R15" s="62" t="str">
        <f t="shared" ca="1" si="1"/>
        <v/>
      </c>
      <c r="S15" s="62" t="str">
        <f t="shared" ca="1" si="2"/>
        <v/>
      </c>
      <c r="T15" s="62" t="str">
        <f t="shared" ca="1" si="3"/>
        <v/>
      </c>
      <c r="U15" s="62" t="str">
        <f t="shared" ca="1" si="4"/>
        <v/>
      </c>
      <c r="V15" s="62"/>
      <c r="W15" s="62"/>
      <c r="X15" s="62"/>
      <c r="Y15" s="62" t="str">
        <f ca="1">IFERROR(__xludf.dummyfunction("IF(W15="""","""",QUERY(Hallazgos!C:I,""SELECT max(H) WHERE E CONTAINS 'Activo:""&amp;W15&amp;""' LABEL max(H) ''""))"),"")</f>
        <v/>
      </c>
      <c r="Z15" s="62"/>
      <c r="AA15" s="62"/>
      <c r="AB15" s="62" t="str">
        <f ca="1">IFERROR(__xludf.dummyfunction("IF(Z15="""","""",QUERY(Hallazgos!C:I,""SELECT max(H) WHERE E CONTAINS 'Alcance:""&amp;Z15&amp;""' LABEL max(H) ''""))"),"")</f>
        <v/>
      </c>
    </row>
    <row r="16" spans="1:28" ht="14.25" x14ac:dyDescent="0.2">
      <c r="A16" s="60"/>
      <c r="B16" s="56"/>
      <c r="C16" s="53"/>
      <c r="D16" s="60"/>
      <c r="E16" s="63"/>
      <c r="F16" s="52">
        <f t="shared" si="5"/>
        <v>0</v>
      </c>
      <c r="G16" s="52">
        <f t="shared" si="6"/>
        <v>0</v>
      </c>
      <c r="H16" s="52">
        <f t="shared" si="7"/>
        <v>0</v>
      </c>
      <c r="I16" s="53"/>
      <c r="J16" s="53"/>
      <c r="K16" s="53"/>
      <c r="L16" s="53" t="str">
        <f ca="1">IFERROR(__xludf.dummyfunction("IF(I16="""","""",QUERY(Hallazgos!D:I,""SELECT max(J) WHERE G CONTAINS '""&amp;I16&amp;""' LABEL max(J) ''""))"),"")</f>
        <v/>
      </c>
      <c r="M16" s="53"/>
      <c r="N16" s="53"/>
      <c r="O16" s="53"/>
      <c r="P16" s="62"/>
      <c r="Q16" s="62">
        <f t="shared" ca="1" si="0"/>
        <v>2</v>
      </c>
      <c r="R16" s="62" t="str">
        <f t="shared" ca="1" si="1"/>
        <v/>
      </c>
      <c r="S16" s="62" t="str">
        <f t="shared" ca="1" si="2"/>
        <v/>
      </c>
      <c r="T16" s="62" t="str">
        <f t="shared" ca="1" si="3"/>
        <v/>
      </c>
      <c r="U16" s="62" t="str">
        <f t="shared" ca="1" si="4"/>
        <v/>
      </c>
      <c r="V16" s="62"/>
      <c r="W16" s="62"/>
      <c r="X16" s="62"/>
      <c r="Y16" s="62" t="str">
        <f ca="1">IFERROR(__xludf.dummyfunction("IF(W16="""","""",QUERY(Hallazgos!C:I,""SELECT max(H) WHERE E CONTAINS 'Activo:""&amp;W16&amp;""' LABEL max(H) ''""))"),"")</f>
        <v/>
      </c>
      <c r="Z16" s="62"/>
      <c r="AA16" s="62"/>
      <c r="AB16" s="62" t="str">
        <f ca="1">IFERROR(__xludf.dummyfunction("IF(Z16="""","""",QUERY(Hallazgos!C:I,""SELECT max(H) WHERE E CONTAINS 'Alcance:""&amp;Z16&amp;""' LABEL max(H) ''""))"),"")</f>
        <v/>
      </c>
    </row>
    <row r="17" spans="1:28" ht="14.25" x14ac:dyDescent="0.2">
      <c r="A17" s="60"/>
      <c r="B17" s="56"/>
      <c r="C17" s="53"/>
      <c r="D17" s="60"/>
      <c r="E17" s="63"/>
      <c r="F17" s="52">
        <f t="shared" si="5"/>
        <v>0</v>
      </c>
      <c r="G17" s="52">
        <f t="shared" si="6"/>
        <v>0</v>
      </c>
      <c r="H17" s="52">
        <f t="shared" si="7"/>
        <v>0</v>
      </c>
      <c r="I17" s="53"/>
      <c r="J17" s="53"/>
      <c r="K17" s="53"/>
      <c r="L17" s="53" t="str">
        <f ca="1">IFERROR(__xludf.dummyfunction("IF(I17="""","""",QUERY(Hallazgos!D:I,""SELECT max(J) WHERE G CONTAINS '""&amp;I17&amp;""' LABEL max(J) ''""))"),"")</f>
        <v/>
      </c>
      <c r="M17" s="53"/>
      <c r="N17" s="53"/>
      <c r="O17" s="53"/>
      <c r="P17" s="62"/>
      <c r="Q17" s="62">
        <f t="shared" ca="1" si="0"/>
        <v>2</v>
      </c>
      <c r="R17" s="62" t="str">
        <f t="shared" ca="1" si="1"/>
        <v/>
      </c>
      <c r="S17" s="62" t="str">
        <f t="shared" ca="1" si="2"/>
        <v/>
      </c>
      <c r="T17" s="62" t="str">
        <f t="shared" ca="1" si="3"/>
        <v/>
      </c>
      <c r="U17" s="62" t="str">
        <f t="shared" ca="1" si="4"/>
        <v/>
      </c>
      <c r="V17" s="62"/>
      <c r="W17" s="62"/>
      <c r="X17" s="62"/>
      <c r="Y17" s="62" t="str">
        <f ca="1">IFERROR(__xludf.dummyfunction("IF(W17="""","""",QUERY(Hallazgos!C:I,""SELECT max(H) WHERE E CONTAINS 'Activo:""&amp;W17&amp;""' LABEL max(H) ''""))"),"")</f>
        <v/>
      </c>
      <c r="Z17" s="62"/>
      <c r="AA17" s="62"/>
      <c r="AB17" s="62" t="str">
        <f ca="1">IFERROR(__xludf.dummyfunction("IF(Z17="""","""",QUERY(Hallazgos!C:I,""SELECT max(H) WHERE E CONTAINS 'Alcance:""&amp;Z17&amp;""' LABEL max(H) ''""))"),"")</f>
        <v/>
      </c>
    </row>
    <row r="18" spans="1:28" ht="14.25" x14ac:dyDescent="0.2">
      <c r="A18" s="60"/>
      <c r="B18" s="56"/>
      <c r="C18" s="53"/>
      <c r="D18" s="60"/>
      <c r="E18" s="63"/>
      <c r="F18" s="52">
        <f t="shared" si="5"/>
        <v>0</v>
      </c>
      <c r="G18" s="52">
        <f t="shared" si="6"/>
        <v>0</v>
      </c>
      <c r="H18" s="52">
        <f t="shared" si="7"/>
        <v>0</v>
      </c>
      <c r="I18" s="53"/>
      <c r="J18" s="53"/>
      <c r="K18" s="53"/>
      <c r="L18" s="53" t="str">
        <f ca="1">IFERROR(__xludf.dummyfunction("IF(I18="""","""",QUERY(Hallazgos!D:I,""SELECT max(J) WHERE G CONTAINS '""&amp;I18&amp;""' LABEL max(J) ''""))"),"")</f>
        <v/>
      </c>
      <c r="M18" s="53"/>
      <c r="N18" s="53"/>
      <c r="O18" s="53"/>
      <c r="P18" s="62"/>
      <c r="Q18" s="62">
        <f t="shared" ca="1" si="0"/>
        <v>2</v>
      </c>
      <c r="R18" s="62" t="str">
        <f t="shared" ca="1" si="1"/>
        <v/>
      </c>
      <c r="S18" s="62" t="str">
        <f t="shared" ca="1" si="2"/>
        <v/>
      </c>
      <c r="T18" s="62" t="str">
        <f t="shared" ca="1" si="3"/>
        <v/>
      </c>
      <c r="U18" s="62" t="str">
        <f t="shared" ca="1" si="4"/>
        <v/>
      </c>
      <c r="V18" s="62"/>
      <c r="W18" s="62"/>
      <c r="X18" s="62"/>
      <c r="Y18" s="62" t="str">
        <f ca="1">IFERROR(__xludf.dummyfunction("IF(W18="""","""",QUERY(Hallazgos!C:I,""SELECT max(H) WHERE E CONTAINS 'Activo:""&amp;W18&amp;""' LABEL max(H) ''""))"),"")</f>
        <v/>
      </c>
      <c r="Z18" s="62"/>
      <c r="AA18" s="62"/>
      <c r="AB18" s="62" t="str">
        <f ca="1">IFERROR(__xludf.dummyfunction("IF(Z18="""","""",QUERY(Hallazgos!C:I,""SELECT max(H) WHERE E CONTAINS 'Alcance:""&amp;Z18&amp;""' LABEL max(H) ''""))"),"")</f>
        <v/>
      </c>
    </row>
    <row r="19" spans="1:28" ht="14.25" x14ac:dyDescent="0.2">
      <c r="A19" s="60"/>
      <c r="B19" s="56"/>
      <c r="C19" s="53"/>
      <c r="D19" s="60"/>
      <c r="E19" s="63"/>
      <c r="F19" s="52">
        <f t="shared" si="5"/>
        <v>0</v>
      </c>
      <c r="G19" s="52">
        <f t="shared" si="6"/>
        <v>0</v>
      </c>
      <c r="H19" s="52">
        <f t="shared" si="7"/>
        <v>0</v>
      </c>
      <c r="I19" s="53"/>
      <c r="J19" s="53"/>
      <c r="K19" s="53"/>
      <c r="L19" s="53" t="str">
        <f ca="1">IFERROR(__xludf.dummyfunction("IF(I19="""","""",QUERY(Hallazgos!D:I,""SELECT max(J) WHERE G CONTAINS '""&amp;I19&amp;""' LABEL max(J) ''""))"),"")</f>
        <v/>
      </c>
      <c r="M19" s="53"/>
      <c r="N19" s="53"/>
      <c r="O19" s="53"/>
      <c r="P19" s="62"/>
      <c r="Q19" s="62">
        <f t="shared" ca="1" si="0"/>
        <v>2</v>
      </c>
      <c r="R19" s="62" t="str">
        <f t="shared" ca="1" si="1"/>
        <v/>
      </c>
      <c r="S19" s="62" t="str">
        <f t="shared" ca="1" si="2"/>
        <v/>
      </c>
      <c r="T19" s="62" t="str">
        <f t="shared" ca="1" si="3"/>
        <v/>
      </c>
      <c r="U19" s="62" t="str">
        <f t="shared" ca="1" si="4"/>
        <v/>
      </c>
      <c r="V19" s="62"/>
      <c r="W19" s="62"/>
      <c r="X19" s="62"/>
      <c r="Y19" s="62" t="str">
        <f ca="1">IFERROR(__xludf.dummyfunction("IF(W19="""","""",QUERY(Hallazgos!C:I,""SELECT max(H) WHERE E CONTAINS 'Activo:""&amp;W19&amp;""' LABEL max(H) ''""))"),"")</f>
        <v/>
      </c>
      <c r="Z19" s="62"/>
      <c r="AA19" s="62"/>
      <c r="AB19" s="62" t="str">
        <f ca="1">IFERROR(__xludf.dummyfunction("IF(Z19="""","""",QUERY(Hallazgos!C:I,""SELECT max(H) WHERE E CONTAINS 'Alcance:""&amp;Z19&amp;""' LABEL max(H) ''""))"),"")</f>
        <v/>
      </c>
    </row>
    <row r="20" spans="1:28" ht="14.25" x14ac:dyDescent="0.2">
      <c r="A20" s="60"/>
      <c r="B20" s="56"/>
      <c r="C20" s="53"/>
      <c r="D20" s="60"/>
      <c r="E20" s="63"/>
      <c r="F20" s="52">
        <f t="shared" si="5"/>
        <v>0</v>
      </c>
      <c r="G20" s="52">
        <f t="shared" si="6"/>
        <v>0</v>
      </c>
      <c r="H20" s="52">
        <f t="shared" si="7"/>
        <v>0</v>
      </c>
      <c r="I20" s="53"/>
      <c r="J20" s="53"/>
      <c r="K20" s="53"/>
      <c r="L20" s="53" t="str">
        <f ca="1">IFERROR(__xludf.dummyfunction("IF(I20="""","""",QUERY(Hallazgos!D:I,""SELECT max(J) WHERE G CONTAINS '""&amp;I20&amp;""' LABEL max(J) ''""))"),"")</f>
        <v/>
      </c>
      <c r="M20" s="53"/>
      <c r="N20" s="53"/>
      <c r="O20" s="53"/>
      <c r="P20" s="62"/>
      <c r="Q20" s="62">
        <f t="shared" ca="1" si="0"/>
        <v>2</v>
      </c>
      <c r="R20" s="62" t="str">
        <f t="shared" ca="1" si="1"/>
        <v/>
      </c>
      <c r="S20" s="62" t="str">
        <f t="shared" ca="1" si="2"/>
        <v/>
      </c>
      <c r="T20" s="62" t="str">
        <f t="shared" ca="1" si="3"/>
        <v/>
      </c>
      <c r="U20" s="62" t="str">
        <f t="shared" ca="1" si="4"/>
        <v/>
      </c>
      <c r="V20" s="62"/>
      <c r="W20" s="62"/>
      <c r="X20" s="62"/>
      <c r="Y20" s="62" t="str">
        <f ca="1">IFERROR(__xludf.dummyfunction("IF(W20="""","""",QUERY(Hallazgos!C:I,""SELECT max(H) WHERE E CONTAINS 'Activo:""&amp;W20&amp;""' LABEL max(H) ''""))"),"")</f>
        <v/>
      </c>
      <c r="Z20" s="62"/>
      <c r="AA20" s="62"/>
      <c r="AB20" s="62" t="str">
        <f ca="1">IFERROR(__xludf.dummyfunction("IF(Z20="""","""",QUERY(Hallazgos!C:I,""SELECT max(H) WHERE E CONTAINS 'Alcance:""&amp;Z20&amp;""' LABEL max(H) ''""))"),"")</f>
        <v/>
      </c>
    </row>
    <row r="21" spans="1:28" ht="14.25" x14ac:dyDescent="0.2">
      <c r="A21" s="60"/>
      <c r="B21" s="56"/>
      <c r="C21" s="53"/>
      <c r="D21" s="60"/>
      <c r="E21" s="63"/>
      <c r="F21" s="52">
        <f t="shared" si="5"/>
        <v>0</v>
      </c>
      <c r="G21" s="52">
        <f t="shared" si="6"/>
        <v>0</v>
      </c>
      <c r="H21" s="52">
        <f t="shared" si="7"/>
        <v>0</v>
      </c>
      <c r="I21" s="53"/>
      <c r="J21" s="53"/>
      <c r="K21" s="53"/>
      <c r="L21" s="53" t="str">
        <f ca="1">IFERROR(__xludf.dummyfunction("IF(I21="""","""",QUERY(Hallazgos!D:I,""SELECT max(J) WHERE G CONTAINS '""&amp;I21&amp;""' LABEL max(J) ''""))"),"")</f>
        <v/>
      </c>
      <c r="M21" s="53"/>
      <c r="N21" s="53"/>
      <c r="O21" s="53"/>
      <c r="P21" s="62"/>
      <c r="Q21" s="62">
        <f t="shared" ca="1" si="0"/>
        <v>2</v>
      </c>
      <c r="R21" s="62" t="str">
        <f t="shared" ca="1" si="1"/>
        <v/>
      </c>
      <c r="S21" s="62" t="str">
        <f t="shared" ca="1" si="2"/>
        <v/>
      </c>
      <c r="T21" s="62" t="str">
        <f t="shared" ca="1" si="3"/>
        <v/>
      </c>
      <c r="U21" s="62" t="str">
        <f t="shared" ca="1" si="4"/>
        <v/>
      </c>
      <c r="V21" s="62"/>
      <c r="W21" s="62"/>
      <c r="X21" s="62"/>
      <c r="Y21" s="62" t="str">
        <f ca="1">IFERROR(__xludf.dummyfunction("IF(W21="""","""",QUERY(Hallazgos!C:I,""SELECT max(H) WHERE E CONTAINS 'Activo:""&amp;W21&amp;""' LABEL max(H) ''""))"),"")</f>
        <v/>
      </c>
      <c r="Z21" s="62"/>
      <c r="AA21" s="62"/>
      <c r="AB21" s="62" t="str">
        <f ca="1">IFERROR(__xludf.dummyfunction("IF(Z21="""","""",QUERY(Hallazgos!C:I,""SELECT max(H) WHERE E CONTAINS 'Alcance:""&amp;Z21&amp;""' LABEL max(H) ''""))"),"")</f>
        <v/>
      </c>
    </row>
    <row r="22" spans="1:28" ht="14.25" x14ac:dyDescent="0.2">
      <c r="A22" s="60"/>
      <c r="B22" s="56"/>
      <c r="C22" s="53"/>
      <c r="D22" s="60"/>
      <c r="E22" s="63"/>
      <c r="F22" s="52">
        <f t="shared" si="5"/>
        <v>0</v>
      </c>
      <c r="G22" s="52">
        <f t="shared" si="6"/>
        <v>0</v>
      </c>
      <c r="H22" s="52">
        <f t="shared" si="7"/>
        <v>0</v>
      </c>
      <c r="I22" s="53"/>
      <c r="J22" s="53"/>
      <c r="K22" s="53"/>
      <c r="L22" s="53" t="str">
        <f ca="1">IFERROR(__xludf.dummyfunction("IF(I22="""","""",QUERY(Hallazgos!D:I,""SELECT max(J) WHERE G CONTAINS '""&amp;I22&amp;""' LABEL max(J) ''""))"),"")</f>
        <v/>
      </c>
      <c r="M22" s="53"/>
      <c r="N22" s="53"/>
      <c r="O22" s="53"/>
      <c r="P22" s="62"/>
      <c r="Q22" s="62">
        <f t="shared" ca="1" si="0"/>
        <v>2</v>
      </c>
      <c r="R22" s="62" t="str">
        <f t="shared" ca="1" si="1"/>
        <v/>
      </c>
      <c r="S22" s="62" t="str">
        <f t="shared" ca="1" si="2"/>
        <v/>
      </c>
      <c r="T22" s="62" t="str">
        <f t="shared" ca="1" si="3"/>
        <v/>
      </c>
      <c r="U22" s="62" t="str">
        <f t="shared" ca="1" si="4"/>
        <v/>
      </c>
      <c r="V22" s="62"/>
      <c r="W22" s="62"/>
      <c r="X22" s="62"/>
      <c r="Y22" s="62" t="str">
        <f ca="1">IFERROR(__xludf.dummyfunction("IF(W22="""","""",QUERY(Hallazgos!C:I,""SELECT max(H) WHERE E CONTAINS 'Activo:""&amp;W22&amp;""' LABEL max(H) ''""))"),"")</f>
        <v/>
      </c>
      <c r="Z22" s="62"/>
      <c r="AA22" s="62"/>
      <c r="AB22" s="62" t="str">
        <f ca="1">IFERROR(__xludf.dummyfunction("IF(Z22="""","""",QUERY(Hallazgos!C:I,""SELECT max(H) WHERE E CONTAINS 'Alcance:""&amp;Z22&amp;""' LABEL max(H) ''""))"),"")</f>
        <v/>
      </c>
    </row>
    <row r="23" spans="1:28" ht="14.25" x14ac:dyDescent="0.2">
      <c r="A23" s="60"/>
      <c r="B23" s="56"/>
      <c r="C23" s="53"/>
      <c r="D23" s="60"/>
      <c r="E23" s="63"/>
      <c r="F23" s="62"/>
      <c r="G23" s="53" t="str">
        <f>LEFT(F23,3)</f>
        <v/>
      </c>
      <c r="H23" s="53" t="str">
        <f>LEFT(F23,3)</f>
        <v/>
      </c>
      <c r="I23" s="53"/>
      <c r="J23" s="53"/>
      <c r="K23" s="53"/>
      <c r="L23" s="53" t="str">
        <f ca="1">IFERROR(__xludf.dummyfunction("IF(I23="""","""",QUERY(Hallazgos!D:I,""SELECT max(J) WHERE G CONTAINS '""&amp;I23&amp;""' LABEL max(J) ''""))"),"")</f>
        <v/>
      </c>
      <c r="M23" s="53"/>
      <c r="N23" s="53"/>
      <c r="O23" s="53"/>
      <c r="P23" s="62"/>
      <c r="Q23" s="62">
        <f t="shared" ca="1" si="0"/>
        <v>2</v>
      </c>
      <c r="R23" s="62" t="str">
        <f t="shared" ca="1" si="1"/>
        <v/>
      </c>
      <c r="S23" s="62" t="str">
        <f t="shared" ca="1" si="2"/>
        <v/>
      </c>
      <c r="T23" s="62" t="str">
        <f t="shared" ca="1" si="3"/>
        <v/>
      </c>
      <c r="U23" s="62" t="str">
        <f t="shared" ca="1" si="4"/>
        <v/>
      </c>
      <c r="V23" s="62"/>
      <c r="W23" s="62"/>
      <c r="X23" s="62"/>
      <c r="Y23" s="62" t="str">
        <f ca="1">IFERROR(__xludf.dummyfunction("IF(W23="""","""",QUERY(Hallazgos!C:I,""SELECT max(H) WHERE E CONTAINS 'Activo:""&amp;W23&amp;""' LABEL max(H) ''""))"),"")</f>
        <v/>
      </c>
      <c r="Z23" s="62"/>
      <c r="AA23" s="62"/>
      <c r="AB23" s="62" t="str">
        <f ca="1">IFERROR(__xludf.dummyfunction("IF(Z23="""","""",QUERY(Hallazgos!C:I,""SELECT max(H) WHERE E CONTAINS 'Alcance:""&amp;Z23&amp;""' LABEL max(H) ''""))"),"")</f>
        <v/>
      </c>
    </row>
    <row r="24" spans="1:28" ht="14.25" x14ac:dyDescent="0.2">
      <c r="A24" s="60" t="s">
        <v>669</v>
      </c>
      <c r="B24" s="61" t="s">
        <v>659</v>
      </c>
      <c r="C24" s="53"/>
      <c r="D24" s="60" t="s">
        <v>660</v>
      </c>
      <c r="E24" s="60" t="s">
        <v>669</v>
      </c>
      <c r="F24" s="56" t="s">
        <v>661</v>
      </c>
      <c r="G24" s="56" t="s">
        <v>662</v>
      </c>
      <c r="H24" s="56" t="s">
        <v>663</v>
      </c>
      <c r="I24" s="53"/>
      <c r="J24" s="53"/>
      <c r="K24" s="53"/>
      <c r="L24" s="53" t="str">
        <f ca="1">IFERROR(__xludf.dummyfunction("IF(I24="""","""",QUERY(Hallazgos!D:I,""SELECT max(J) WHERE G CONTAINS '""&amp;I24&amp;""' LABEL max(J) ''""))"),"")</f>
        <v/>
      </c>
      <c r="M24" s="53"/>
      <c r="N24" s="53"/>
      <c r="O24" s="53"/>
      <c r="P24" s="62"/>
      <c r="Q24" s="62">
        <f t="shared" ca="1" si="0"/>
        <v>2</v>
      </c>
      <c r="R24" s="62" t="str">
        <f t="shared" ca="1" si="1"/>
        <v/>
      </c>
      <c r="S24" s="62" t="str">
        <f t="shared" ca="1" si="2"/>
        <v/>
      </c>
      <c r="T24" s="62" t="str">
        <f t="shared" ca="1" si="3"/>
        <v/>
      </c>
      <c r="U24" s="62" t="str">
        <f t="shared" ca="1" si="4"/>
        <v/>
      </c>
      <c r="V24" s="62"/>
      <c r="W24" s="62"/>
      <c r="X24" s="62"/>
      <c r="Y24" s="62" t="str">
        <f ca="1">IFERROR(__xludf.dummyfunction("IF(W24="""","""",QUERY(Hallazgos!C:I,""SELECT max(H) WHERE E CONTAINS 'Activo:""&amp;W24&amp;""' LABEL max(H) ''""))"),"")</f>
        <v/>
      </c>
      <c r="Z24" s="62"/>
      <c r="AA24" s="62"/>
      <c r="AB24" s="62" t="str">
        <f ca="1">IFERROR(__xludf.dummyfunction("IF(Z24="""","""",QUERY(Hallazgos!C:I,""SELECT max(H) WHERE E CONTAINS 'Alcance:""&amp;Z24&amp;""' LABEL max(H) ''""))"),"")</f>
        <v/>
      </c>
    </row>
    <row r="25" spans="1:28" ht="14.25" x14ac:dyDescent="0.2">
      <c r="A25" s="60" t="str">
        <f ca="1">IFERROR(__xludf.dummyfunction("QUERY(W:X,""SELECT W, X WHERE W &lt;&gt;'' ORDER BY X DESC"")"),"#REF!")</f>
        <v>#REF!</v>
      </c>
      <c r="B25" s="56">
        <v>1</v>
      </c>
      <c r="C25" s="53"/>
      <c r="D25" s="60" t="str">
        <f ca="1">IFERROR(__xludf.dummyfunction("QUERY(W:Y,""SELECT Y, W WHERE W&lt;&gt;'' ORDER BY Y DESC"")"),"#REF!")</f>
        <v>#REF!</v>
      </c>
      <c r="E25" s="63" t="s">
        <v>165</v>
      </c>
      <c r="F25" s="52" t="str">
        <f t="shared" ref="F25:F43" ca="1" si="8">IF(D25&gt;6.9,D25,0)</f>
        <v>#REF!</v>
      </c>
      <c r="G25" s="52">
        <f t="shared" ref="G25:G43" ca="1" si="9">IF(AND(D25&lt;7,D25&gt;3.9),D25,0)</f>
        <v>0</v>
      </c>
      <c r="H25" s="52">
        <f t="shared" ref="H25:H43" ca="1" si="10">IF(D25&lt;4,D25,0)</f>
        <v>0</v>
      </c>
      <c r="I25" s="53"/>
      <c r="J25" s="53"/>
      <c r="K25" s="53"/>
      <c r="L25" s="53" t="str">
        <f ca="1">IFERROR(__xludf.dummyfunction("IF(I25="""","""",QUERY(Hallazgos!D:I,""SELECT max(J) WHERE G CONTAINS '""&amp;I25&amp;""' LABEL max(J) ''""))"),"")</f>
        <v/>
      </c>
      <c r="M25" s="53"/>
      <c r="N25" s="53"/>
      <c r="O25" s="53"/>
      <c r="P25" s="62"/>
      <c r="Q25" s="62">
        <f t="shared" ca="1" si="0"/>
        <v>2</v>
      </c>
      <c r="R25" s="62" t="str">
        <f t="shared" ca="1" si="1"/>
        <v/>
      </c>
      <c r="S25" s="62" t="str">
        <f t="shared" ca="1" si="2"/>
        <v/>
      </c>
      <c r="T25" s="62" t="str">
        <f t="shared" ca="1" si="3"/>
        <v/>
      </c>
      <c r="U25" s="62" t="str">
        <f t="shared" ca="1" si="4"/>
        <v/>
      </c>
      <c r="V25" s="62"/>
      <c r="W25" s="62"/>
      <c r="X25" s="62"/>
      <c r="Y25" s="62" t="str">
        <f ca="1">IFERROR(__xludf.dummyfunction("IF(W25="""","""",QUERY(Hallazgos!C:I,""SELECT max(H) WHERE E CONTAINS 'Activo:""&amp;W25&amp;""' LABEL max(H) ''""))"),"")</f>
        <v/>
      </c>
      <c r="Z25" s="62"/>
      <c r="AA25" s="62"/>
      <c r="AB25" s="62" t="str">
        <f ca="1">IFERROR(__xludf.dummyfunction("IF(Z25="""","""",QUERY(Hallazgos!C:I,""SELECT max(H) WHERE E CONTAINS 'Alcance:""&amp;Z25&amp;""' LABEL max(H) ''""))"),"")</f>
        <v/>
      </c>
    </row>
    <row r="26" spans="1:28" ht="14.25" x14ac:dyDescent="0.2">
      <c r="A26" s="60" t="s">
        <v>159</v>
      </c>
      <c r="B26" s="56">
        <v>1</v>
      </c>
      <c r="C26" s="53"/>
      <c r="D26" s="60">
        <v>10</v>
      </c>
      <c r="E26" s="63" t="s">
        <v>159</v>
      </c>
      <c r="F26" s="52">
        <f t="shared" si="8"/>
        <v>10</v>
      </c>
      <c r="G26" s="52">
        <f t="shared" si="9"/>
        <v>0</v>
      </c>
      <c r="H26" s="52">
        <f t="shared" si="10"/>
        <v>0</v>
      </c>
      <c r="I26" s="53"/>
      <c r="J26" s="53"/>
      <c r="K26" s="53"/>
      <c r="L26" s="53"/>
      <c r="M26" s="53"/>
      <c r="N26" s="53"/>
      <c r="O26" s="53"/>
      <c r="P26" s="62"/>
      <c r="Q26" s="62">
        <f t="shared" ca="1" si="0"/>
        <v>2</v>
      </c>
      <c r="R26" s="62" t="str">
        <f t="shared" ca="1" si="1"/>
        <v/>
      </c>
      <c r="S26" s="62" t="str">
        <f t="shared" ca="1" si="2"/>
        <v/>
      </c>
      <c r="T26" s="62" t="str">
        <f t="shared" ca="1" si="3"/>
        <v/>
      </c>
      <c r="U26" s="62" t="str">
        <f t="shared" ca="1" si="4"/>
        <v/>
      </c>
      <c r="V26" s="62"/>
      <c r="W26" s="62"/>
      <c r="X26" s="62"/>
      <c r="Y26" s="62" t="str">
        <f ca="1">IFERROR(__xludf.dummyfunction("IF(W26="""","""",QUERY(Hallazgos!C:I,""SELECT max(H) WHERE E CONTAINS 'Activo:""&amp;W26&amp;""' LABEL max(H) ''""))"),"")</f>
        <v/>
      </c>
      <c r="Z26" s="62"/>
      <c r="AA26" s="62"/>
      <c r="AB26" s="62" t="str">
        <f ca="1">IFERROR(__xludf.dummyfunction("IF(Z26="""","""",QUERY(Hallazgos!C:I,""SELECT max(H) WHERE E CONTAINS 'Alcance:""&amp;Z26&amp;""' LABEL max(H) ''""))"),"")</f>
        <v/>
      </c>
    </row>
    <row r="27" spans="1:28" ht="14.25" x14ac:dyDescent="0.2">
      <c r="A27" s="60" t="s">
        <v>269</v>
      </c>
      <c r="B27" s="56">
        <v>1</v>
      </c>
      <c r="C27" s="53"/>
      <c r="D27" s="60">
        <v>10</v>
      </c>
      <c r="E27" s="63" t="s">
        <v>269</v>
      </c>
      <c r="F27" s="52">
        <f t="shared" si="8"/>
        <v>10</v>
      </c>
      <c r="G27" s="52">
        <f t="shared" si="9"/>
        <v>0</v>
      </c>
      <c r="H27" s="52">
        <f t="shared" si="10"/>
        <v>0</v>
      </c>
      <c r="I27" s="53"/>
      <c r="J27" s="53"/>
      <c r="K27" s="53"/>
      <c r="L27" s="53"/>
      <c r="M27" s="53"/>
      <c r="N27" s="53"/>
      <c r="O27" s="53"/>
      <c r="P27" s="62"/>
      <c r="Q27" s="62">
        <f t="shared" ca="1" si="0"/>
        <v>2</v>
      </c>
      <c r="R27" s="62" t="str">
        <f t="shared" ca="1" si="1"/>
        <v/>
      </c>
      <c r="S27" s="62" t="str">
        <f t="shared" ca="1" si="2"/>
        <v/>
      </c>
      <c r="T27" s="62" t="str">
        <f t="shared" ca="1" si="3"/>
        <v/>
      </c>
      <c r="U27" s="62" t="str">
        <f t="shared" ca="1" si="4"/>
        <v/>
      </c>
      <c r="V27" s="62"/>
      <c r="W27" s="62"/>
      <c r="X27" s="62"/>
      <c r="Y27" s="62" t="str">
        <f ca="1">IFERROR(__xludf.dummyfunction("IF(W27="""","""",QUERY(Hallazgos!C:I,""SELECT max(H) WHERE E CONTAINS 'Activo:""&amp;W27&amp;""' LABEL max(H) ''""))"),"")</f>
        <v/>
      </c>
      <c r="Z27" s="62"/>
      <c r="AA27" s="62"/>
      <c r="AB27" s="62" t="str">
        <f ca="1">IFERROR(__xludf.dummyfunction("IF(Z27="""","""",QUERY(Hallazgos!C:I,""SELECT max(H) WHERE E CONTAINS 'Alcance:""&amp;Z27&amp;""' LABEL max(H) ''""))"),"")</f>
        <v/>
      </c>
    </row>
    <row r="28" spans="1:28" ht="14.25" x14ac:dyDescent="0.2">
      <c r="A28" s="60" t="s">
        <v>210</v>
      </c>
      <c r="B28" s="56">
        <v>1</v>
      </c>
      <c r="C28" s="53"/>
      <c r="D28" s="60">
        <v>10</v>
      </c>
      <c r="E28" s="63" t="s">
        <v>210</v>
      </c>
      <c r="F28" s="52">
        <f t="shared" si="8"/>
        <v>10</v>
      </c>
      <c r="G28" s="52">
        <f t="shared" si="9"/>
        <v>0</v>
      </c>
      <c r="H28" s="52">
        <f t="shared" si="10"/>
        <v>0</v>
      </c>
      <c r="I28" s="53"/>
      <c r="J28" s="53"/>
      <c r="K28" s="53"/>
      <c r="L28" s="53"/>
      <c r="M28" s="53"/>
      <c r="N28" s="53"/>
      <c r="O28" s="53"/>
      <c r="P28" s="62"/>
      <c r="Q28" s="62">
        <f t="shared" ca="1" si="0"/>
        <v>2</v>
      </c>
      <c r="R28" s="62" t="str">
        <f t="shared" ca="1" si="1"/>
        <v/>
      </c>
      <c r="S28" s="62" t="str">
        <f t="shared" ca="1" si="2"/>
        <v/>
      </c>
      <c r="T28" s="62" t="str">
        <f t="shared" ca="1" si="3"/>
        <v/>
      </c>
      <c r="U28" s="62" t="str">
        <f t="shared" ca="1" si="4"/>
        <v/>
      </c>
      <c r="V28" s="62"/>
      <c r="W28" s="62"/>
      <c r="X28" s="62"/>
      <c r="Y28" s="62" t="str">
        <f ca="1">IFERROR(__xludf.dummyfunction("IF(W28="""","""",QUERY(Hallazgos!C:I,""SELECT max(H) WHERE E CONTAINS 'Activo:""&amp;W28&amp;""' LABEL max(H) ''""))"),"")</f>
        <v/>
      </c>
      <c r="Z28" s="62"/>
      <c r="AA28" s="62"/>
      <c r="AB28" s="62" t="str">
        <f ca="1">IFERROR(__xludf.dummyfunction("IF(Z28="""","""",QUERY(Hallazgos!C:I,""SELECT max(H) WHERE E CONTAINS 'Alcance:""&amp;Z28&amp;""' LABEL max(H) ''""))"),"")</f>
        <v/>
      </c>
    </row>
    <row r="29" spans="1:28" ht="14.25" x14ac:dyDescent="0.2">
      <c r="A29" s="60" t="s">
        <v>253</v>
      </c>
      <c r="B29" s="56">
        <v>1</v>
      </c>
      <c r="C29" s="53"/>
      <c r="D29" s="60">
        <v>10</v>
      </c>
      <c r="E29" s="63" t="s">
        <v>253</v>
      </c>
      <c r="F29" s="52">
        <f t="shared" si="8"/>
        <v>10</v>
      </c>
      <c r="G29" s="52">
        <f t="shared" si="9"/>
        <v>0</v>
      </c>
      <c r="H29" s="52">
        <f t="shared" si="10"/>
        <v>0</v>
      </c>
      <c r="I29" s="53"/>
      <c r="J29" s="53"/>
      <c r="K29" s="53"/>
      <c r="L29" s="53"/>
      <c r="M29" s="53"/>
      <c r="N29" s="53"/>
      <c r="O29" s="53"/>
      <c r="P29" s="62"/>
      <c r="Q29" s="62">
        <f t="shared" ca="1" si="0"/>
        <v>2</v>
      </c>
      <c r="R29" s="62" t="str">
        <f t="shared" ca="1" si="1"/>
        <v/>
      </c>
      <c r="S29" s="62" t="str">
        <f t="shared" ca="1" si="2"/>
        <v/>
      </c>
      <c r="T29" s="62" t="str">
        <f t="shared" ca="1" si="3"/>
        <v/>
      </c>
      <c r="U29" s="62" t="str">
        <f t="shared" ca="1" si="4"/>
        <v/>
      </c>
      <c r="V29" s="62"/>
      <c r="W29" s="62"/>
      <c r="X29" s="62"/>
      <c r="Y29" s="62" t="str">
        <f ca="1">IFERROR(__xludf.dummyfunction("IF(W29="""","""",QUERY(Hallazgos!C:I,""SELECT max(H) WHERE E CONTAINS 'Activo:""&amp;W29&amp;""' LABEL max(H) ''""))"),"")</f>
        <v/>
      </c>
      <c r="Z29" s="62"/>
      <c r="AA29" s="62"/>
      <c r="AB29" s="62" t="str">
        <f ca="1">IFERROR(__xludf.dummyfunction("IF(Z29="""","""",QUERY(Hallazgos!C:I,""SELECT max(H) WHERE E CONTAINS 'Alcance:""&amp;Z29&amp;""' LABEL max(H) ''""))"),"")</f>
        <v/>
      </c>
    </row>
    <row r="30" spans="1:28" ht="14.25" x14ac:dyDescent="0.2">
      <c r="A30" s="60"/>
      <c r="B30" s="56"/>
      <c r="C30" s="53"/>
      <c r="D30" s="60"/>
      <c r="E30" s="63"/>
      <c r="F30" s="52">
        <f t="shared" si="8"/>
        <v>0</v>
      </c>
      <c r="G30" s="52">
        <f t="shared" si="9"/>
        <v>0</v>
      </c>
      <c r="H30" s="52">
        <f t="shared" si="10"/>
        <v>0</v>
      </c>
      <c r="I30" s="53"/>
      <c r="J30" s="53"/>
      <c r="K30" s="53"/>
      <c r="L30" s="53"/>
      <c r="M30" s="53"/>
      <c r="N30" s="53"/>
      <c r="O30" s="53"/>
      <c r="P30" s="62"/>
      <c r="Q30" s="62">
        <f t="shared" ca="1" si="0"/>
        <v>2</v>
      </c>
      <c r="R30" s="62" t="str">
        <f t="shared" ca="1" si="1"/>
        <v/>
      </c>
      <c r="S30" s="62" t="str">
        <f t="shared" ca="1" si="2"/>
        <v/>
      </c>
      <c r="T30" s="62" t="str">
        <f t="shared" ca="1" si="3"/>
        <v/>
      </c>
      <c r="U30" s="62" t="str">
        <f t="shared" ca="1" si="4"/>
        <v/>
      </c>
      <c r="V30" s="62"/>
      <c r="W30" s="62"/>
      <c r="X30" s="62"/>
      <c r="Y30" s="62" t="str">
        <f ca="1">IFERROR(__xludf.dummyfunction("IF(W30="""","""",QUERY(Hallazgos!C:I,""SELECT max(H) WHERE E CONTAINS 'Activo:""&amp;W30&amp;""' LABEL max(H) ''""))"),"")</f>
        <v/>
      </c>
      <c r="Z30" s="62"/>
      <c r="AA30" s="62"/>
      <c r="AB30" s="62" t="str">
        <f ca="1">IFERROR(__xludf.dummyfunction("IF(Z30="""","""",QUERY(Hallazgos!C:I,""SELECT max(H) WHERE E CONTAINS 'Alcance:""&amp;Z30&amp;""' LABEL max(H) ''""))"),"")</f>
        <v/>
      </c>
    </row>
    <row r="31" spans="1:28" ht="14.25" x14ac:dyDescent="0.2">
      <c r="A31" s="60"/>
      <c r="B31" s="56"/>
      <c r="C31" s="53"/>
      <c r="D31" s="60"/>
      <c r="E31" s="63"/>
      <c r="F31" s="52">
        <f t="shared" si="8"/>
        <v>0</v>
      </c>
      <c r="G31" s="52">
        <f t="shared" si="9"/>
        <v>0</v>
      </c>
      <c r="H31" s="52">
        <f t="shared" si="10"/>
        <v>0</v>
      </c>
      <c r="I31" s="53"/>
      <c r="J31" s="53"/>
      <c r="K31" s="53"/>
      <c r="L31" s="53"/>
      <c r="M31" s="53"/>
      <c r="N31" s="53"/>
      <c r="O31" s="53"/>
      <c r="P31" s="62"/>
      <c r="Q31" s="62">
        <f t="shared" ca="1" si="0"/>
        <v>2</v>
      </c>
      <c r="R31" s="62" t="str">
        <f t="shared" ca="1" si="1"/>
        <v/>
      </c>
      <c r="S31" s="62" t="str">
        <f t="shared" ca="1" si="2"/>
        <v/>
      </c>
      <c r="T31" s="62" t="str">
        <f t="shared" ca="1" si="3"/>
        <v/>
      </c>
      <c r="U31" s="62" t="str">
        <f t="shared" ca="1" si="4"/>
        <v/>
      </c>
      <c r="V31" s="62"/>
      <c r="W31" s="62"/>
      <c r="X31" s="62"/>
      <c r="Y31" s="62" t="str">
        <f ca="1">IFERROR(__xludf.dummyfunction("IF(W31="""","""",QUERY(Hallazgos!C:I,""SELECT max(H) WHERE E CONTAINS 'Activo:""&amp;W31&amp;""' LABEL max(H) ''""))"),"")</f>
        <v/>
      </c>
      <c r="Z31" s="62"/>
      <c r="AA31" s="62"/>
      <c r="AB31" s="62" t="str">
        <f ca="1">IFERROR(__xludf.dummyfunction("IF(Z31="""","""",QUERY(Hallazgos!C:I,""SELECT max(H) WHERE E CONTAINS 'Alcance:""&amp;Z31&amp;""' LABEL max(H) ''""))"),"")</f>
        <v/>
      </c>
    </row>
    <row r="32" spans="1:28" ht="14.25" x14ac:dyDescent="0.2">
      <c r="A32" s="60"/>
      <c r="B32" s="56"/>
      <c r="C32" s="53"/>
      <c r="D32" s="60"/>
      <c r="E32" s="63"/>
      <c r="F32" s="52">
        <f t="shared" si="8"/>
        <v>0</v>
      </c>
      <c r="G32" s="52">
        <f t="shared" si="9"/>
        <v>0</v>
      </c>
      <c r="H32" s="52">
        <f t="shared" si="10"/>
        <v>0</v>
      </c>
      <c r="I32" s="53"/>
      <c r="J32" s="53"/>
      <c r="K32" s="53"/>
      <c r="L32" s="53"/>
      <c r="M32" s="53"/>
      <c r="N32" s="53"/>
      <c r="O32" s="53"/>
      <c r="P32" s="62"/>
      <c r="Q32" s="62">
        <f t="shared" ca="1" si="0"/>
        <v>2</v>
      </c>
      <c r="R32" s="62" t="str">
        <f t="shared" ca="1" si="1"/>
        <v/>
      </c>
      <c r="S32" s="62" t="str">
        <f t="shared" ca="1" si="2"/>
        <v/>
      </c>
      <c r="T32" s="62" t="str">
        <f t="shared" ca="1" si="3"/>
        <v/>
      </c>
      <c r="U32" s="62" t="str">
        <f t="shared" ca="1" si="4"/>
        <v/>
      </c>
      <c r="V32" s="62"/>
      <c r="W32" s="62"/>
      <c r="X32" s="62"/>
      <c r="Y32" s="62" t="str">
        <f ca="1">IFERROR(__xludf.dummyfunction("IF(W32="""","""",QUERY(Hallazgos!C:I,""SELECT max(H) WHERE E CONTAINS 'Activo:""&amp;W32&amp;""' LABEL max(H) ''""))"),"")</f>
        <v/>
      </c>
      <c r="Z32" s="62"/>
      <c r="AA32" s="62"/>
      <c r="AB32" s="62" t="str">
        <f ca="1">IFERROR(__xludf.dummyfunction("IF(Z32="""","""",QUERY(Hallazgos!C:I,""SELECT max(H) WHERE E CONTAINS 'Alcance:""&amp;Z32&amp;""' LABEL max(H) ''""))"),"")</f>
        <v/>
      </c>
    </row>
    <row r="33" spans="1:28" ht="14.25" x14ac:dyDescent="0.2">
      <c r="A33" s="60"/>
      <c r="B33" s="56"/>
      <c r="C33" s="53"/>
      <c r="D33" s="60"/>
      <c r="E33" s="63"/>
      <c r="F33" s="52">
        <f t="shared" si="8"/>
        <v>0</v>
      </c>
      <c r="G33" s="52">
        <f t="shared" si="9"/>
        <v>0</v>
      </c>
      <c r="H33" s="52">
        <f t="shared" si="10"/>
        <v>0</v>
      </c>
      <c r="I33" s="53"/>
      <c r="J33" s="53"/>
      <c r="K33" s="53"/>
      <c r="L33" s="53"/>
      <c r="M33" s="53"/>
      <c r="N33" s="53"/>
      <c r="O33" s="53"/>
      <c r="P33" s="62"/>
      <c r="Q33" s="62">
        <f t="shared" ca="1" si="0"/>
        <v>2</v>
      </c>
      <c r="R33" s="62" t="str">
        <f t="shared" ca="1" si="1"/>
        <v/>
      </c>
      <c r="S33" s="62" t="str">
        <f t="shared" ca="1" si="2"/>
        <v/>
      </c>
      <c r="T33" s="62" t="str">
        <f t="shared" ca="1" si="3"/>
        <v/>
      </c>
      <c r="U33" s="62" t="str">
        <f t="shared" ca="1" si="4"/>
        <v/>
      </c>
      <c r="V33" s="62"/>
      <c r="W33" s="62"/>
      <c r="X33" s="62"/>
      <c r="Y33" s="62" t="str">
        <f ca="1">IFERROR(__xludf.dummyfunction("IF(W33="""","""",QUERY(Hallazgos!C:I,""SELECT max(H) WHERE E CONTAINS 'Activo:""&amp;W33&amp;""' LABEL max(H) ''""))"),"")</f>
        <v/>
      </c>
      <c r="Z33" s="62"/>
      <c r="AA33" s="62"/>
      <c r="AB33" s="62" t="str">
        <f ca="1">IFERROR(__xludf.dummyfunction("IF(Z33="""","""",QUERY(Hallazgos!C:I,""SELECT max(H) WHERE E CONTAINS 'Alcance:""&amp;Z33&amp;""' LABEL max(H) ''""))"),"")</f>
        <v/>
      </c>
    </row>
    <row r="34" spans="1:28" ht="14.25" x14ac:dyDescent="0.2">
      <c r="A34" s="60"/>
      <c r="B34" s="56"/>
      <c r="C34" s="53"/>
      <c r="D34" s="60"/>
      <c r="E34" s="63"/>
      <c r="F34" s="52">
        <f t="shared" si="8"/>
        <v>0</v>
      </c>
      <c r="G34" s="52">
        <f t="shared" si="9"/>
        <v>0</v>
      </c>
      <c r="H34" s="52">
        <f t="shared" si="10"/>
        <v>0</v>
      </c>
      <c r="I34" s="53"/>
      <c r="J34" s="53"/>
      <c r="K34" s="53"/>
      <c r="L34" s="53"/>
      <c r="M34" s="53"/>
      <c r="N34" s="53"/>
      <c r="O34" s="53"/>
      <c r="P34" s="62"/>
      <c r="Q34" s="62">
        <f t="shared" ca="1" si="0"/>
        <v>2</v>
      </c>
      <c r="R34" s="62" t="str">
        <f t="shared" ca="1" si="1"/>
        <v/>
      </c>
      <c r="S34" s="62" t="str">
        <f t="shared" ca="1" si="2"/>
        <v/>
      </c>
      <c r="T34" s="62" t="str">
        <f t="shared" ca="1" si="3"/>
        <v/>
      </c>
      <c r="U34" s="62" t="str">
        <f t="shared" ca="1" si="4"/>
        <v/>
      </c>
      <c r="V34" s="62"/>
      <c r="W34" s="62"/>
      <c r="X34" s="62"/>
      <c r="Y34" s="62" t="str">
        <f ca="1">IFERROR(__xludf.dummyfunction("IF(W34="""","""",QUERY(Hallazgos!C:I,""SELECT max(H) WHERE E CONTAINS 'Activo:""&amp;W34&amp;""' LABEL max(H) ''""))"),"")</f>
        <v/>
      </c>
      <c r="Z34" s="62"/>
      <c r="AA34" s="62"/>
      <c r="AB34" s="62" t="str">
        <f ca="1">IFERROR(__xludf.dummyfunction("IF(Z34="""","""",QUERY(Hallazgos!C:I,""SELECT max(H) WHERE E CONTAINS 'Alcance:""&amp;Z34&amp;""' LABEL max(H) ''""))"),"")</f>
        <v/>
      </c>
    </row>
    <row r="35" spans="1:28" ht="14.25" x14ac:dyDescent="0.2">
      <c r="A35" s="63"/>
      <c r="B35" s="56"/>
      <c r="C35" s="56"/>
      <c r="D35" s="60"/>
      <c r="E35" s="60"/>
      <c r="F35" s="52">
        <f t="shared" si="8"/>
        <v>0</v>
      </c>
      <c r="G35" s="52">
        <f t="shared" si="9"/>
        <v>0</v>
      </c>
      <c r="H35" s="52">
        <f t="shared" si="10"/>
        <v>0</v>
      </c>
      <c r="I35" s="53"/>
      <c r="J35" s="53"/>
      <c r="K35" s="53"/>
      <c r="L35" s="53"/>
      <c r="M35" s="53"/>
      <c r="N35" s="53"/>
      <c r="O35" s="53"/>
      <c r="P35" s="62"/>
      <c r="Q35" s="62">
        <f t="shared" ca="1" si="0"/>
        <v>2</v>
      </c>
      <c r="R35" s="62" t="str">
        <f t="shared" ca="1" si="1"/>
        <v/>
      </c>
      <c r="S35" s="62" t="str">
        <f t="shared" ca="1" si="2"/>
        <v/>
      </c>
      <c r="T35" s="62" t="str">
        <f t="shared" ca="1" si="3"/>
        <v/>
      </c>
      <c r="U35" s="62" t="str">
        <f t="shared" ca="1" si="4"/>
        <v/>
      </c>
      <c r="V35" s="62"/>
      <c r="W35" s="62"/>
      <c r="X35" s="62"/>
      <c r="Y35" s="62" t="str">
        <f ca="1">IFERROR(__xludf.dummyfunction("IF(W35="""","""",QUERY(Hallazgos!C:I,""SELECT max(H) WHERE E CONTAINS 'Activo:""&amp;W35&amp;""' LABEL max(H) ''""))"),"")</f>
        <v/>
      </c>
      <c r="Z35" s="62"/>
      <c r="AA35" s="62"/>
      <c r="AB35" s="62" t="str">
        <f ca="1">IFERROR(__xludf.dummyfunction("IF(Z35="""","""",QUERY(Hallazgos!C:I,""SELECT max(H) WHERE E CONTAINS 'Alcance:""&amp;Z35&amp;""' LABEL max(H) ''""))"),"")</f>
        <v/>
      </c>
    </row>
    <row r="36" spans="1:28" ht="14.25" x14ac:dyDescent="0.2">
      <c r="A36" s="60"/>
      <c r="B36" s="56"/>
      <c r="C36" s="53"/>
      <c r="D36" s="60"/>
      <c r="E36" s="63"/>
      <c r="F36" s="52">
        <f t="shared" si="8"/>
        <v>0</v>
      </c>
      <c r="G36" s="52">
        <f t="shared" si="9"/>
        <v>0</v>
      </c>
      <c r="H36" s="52">
        <f t="shared" si="10"/>
        <v>0</v>
      </c>
      <c r="I36" s="53"/>
      <c r="J36" s="53"/>
      <c r="K36" s="53"/>
      <c r="L36" s="53"/>
      <c r="M36" s="53"/>
      <c r="N36" s="53"/>
      <c r="O36" s="53"/>
      <c r="P36" s="62"/>
      <c r="Q36" s="62">
        <f t="shared" ca="1" si="0"/>
        <v>2</v>
      </c>
      <c r="R36" s="62" t="str">
        <f t="shared" ca="1" si="1"/>
        <v/>
      </c>
      <c r="S36" s="62" t="str">
        <f t="shared" ca="1" si="2"/>
        <v/>
      </c>
      <c r="T36" s="62" t="str">
        <f t="shared" ca="1" si="3"/>
        <v/>
      </c>
      <c r="U36" s="62" t="str">
        <f t="shared" ca="1" si="4"/>
        <v/>
      </c>
      <c r="V36" s="62"/>
      <c r="W36" s="62"/>
      <c r="X36" s="62"/>
      <c r="Y36" s="62" t="str">
        <f ca="1">IFERROR(__xludf.dummyfunction("IF(W36="""","""",QUERY(Hallazgos!C:I,""SELECT max(H) WHERE E CONTAINS 'Activo:""&amp;W36&amp;""' LABEL max(H) ''""))"),"")</f>
        <v/>
      </c>
      <c r="Z36" s="62"/>
      <c r="AA36" s="62"/>
      <c r="AB36" s="62" t="str">
        <f ca="1">IFERROR(__xludf.dummyfunction("IF(Z36="""","""",QUERY(Hallazgos!C:I,""SELECT max(H) WHERE E CONTAINS 'Alcance:""&amp;Z36&amp;""' LABEL max(H) ''""))"),"")</f>
        <v/>
      </c>
    </row>
    <row r="37" spans="1:28" ht="14.25" x14ac:dyDescent="0.2">
      <c r="A37" s="60"/>
      <c r="B37" s="56"/>
      <c r="C37" s="53"/>
      <c r="D37" s="60"/>
      <c r="E37" s="63"/>
      <c r="F37" s="52">
        <f t="shared" si="8"/>
        <v>0</v>
      </c>
      <c r="G37" s="52">
        <f t="shared" si="9"/>
        <v>0</v>
      </c>
      <c r="H37" s="52">
        <f t="shared" si="10"/>
        <v>0</v>
      </c>
      <c r="I37" s="53"/>
      <c r="J37" s="53"/>
      <c r="K37" s="53"/>
      <c r="L37" s="53"/>
      <c r="M37" s="53"/>
      <c r="N37" s="53"/>
      <c r="O37" s="53"/>
      <c r="P37" s="62"/>
      <c r="Q37" s="62">
        <f t="shared" ca="1" si="0"/>
        <v>2</v>
      </c>
      <c r="R37" s="62" t="str">
        <f t="shared" ca="1" si="1"/>
        <v/>
      </c>
      <c r="S37" s="62" t="str">
        <f t="shared" ca="1" si="2"/>
        <v/>
      </c>
      <c r="T37" s="62" t="str">
        <f t="shared" ca="1" si="3"/>
        <v/>
      </c>
      <c r="U37" s="62" t="str">
        <f t="shared" ca="1" si="4"/>
        <v/>
      </c>
      <c r="V37" s="62"/>
      <c r="W37" s="62"/>
      <c r="X37" s="62"/>
      <c r="Y37" s="62" t="str">
        <f ca="1">IFERROR(__xludf.dummyfunction("IF(W37="""","""",QUERY(Hallazgos!C:I,""SELECT max(H) WHERE E CONTAINS 'Activo:""&amp;W37&amp;""' LABEL max(H) ''""))"),"")</f>
        <v/>
      </c>
      <c r="Z37" s="62"/>
      <c r="AA37" s="62"/>
      <c r="AB37" s="62" t="str">
        <f ca="1">IFERROR(__xludf.dummyfunction("IF(Z37="""","""",QUERY(Hallazgos!C:I,""SELECT max(H) WHERE E CONTAINS 'Alcance:""&amp;Z37&amp;""' LABEL max(H) ''""))"),"")</f>
        <v/>
      </c>
    </row>
    <row r="38" spans="1:28" ht="14.25" x14ac:dyDescent="0.2">
      <c r="A38" s="60"/>
      <c r="B38" s="56"/>
      <c r="C38" s="53"/>
      <c r="D38" s="60"/>
      <c r="E38" s="63"/>
      <c r="F38" s="52">
        <f t="shared" si="8"/>
        <v>0</v>
      </c>
      <c r="G38" s="52">
        <f t="shared" si="9"/>
        <v>0</v>
      </c>
      <c r="H38" s="52">
        <f t="shared" si="10"/>
        <v>0</v>
      </c>
      <c r="I38" s="53"/>
      <c r="J38" s="53"/>
      <c r="K38" s="53"/>
      <c r="L38" s="53"/>
      <c r="M38" s="53"/>
      <c r="N38" s="53"/>
      <c r="O38" s="53"/>
      <c r="P38" s="62"/>
      <c r="Q38" s="62">
        <f t="shared" ca="1" si="0"/>
        <v>2</v>
      </c>
      <c r="R38" s="62" t="str">
        <f t="shared" ca="1" si="1"/>
        <v/>
      </c>
      <c r="S38" s="62" t="str">
        <f t="shared" ca="1" si="2"/>
        <v/>
      </c>
      <c r="T38" s="62" t="str">
        <f t="shared" ca="1" si="3"/>
        <v/>
      </c>
      <c r="U38" s="62" t="str">
        <f t="shared" ca="1" si="4"/>
        <v/>
      </c>
      <c r="V38" s="62"/>
      <c r="W38" s="62"/>
      <c r="X38" s="62"/>
      <c r="Y38" s="62" t="str">
        <f ca="1">IFERROR(__xludf.dummyfunction("IF(W38="""","""",QUERY(Hallazgos!C:I,""SELECT max(H) WHERE E CONTAINS 'Activo:""&amp;W38&amp;""' LABEL max(H) ''""))"),"")</f>
        <v/>
      </c>
      <c r="Z38" s="62"/>
      <c r="AA38" s="62"/>
      <c r="AB38" s="62" t="str">
        <f ca="1">IFERROR(__xludf.dummyfunction("IF(Z38="""","""",QUERY(Hallazgos!C:I,""SELECT max(H) WHERE E CONTAINS 'Alcance:""&amp;Z38&amp;""' LABEL max(H) ''""))"),"")</f>
        <v/>
      </c>
    </row>
    <row r="39" spans="1:28" ht="14.25" x14ac:dyDescent="0.2">
      <c r="A39" s="60"/>
      <c r="B39" s="56"/>
      <c r="C39" s="53"/>
      <c r="D39" s="60"/>
      <c r="E39" s="63"/>
      <c r="F39" s="52">
        <f t="shared" si="8"/>
        <v>0</v>
      </c>
      <c r="G39" s="52">
        <f t="shared" si="9"/>
        <v>0</v>
      </c>
      <c r="H39" s="52">
        <f t="shared" si="10"/>
        <v>0</v>
      </c>
      <c r="I39" s="53"/>
      <c r="J39" s="53"/>
      <c r="K39" s="53"/>
      <c r="L39" s="53"/>
      <c r="M39" s="53"/>
      <c r="N39" s="53"/>
      <c r="O39" s="53"/>
      <c r="P39" s="62"/>
      <c r="Q39" s="62">
        <f t="shared" ca="1" si="0"/>
        <v>2</v>
      </c>
      <c r="R39" s="62" t="str">
        <f t="shared" ca="1" si="1"/>
        <v/>
      </c>
      <c r="S39" s="62" t="str">
        <f t="shared" ca="1" si="2"/>
        <v/>
      </c>
      <c r="T39" s="62" t="str">
        <f t="shared" ca="1" si="3"/>
        <v/>
      </c>
      <c r="U39" s="62" t="str">
        <f t="shared" ca="1" si="4"/>
        <v/>
      </c>
      <c r="V39" s="62"/>
      <c r="W39" s="62"/>
      <c r="X39" s="62"/>
      <c r="Y39" s="62" t="str">
        <f ca="1">IFERROR(__xludf.dummyfunction("IF(W39="""","""",QUERY(Hallazgos!C:I,""SELECT max(H) WHERE E CONTAINS 'Activo:""&amp;W39&amp;""' LABEL max(H) ''""))"),"")</f>
        <v/>
      </c>
      <c r="Z39" s="62"/>
      <c r="AA39" s="62"/>
      <c r="AB39" s="62" t="str">
        <f ca="1">IFERROR(__xludf.dummyfunction("IF(Z39="""","""",QUERY(Hallazgos!C:I,""SELECT max(H) WHERE E CONTAINS 'Alcance:""&amp;Z39&amp;""' LABEL max(H) ''""))"),"")</f>
        <v/>
      </c>
    </row>
    <row r="40" spans="1:28" ht="14.25" x14ac:dyDescent="0.2">
      <c r="A40" s="60"/>
      <c r="B40" s="56"/>
      <c r="C40" s="53"/>
      <c r="D40" s="60"/>
      <c r="E40" s="63"/>
      <c r="F40" s="52">
        <f t="shared" si="8"/>
        <v>0</v>
      </c>
      <c r="G40" s="52">
        <f t="shared" si="9"/>
        <v>0</v>
      </c>
      <c r="H40" s="52">
        <f t="shared" si="10"/>
        <v>0</v>
      </c>
      <c r="I40" s="53"/>
      <c r="J40" s="53"/>
      <c r="K40" s="53"/>
      <c r="L40" s="53"/>
      <c r="M40" s="53"/>
      <c r="N40" s="53"/>
      <c r="O40" s="53"/>
      <c r="P40" s="62"/>
      <c r="Q40" s="62">
        <f t="shared" ca="1" si="0"/>
        <v>2</v>
      </c>
      <c r="R40" s="62" t="str">
        <f t="shared" ca="1" si="1"/>
        <v/>
      </c>
      <c r="S40" s="62" t="str">
        <f t="shared" ca="1" si="2"/>
        <v/>
      </c>
      <c r="T40" s="62" t="str">
        <f t="shared" ca="1" si="3"/>
        <v/>
      </c>
      <c r="U40" s="62" t="str">
        <f t="shared" ca="1" si="4"/>
        <v/>
      </c>
      <c r="V40" s="62"/>
      <c r="W40" s="62"/>
      <c r="X40" s="62"/>
      <c r="Y40" s="62" t="str">
        <f ca="1">IFERROR(__xludf.dummyfunction("IF(W40="""","""",QUERY(Hallazgos!C:I,""SELECT max(H) WHERE E CONTAINS 'Activo:""&amp;W40&amp;""' LABEL max(H) ''""))"),"")</f>
        <v/>
      </c>
      <c r="Z40" s="62"/>
      <c r="AA40" s="62"/>
      <c r="AB40" s="62" t="str">
        <f ca="1">IFERROR(__xludf.dummyfunction("IF(Z40="""","""",QUERY(Hallazgos!C:I,""SELECT max(H) WHERE E CONTAINS 'Alcance:""&amp;Z40&amp;""' LABEL max(H) ''""))"),"")</f>
        <v/>
      </c>
    </row>
    <row r="41" spans="1:28" ht="14.25" x14ac:dyDescent="0.2">
      <c r="A41" s="60"/>
      <c r="B41" s="56"/>
      <c r="C41" s="53"/>
      <c r="D41" s="60"/>
      <c r="E41" s="63"/>
      <c r="F41" s="52">
        <f t="shared" si="8"/>
        <v>0</v>
      </c>
      <c r="G41" s="52">
        <f t="shared" si="9"/>
        <v>0</v>
      </c>
      <c r="H41" s="52">
        <f t="shared" si="10"/>
        <v>0</v>
      </c>
      <c r="I41" s="53"/>
      <c r="J41" s="53"/>
      <c r="K41" s="53"/>
      <c r="L41" s="53"/>
      <c r="M41" s="53"/>
      <c r="N41" s="53"/>
      <c r="O41" s="53"/>
      <c r="P41" s="62"/>
      <c r="Q41" s="62">
        <f t="shared" ca="1" si="0"/>
        <v>2</v>
      </c>
      <c r="R41" s="62" t="str">
        <f t="shared" ca="1" si="1"/>
        <v/>
      </c>
      <c r="S41" s="62" t="str">
        <f t="shared" ca="1" si="2"/>
        <v/>
      </c>
      <c r="T41" s="62" t="str">
        <f t="shared" ca="1" si="3"/>
        <v/>
      </c>
      <c r="U41" s="62" t="str">
        <f t="shared" ca="1" si="4"/>
        <v/>
      </c>
      <c r="V41" s="62"/>
      <c r="W41" s="62"/>
      <c r="X41" s="62"/>
      <c r="Y41" s="62" t="str">
        <f ca="1">IFERROR(__xludf.dummyfunction("IF(W41="""","""",QUERY(Hallazgos!C:I,""SELECT max(H) WHERE E CONTAINS 'Activo:""&amp;W41&amp;""' LABEL max(H) ''""))"),"")</f>
        <v/>
      </c>
      <c r="Z41" s="62"/>
      <c r="AA41" s="62"/>
      <c r="AB41" s="62" t="str">
        <f ca="1">IFERROR(__xludf.dummyfunction("IF(Z41="""","""",QUERY(Hallazgos!C:I,""SELECT max(H) WHERE E CONTAINS 'Alcance:""&amp;Z41&amp;""' LABEL max(H) ''""))"),"")</f>
        <v/>
      </c>
    </row>
    <row r="42" spans="1:28" ht="14.25" x14ac:dyDescent="0.2">
      <c r="A42" s="60"/>
      <c r="B42" s="56"/>
      <c r="C42" s="53"/>
      <c r="D42" s="60"/>
      <c r="E42" s="63"/>
      <c r="F42" s="52">
        <f t="shared" si="8"/>
        <v>0</v>
      </c>
      <c r="G42" s="52">
        <f t="shared" si="9"/>
        <v>0</v>
      </c>
      <c r="H42" s="52">
        <f t="shared" si="10"/>
        <v>0</v>
      </c>
      <c r="I42" s="53"/>
      <c r="J42" s="53"/>
      <c r="K42" s="53"/>
      <c r="L42" s="53"/>
      <c r="M42" s="53"/>
      <c r="N42" s="53"/>
      <c r="O42" s="53"/>
      <c r="P42" s="62"/>
      <c r="Q42" s="62">
        <f t="shared" ca="1" si="0"/>
        <v>2</v>
      </c>
      <c r="R42" s="62" t="str">
        <f t="shared" ca="1" si="1"/>
        <v/>
      </c>
      <c r="S42" s="62" t="str">
        <f t="shared" ca="1" si="2"/>
        <v/>
      </c>
      <c r="T42" s="62" t="str">
        <f t="shared" ca="1" si="3"/>
        <v/>
      </c>
      <c r="U42" s="62" t="str">
        <f t="shared" ca="1" si="4"/>
        <v/>
      </c>
      <c r="V42" s="62"/>
      <c r="W42" s="62"/>
      <c r="X42" s="62"/>
      <c r="Y42" s="62" t="str">
        <f ca="1">IFERROR(__xludf.dummyfunction("IF(W42="""","""",QUERY(Hallazgos!C:I,""SELECT max(H) WHERE E CONTAINS 'Activo:""&amp;W42&amp;""' LABEL max(H) ''""))"),"")</f>
        <v/>
      </c>
      <c r="Z42" s="62"/>
      <c r="AA42" s="62"/>
      <c r="AB42" s="62" t="str">
        <f ca="1">IFERROR(__xludf.dummyfunction("IF(Z42="""","""",QUERY(Hallazgos!C:I,""SELECT max(H) WHERE E CONTAINS 'Alcance:""&amp;Z42&amp;""' LABEL max(H) ''""))"),"")</f>
        <v/>
      </c>
    </row>
    <row r="43" spans="1:28" ht="14.25" x14ac:dyDescent="0.2">
      <c r="A43" s="60"/>
      <c r="B43" s="56"/>
      <c r="C43" s="53"/>
      <c r="D43" s="60"/>
      <c r="E43" s="63"/>
      <c r="F43" s="52">
        <f t="shared" si="8"/>
        <v>0</v>
      </c>
      <c r="G43" s="52">
        <f t="shared" si="9"/>
        <v>0</v>
      </c>
      <c r="H43" s="52">
        <f t="shared" si="10"/>
        <v>0</v>
      </c>
      <c r="I43" s="53"/>
      <c r="J43" s="53"/>
      <c r="K43" s="53"/>
      <c r="L43" s="53"/>
      <c r="M43" s="53"/>
      <c r="N43" s="53"/>
      <c r="O43" s="53"/>
      <c r="P43" s="62"/>
      <c r="Q43" s="62">
        <f t="shared" ca="1" si="0"/>
        <v>2</v>
      </c>
      <c r="R43" s="62" t="str">
        <f t="shared" ca="1" si="1"/>
        <v/>
      </c>
      <c r="S43" s="62" t="str">
        <f t="shared" ca="1" si="2"/>
        <v/>
      </c>
      <c r="T43" s="62" t="str">
        <f t="shared" ca="1" si="3"/>
        <v/>
      </c>
      <c r="U43" s="62" t="str">
        <f t="shared" ca="1" si="4"/>
        <v/>
      </c>
      <c r="V43" s="62"/>
      <c r="W43" s="62"/>
      <c r="X43" s="62"/>
      <c r="Y43" s="62" t="str">
        <f ca="1">IFERROR(__xludf.dummyfunction("IF(W43="""","""",QUERY(Hallazgos!C:I,""SELECT max(H) WHERE E CONTAINS 'Activo:""&amp;W43&amp;""' LABEL max(H) ''""))"),"")</f>
        <v/>
      </c>
      <c r="Z43" s="62"/>
      <c r="AA43" s="62"/>
      <c r="AB43" s="62" t="str">
        <f ca="1">IFERROR(__xludf.dummyfunction("IF(Z43="""","""",QUERY(Hallazgos!C:I,""SELECT max(H) WHERE E CONTAINS 'Alcance:""&amp;Z43&amp;""' LABEL max(H) ''""))"),"")</f>
        <v/>
      </c>
    </row>
    <row r="44" spans="1:28" ht="14.25" x14ac:dyDescent="0.2">
      <c r="A44" s="60"/>
      <c r="B44" s="56"/>
      <c r="C44" s="53"/>
      <c r="D44" s="60"/>
      <c r="E44" s="63"/>
      <c r="F44" s="62"/>
      <c r="G44" s="53" t="str">
        <f>LEFT(F44,3)</f>
        <v/>
      </c>
      <c r="H44" s="53" t="str">
        <f>LEFT(F44,3)</f>
        <v/>
      </c>
      <c r="I44" s="53"/>
      <c r="J44" s="53"/>
      <c r="K44" s="53"/>
      <c r="L44" s="53"/>
      <c r="M44" s="53"/>
      <c r="N44" s="53"/>
      <c r="O44" s="53"/>
      <c r="P44" s="62"/>
      <c r="Q44" s="62"/>
      <c r="R44" s="62"/>
      <c r="S44" s="62"/>
      <c r="T44" s="62"/>
      <c r="U44" s="62"/>
      <c r="V44" s="62"/>
      <c r="W44" s="62"/>
      <c r="X44" s="62"/>
      <c r="Y44" s="62"/>
      <c r="Z44" s="62"/>
      <c r="AA44" s="62"/>
      <c r="AB44" s="68"/>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Normal="100" workbookViewId="0">
      <selection activeCell="J21" sqref="J21"/>
    </sheetView>
  </sheetViews>
  <sheetFormatPr baseColWidth="10" defaultColWidth="9.140625" defaultRowHeight="12.75" x14ac:dyDescent="0.2"/>
  <cols>
    <col min="1" max="1025" width="9.140625" customWidth="1"/>
  </cols>
  <sheetData>
    <row r="1" spans="1:26" ht="15" x14ac:dyDescent="0.25">
      <c r="A1" s="69" t="s">
        <v>670</v>
      </c>
      <c r="B1" s="69" t="s">
        <v>671</v>
      </c>
      <c r="C1" s="69" t="s">
        <v>672</v>
      </c>
      <c r="D1" s="69" t="s">
        <v>673</v>
      </c>
      <c r="E1" s="69" t="s">
        <v>674</v>
      </c>
      <c r="F1" s="69" t="s">
        <v>675</v>
      </c>
      <c r="G1" s="69" t="s">
        <v>676</v>
      </c>
      <c r="H1" s="69" t="s">
        <v>677</v>
      </c>
      <c r="I1" s="69" t="s">
        <v>678</v>
      </c>
      <c r="J1" s="69" t="s">
        <v>679</v>
      </c>
      <c r="K1" s="70" t="s">
        <v>680</v>
      </c>
      <c r="L1" s="69" t="s">
        <v>681</v>
      </c>
      <c r="M1" s="69" t="s">
        <v>682</v>
      </c>
      <c r="N1" s="69" t="s">
        <v>683</v>
      </c>
      <c r="O1" s="69" t="s">
        <v>684</v>
      </c>
      <c r="P1" s="69" t="s">
        <v>685</v>
      </c>
      <c r="Q1" s="69" t="s">
        <v>686</v>
      </c>
      <c r="R1" s="69" t="s">
        <v>687</v>
      </c>
      <c r="S1" s="71"/>
      <c r="T1" s="71"/>
      <c r="U1" s="71"/>
      <c r="V1" s="71"/>
      <c r="W1" s="71"/>
      <c r="X1" s="71"/>
      <c r="Y1" s="71"/>
      <c r="Z1" s="71"/>
    </row>
    <row r="2" spans="1:26" ht="14.25" x14ac:dyDescent="0.2">
      <c r="A2" s="71" t="s">
        <v>688</v>
      </c>
      <c r="B2" s="71" t="s">
        <v>689</v>
      </c>
      <c r="C2" s="71" t="s">
        <v>690</v>
      </c>
      <c r="D2" s="71" t="s">
        <v>691</v>
      </c>
      <c r="E2" s="71" t="s">
        <v>692</v>
      </c>
      <c r="F2" s="71" t="s">
        <v>693</v>
      </c>
      <c r="G2" s="71" t="s">
        <v>694</v>
      </c>
      <c r="H2" s="71" t="s">
        <v>695</v>
      </c>
      <c r="I2" s="71" t="s">
        <v>696</v>
      </c>
      <c r="J2" s="71" t="s">
        <v>697</v>
      </c>
      <c r="K2" s="71" t="s">
        <v>698</v>
      </c>
      <c r="L2" s="72">
        <v>1</v>
      </c>
      <c r="M2" s="71" t="s">
        <v>699</v>
      </c>
      <c r="N2" s="71" t="s">
        <v>700</v>
      </c>
      <c r="O2" s="71" t="s">
        <v>701</v>
      </c>
      <c r="P2" s="71" t="s">
        <v>702</v>
      </c>
      <c r="Q2" s="71" t="s">
        <v>703</v>
      </c>
      <c r="R2" s="71" t="s">
        <v>139</v>
      </c>
      <c r="S2" s="71"/>
      <c r="T2" s="71"/>
      <c r="U2" s="71"/>
      <c r="V2" s="71"/>
      <c r="W2" s="71"/>
      <c r="X2" s="71"/>
      <c r="Y2" s="71"/>
      <c r="Z2" s="71"/>
    </row>
    <row r="3" spans="1:26" ht="14.25" x14ac:dyDescent="0.2">
      <c r="A3" s="71" t="s">
        <v>704</v>
      </c>
      <c r="B3" s="71" t="s">
        <v>705</v>
      </c>
      <c r="C3" s="71" t="s">
        <v>706</v>
      </c>
      <c r="D3" s="71" t="s">
        <v>210</v>
      </c>
      <c r="E3" s="71" t="s">
        <v>707</v>
      </c>
      <c r="F3" s="71" t="s">
        <v>708</v>
      </c>
      <c r="G3" s="71" t="s">
        <v>709</v>
      </c>
      <c r="H3" s="71" t="s">
        <v>710</v>
      </c>
      <c r="I3" s="71" t="s">
        <v>711</v>
      </c>
      <c r="J3" s="71" t="s">
        <v>712</v>
      </c>
      <c r="K3" s="71" t="s">
        <v>713</v>
      </c>
      <c r="L3" s="72">
        <v>2</v>
      </c>
      <c r="M3" s="71" t="s">
        <v>714</v>
      </c>
      <c r="N3" s="71" t="s">
        <v>715</v>
      </c>
      <c r="O3" s="71" t="s">
        <v>716</v>
      </c>
      <c r="P3" s="71" t="s">
        <v>717</v>
      </c>
      <c r="Q3" s="71" t="s">
        <v>718</v>
      </c>
      <c r="R3" s="71"/>
      <c r="S3" s="71"/>
      <c r="T3" s="71"/>
      <c r="U3" s="71"/>
      <c r="V3" s="71"/>
      <c r="W3" s="71"/>
      <c r="X3" s="71"/>
      <c r="Y3" s="71"/>
      <c r="Z3" s="71"/>
    </row>
    <row r="4" spans="1:26" ht="14.25" x14ac:dyDescent="0.2">
      <c r="A4" s="71" t="s">
        <v>719</v>
      </c>
      <c r="B4" s="71" t="s">
        <v>720</v>
      </c>
      <c r="C4" s="71" t="s">
        <v>721</v>
      </c>
      <c r="D4" s="71" t="s">
        <v>722</v>
      </c>
      <c r="E4" s="71" t="s">
        <v>723</v>
      </c>
      <c r="F4" s="71" t="s">
        <v>724</v>
      </c>
      <c r="G4" s="71" t="s">
        <v>725</v>
      </c>
      <c r="H4" s="71" t="s">
        <v>210</v>
      </c>
      <c r="I4" s="71" t="s">
        <v>726</v>
      </c>
      <c r="J4" s="71" t="s">
        <v>727</v>
      </c>
      <c r="K4" s="71" t="s">
        <v>728</v>
      </c>
      <c r="L4" s="72">
        <v>3</v>
      </c>
      <c r="M4" s="71" t="s">
        <v>729</v>
      </c>
      <c r="N4" s="71" t="s">
        <v>263</v>
      </c>
      <c r="O4" s="71" t="s">
        <v>730</v>
      </c>
      <c r="P4" s="71" t="s">
        <v>731</v>
      </c>
      <c r="Q4" s="71" t="s">
        <v>732</v>
      </c>
      <c r="R4" s="71"/>
      <c r="S4" s="71"/>
      <c r="T4" s="71"/>
      <c r="U4" s="71"/>
      <c r="V4" s="71"/>
      <c r="W4" s="71"/>
      <c r="X4" s="71"/>
      <c r="Y4" s="71"/>
      <c r="Z4" s="71"/>
    </row>
    <row r="5" spans="1:26" ht="14.25" x14ac:dyDescent="0.2">
      <c r="A5" s="71" t="s">
        <v>733</v>
      </c>
      <c r="B5" s="71" t="s">
        <v>734</v>
      </c>
      <c r="C5" s="71" t="s">
        <v>735</v>
      </c>
      <c r="D5" s="71" t="s">
        <v>736</v>
      </c>
      <c r="E5" s="71" t="s">
        <v>737</v>
      </c>
      <c r="F5" s="71" t="s">
        <v>738</v>
      </c>
      <c r="G5" s="71" t="s">
        <v>739</v>
      </c>
      <c r="H5" s="71" t="s">
        <v>740</v>
      </c>
      <c r="I5" s="71" t="s">
        <v>739</v>
      </c>
      <c r="J5" s="71"/>
      <c r="K5" s="71" t="s">
        <v>741</v>
      </c>
      <c r="L5" s="72">
        <v>4</v>
      </c>
      <c r="M5" s="71" t="s">
        <v>742</v>
      </c>
      <c r="N5" s="71" t="s">
        <v>743</v>
      </c>
      <c r="O5" s="71" t="s">
        <v>744</v>
      </c>
      <c r="P5" s="71" t="s">
        <v>745</v>
      </c>
      <c r="Q5" s="71" t="s">
        <v>746</v>
      </c>
      <c r="R5" s="71"/>
      <c r="S5" s="71"/>
      <c r="T5" s="71"/>
      <c r="U5" s="71"/>
      <c r="V5" s="71"/>
      <c r="W5" s="71"/>
      <c r="X5" s="71"/>
      <c r="Y5" s="71"/>
      <c r="Z5" s="71"/>
    </row>
    <row r="6" spans="1:26" ht="14.25" x14ac:dyDescent="0.2">
      <c r="A6" s="71" t="s">
        <v>747</v>
      </c>
      <c r="B6" s="71" t="s">
        <v>689</v>
      </c>
      <c r="C6" s="71" t="s">
        <v>748</v>
      </c>
      <c r="D6" s="71" t="s">
        <v>740</v>
      </c>
      <c r="E6" s="71" t="s">
        <v>749</v>
      </c>
      <c r="F6" s="71" t="s">
        <v>750</v>
      </c>
      <c r="G6" s="71" t="s">
        <v>751</v>
      </c>
      <c r="H6" s="71" t="s">
        <v>752</v>
      </c>
      <c r="I6" s="73" t="s">
        <v>753</v>
      </c>
      <c r="J6" s="71"/>
      <c r="K6" s="71" t="s">
        <v>739</v>
      </c>
      <c r="L6" s="72">
        <v>5</v>
      </c>
      <c r="M6" s="71" t="s">
        <v>739</v>
      </c>
      <c r="N6" s="71" t="s">
        <v>450</v>
      </c>
      <c r="O6" s="71" t="s">
        <v>754</v>
      </c>
      <c r="P6" s="71" t="s">
        <v>755</v>
      </c>
      <c r="Q6" s="71" t="s">
        <v>756</v>
      </c>
      <c r="R6" s="71"/>
      <c r="S6" s="71"/>
      <c r="T6" s="71"/>
      <c r="U6" s="71"/>
      <c r="V6" s="71"/>
      <c r="W6" s="71"/>
      <c r="X6" s="71"/>
      <c r="Y6" s="71"/>
      <c r="Z6" s="71"/>
    </row>
    <row r="7" spans="1:26" ht="14.25" x14ac:dyDescent="0.2">
      <c r="A7" s="71" t="s">
        <v>757</v>
      </c>
      <c r="B7" s="71" t="s">
        <v>758</v>
      </c>
      <c r="C7" s="71" t="s">
        <v>759</v>
      </c>
      <c r="D7" s="71"/>
      <c r="E7" s="71" t="s">
        <v>760</v>
      </c>
      <c r="F7" s="71"/>
      <c r="G7" s="71" t="s">
        <v>761</v>
      </c>
      <c r="H7" s="71"/>
      <c r="I7" s="73" t="s">
        <v>762</v>
      </c>
      <c r="J7" s="73"/>
      <c r="K7" s="71"/>
      <c r="L7" s="71" t="s">
        <v>739</v>
      </c>
      <c r="M7" s="71" t="s">
        <v>763</v>
      </c>
      <c r="N7" s="71" t="s">
        <v>764</v>
      </c>
      <c r="O7" s="71" t="s">
        <v>765</v>
      </c>
      <c r="P7" s="71" t="s">
        <v>766</v>
      </c>
      <c r="Q7" s="71" t="s">
        <v>767</v>
      </c>
      <c r="R7" s="71"/>
      <c r="S7" s="71"/>
      <c r="T7" s="71"/>
      <c r="U7" s="71"/>
      <c r="V7" s="71"/>
      <c r="W7" s="71"/>
      <c r="X7" s="71"/>
      <c r="Y7" s="71"/>
      <c r="Z7" s="71"/>
    </row>
    <row r="8" spans="1:26" ht="14.25" x14ac:dyDescent="0.2">
      <c r="A8" s="71" t="s">
        <v>768</v>
      </c>
      <c r="B8" s="71" t="s">
        <v>769</v>
      </c>
      <c r="C8" s="71" t="s">
        <v>770</v>
      </c>
      <c r="D8" s="71"/>
      <c r="E8" s="71" t="s">
        <v>771</v>
      </c>
      <c r="F8" s="71"/>
      <c r="G8" s="71" t="s">
        <v>772</v>
      </c>
      <c r="H8" s="71"/>
      <c r="I8" s="73" t="s">
        <v>773</v>
      </c>
      <c r="J8" s="73"/>
      <c r="K8" s="71"/>
      <c r="L8" s="71"/>
      <c r="M8" s="71"/>
      <c r="N8" s="71" t="s">
        <v>774</v>
      </c>
      <c r="O8" s="71" t="s">
        <v>775</v>
      </c>
      <c r="P8" s="71" t="s">
        <v>776</v>
      </c>
      <c r="Q8" s="71" t="s">
        <v>777</v>
      </c>
      <c r="R8" s="71"/>
      <c r="S8" s="71"/>
      <c r="T8" s="71"/>
      <c r="U8" s="71"/>
      <c r="V8" s="71"/>
      <c r="W8" s="71"/>
      <c r="X8" s="71"/>
      <c r="Y8" s="71"/>
      <c r="Z8" s="71"/>
    </row>
    <row r="9" spans="1:26" ht="14.25" x14ac:dyDescent="0.2">
      <c r="A9" s="71" t="s">
        <v>778</v>
      </c>
      <c r="B9" s="71" t="s">
        <v>779</v>
      </c>
      <c r="C9" s="71" t="s">
        <v>780</v>
      </c>
      <c r="D9" s="71"/>
      <c r="E9" s="71" t="s">
        <v>781</v>
      </c>
      <c r="F9" s="71"/>
      <c r="G9" s="71" t="s">
        <v>782</v>
      </c>
      <c r="H9" s="71"/>
      <c r="I9" s="73" t="s">
        <v>783</v>
      </c>
      <c r="J9" s="71"/>
      <c r="K9" s="71"/>
      <c r="L9" s="71"/>
      <c r="M9" s="71"/>
      <c r="N9" s="71" t="s">
        <v>784</v>
      </c>
      <c r="O9" s="71" t="s">
        <v>785</v>
      </c>
      <c r="P9" s="71" t="s">
        <v>786</v>
      </c>
      <c r="Q9" s="71" t="s">
        <v>787</v>
      </c>
      <c r="R9" s="71"/>
      <c r="S9" s="71"/>
      <c r="T9" s="71"/>
      <c r="U9" s="71"/>
      <c r="V9" s="71"/>
      <c r="W9" s="71"/>
      <c r="X9" s="71"/>
      <c r="Y9" s="71"/>
      <c r="Z9" s="71"/>
    </row>
    <row r="10" spans="1:26" ht="14.25" x14ac:dyDescent="0.2">
      <c r="A10" s="71" t="s">
        <v>788</v>
      </c>
      <c r="B10" s="71" t="s">
        <v>789</v>
      </c>
      <c r="C10" s="71" t="s">
        <v>790</v>
      </c>
      <c r="D10" s="71"/>
      <c r="E10" s="71" t="s">
        <v>791</v>
      </c>
      <c r="F10" s="71"/>
      <c r="G10" s="71" t="s">
        <v>792</v>
      </c>
      <c r="H10" s="71"/>
      <c r="I10" s="73" t="s">
        <v>793</v>
      </c>
      <c r="J10" s="73"/>
      <c r="K10" s="73"/>
      <c r="L10" s="73"/>
      <c r="M10" s="71"/>
      <c r="N10" s="71" t="s">
        <v>794</v>
      </c>
      <c r="O10" s="71" t="s">
        <v>795</v>
      </c>
      <c r="P10" s="71" t="s">
        <v>796</v>
      </c>
      <c r="Q10" s="71" t="s">
        <v>797</v>
      </c>
      <c r="R10" s="71"/>
      <c r="S10" s="71"/>
      <c r="T10" s="71"/>
      <c r="U10" s="71"/>
      <c r="V10" s="71"/>
      <c r="W10" s="71"/>
      <c r="X10" s="71"/>
      <c r="Y10" s="71"/>
      <c r="Z10" s="71"/>
    </row>
    <row r="11" spans="1:26" ht="14.25" x14ac:dyDescent="0.2">
      <c r="A11" s="71" t="s">
        <v>798</v>
      </c>
      <c r="B11" s="71" t="s">
        <v>740</v>
      </c>
      <c r="C11" s="71" t="s">
        <v>799</v>
      </c>
      <c r="D11" s="71"/>
      <c r="E11" s="71" t="s">
        <v>800</v>
      </c>
      <c r="F11" s="71"/>
      <c r="G11" s="71" t="s">
        <v>801</v>
      </c>
      <c r="H11" s="71"/>
      <c r="I11" s="73" t="s">
        <v>802</v>
      </c>
      <c r="J11" s="71"/>
      <c r="K11" s="71"/>
      <c r="L11" s="71"/>
      <c r="M11" s="71"/>
      <c r="N11" s="71" t="s">
        <v>161</v>
      </c>
      <c r="O11" s="71" t="s">
        <v>803</v>
      </c>
      <c r="P11" s="71" t="s">
        <v>804</v>
      </c>
      <c r="Q11" s="71"/>
      <c r="R11" s="71"/>
      <c r="S11" s="71"/>
      <c r="T11" s="71"/>
      <c r="U11" s="71"/>
      <c r="V11" s="71"/>
      <c r="W11" s="71"/>
      <c r="X11" s="71"/>
      <c r="Y11" s="71"/>
      <c r="Z11" s="71"/>
    </row>
    <row r="12" spans="1:26" ht="14.25" x14ac:dyDescent="0.2">
      <c r="A12" s="71"/>
      <c r="B12" s="71" t="s">
        <v>805</v>
      </c>
      <c r="C12" s="71" t="s">
        <v>806</v>
      </c>
      <c r="D12" s="71"/>
      <c r="E12" s="71" t="s">
        <v>807</v>
      </c>
      <c r="F12" s="71"/>
      <c r="G12" s="71"/>
      <c r="H12" s="71"/>
      <c r="I12" s="71" t="s">
        <v>312</v>
      </c>
      <c r="J12" s="71"/>
      <c r="K12" s="71"/>
      <c r="L12" s="71"/>
      <c r="M12" s="71"/>
      <c r="N12" s="71" t="s">
        <v>808</v>
      </c>
      <c r="O12" s="71" t="s">
        <v>809</v>
      </c>
      <c r="P12" s="71" t="s">
        <v>810</v>
      </c>
      <c r="Q12" s="71"/>
      <c r="R12" s="71"/>
      <c r="S12" s="71"/>
      <c r="T12" s="71"/>
      <c r="U12" s="71"/>
      <c r="V12" s="71"/>
      <c r="W12" s="71"/>
      <c r="X12" s="71"/>
      <c r="Y12" s="71"/>
      <c r="Z12" s="71"/>
    </row>
    <row r="13" spans="1:26" ht="14.25" x14ac:dyDescent="0.2">
      <c r="A13" s="71"/>
      <c r="B13" s="71" t="s">
        <v>811</v>
      </c>
      <c r="C13" s="71" t="s">
        <v>812</v>
      </c>
      <c r="D13" s="71"/>
      <c r="E13" s="71" t="s">
        <v>813</v>
      </c>
      <c r="F13" s="71"/>
      <c r="G13" s="71"/>
      <c r="H13" s="71"/>
      <c r="I13" s="73" t="s">
        <v>814</v>
      </c>
      <c r="J13" s="71"/>
      <c r="K13" s="71"/>
      <c r="L13" s="71"/>
      <c r="M13" s="71"/>
      <c r="N13" s="71" t="s">
        <v>815</v>
      </c>
      <c r="O13" s="71" t="s">
        <v>816</v>
      </c>
      <c r="P13" s="71" t="s">
        <v>817</v>
      </c>
      <c r="Q13" s="71"/>
      <c r="R13" s="71"/>
      <c r="S13" s="71"/>
      <c r="T13" s="71"/>
      <c r="U13" s="71"/>
      <c r="V13" s="71"/>
      <c r="W13" s="71"/>
      <c r="X13" s="71"/>
      <c r="Y13" s="71"/>
      <c r="Z13" s="71"/>
    </row>
    <row r="14" spans="1:26" ht="14.25" x14ac:dyDescent="0.2">
      <c r="A14" s="71"/>
      <c r="B14" s="71"/>
      <c r="C14" s="71" t="s">
        <v>719</v>
      </c>
      <c r="D14" s="71"/>
      <c r="E14" s="71" t="s">
        <v>818</v>
      </c>
      <c r="F14" s="71"/>
      <c r="G14" s="71"/>
      <c r="H14" s="71"/>
      <c r="I14" s="73" t="s">
        <v>819</v>
      </c>
      <c r="J14" s="71"/>
      <c r="K14" s="71"/>
      <c r="L14" s="71"/>
      <c r="M14" s="71"/>
      <c r="N14" s="71" t="s">
        <v>820</v>
      </c>
      <c r="O14" s="71"/>
      <c r="P14" s="71" t="s">
        <v>821</v>
      </c>
      <c r="Q14" s="71"/>
      <c r="R14" s="71"/>
      <c r="S14" s="71"/>
      <c r="T14" s="71"/>
      <c r="U14" s="71"/>
      <c r="V14" s="71"/>
      <c r="W14" s="71"/>
      <c r="X14" s="71"/>
      <c r="Y14" s="71"/>
      <c r="Z14" s="71"/>
    </row>
    <row r="15" spans="1:26" ht="14.25" x14ac:dyDescent="0.2">
      <c r="A15" s="71"/>
      <c r="B15" s="71"/>
      <c r="C15" s="71" t="s">
        <v>822</v>
      </c>
      <c r="D15" s="71"/>
      <c r="E15" s="71" t="s">
        <v>823</v>
      </c>
      <c r="F15" s="71"/>
      <c r="G15" s="71"/>
      <c r="H15" s="71"/>
      <c r="I15" s="73" t="s">
        <v>824</v>
      </c>
      <c r="J15" s="73"/>
      <c r="K15" s="71"/>
      <c r="L15" s="71"/>
      <c r="M15" s="71"/>
      <c r="N15" s="71" t="s">
        <v>825</v>
      </c>
      <c r="O15" s="71"/>
      <c r="P15" s="71" t="s">
        <v>826</v>
      </c>
      <c r="Q15" s="71"/>
      <c r="R15" s="71"/>
      <c r="S15" s="71"/>
      <c r="T15" s="71"/>
      <c r="U15" s="71"/>
      <c r="V15" s="71"/>
      <c r="W15" s="71"/>
      <c r="X15" s="71"/>
      <c r="Y15" s="71"/>
      <c r="Z15" s="71"/>
    </row>
    <row r="16" spans="1:26" ht="14.25" x14ac:dyDescent="0.2">
      <c r="A16" s="71"/>
      <c r="B16" s="71"/>
      <c r="C16" s="71" t="s">
        <v>827</v>
      </c>
      <c r="D16" s="71"/>
      <c r="E16" s="71"/>
      <c r="F16" s="71"/>
      <c r="G16" s="71"/>
      <c r="H16" s="71"/>
      <c r="I16" s="71"/>
      <c r="J16" s="71"/>
      <c r="K16" s="71"/>
      <c r="L16" s="71"/>
      <c r="M16" s="71"/>
      <c r="N16" s="71" t="s">
        <v>828</v>
      </c>
      <c r="O16" s="71"/>
      <c r="P16" s="71" t="s">
        <v>829</v>
      </c>
      <c r="Q16" s="71"/>
      <c r="R16" s="71"/>
      <c r="S16" s="71"/>
      <c r="T16" s="71"/>
      <c r="U16" s="71"/>
      <c r="V16" s="71"/>
      <c r="W16" s="71"/>
      <c r="X16" s="71"/>
      <c r="Y16" s="71"/>
      <c r="Z16" s="71"/>
    </row>
    <row r="17" spans="1:26" ht="14.25" x14ac:dyDescent="0.2">
      <c r="A17" s="71"/>
      <c r="B17" s="71"/>
      <c r="C17" s="71" t="s">
        <v>830</v>
      </c>
      <c r="D17" s="71"/>
      <c r="E17" s="71"/>
      <c r="F17" s="71"/>
      <c r="G17" s="71"/>
      <c r="H17" s="71"/>
      <c r="I17" s="71"/>
      <c r="J17" s="71"/>
      <c r="K17" s="71"/>
      <c r="L17" s="71"/>
      <c r="M17" s="71"/>
      <c r="N17" s="71"/>
      <c r="O17" s="71"/>
      <c r="P17" s="71" t="s">
        <v>831</v>
      </c>
      <c r="Q17" s="71"/>
      <c r="R17" s="71"/>
      <c r="S17" s="71"/>
      <c r="T17" s="71"/>
      <c r="U17" s="71"/>
      <c r="V17" s="71"/>
      <c r="W17" s="71"/>
      <c r="X17" s="71"/>
      <c r="Y17" s="71"/>
      <c r="Z17" s="71"/>
    </row>
    <row r="18" spans="1:26" ht="14.25" x14ac:dyDescent="0.2">
      <c r="A18" s="71"/>
      <c r="B18" s="71"/>
      <c r="C18" s="71" t="s">
        <v>832</v>
      </c>
      <c r="D18" s="71"/>
      <c r="E18" s="71"/>
      <c r="F18" s="71"/>
      <c r="G18" s="71"/>
      <c r="H18" s="71"/>
      <c r="I18" s="71"/>
      <c r="J18" s="71"/>
      <c r="K18" s="71"/>
      <c r="L18" s="71"/>
      <c r="M18" s="71"/>
      <c r="N18" s="71"/>
      <c r="O18" s="71"/>
      <c r="P18" s="71" t="s">
        <v>833</v>
      </c>
      <c r="Q18" s="71"/>
      <c r="R18" s="71"/>
      <c r="S18" s="71"/>
      <c r="T18" s="71"/>
      <c r="U18" s="71"/>
      <c r="V18" s="71"/>
      <c r="W18" s="71"/>
      <c r="X18" s="71"/>
      <c r="Y18" s="71"/>
      <c r="Z18" s="71"/>
    </row>
    <row r="19" spans="1:26" ht="14.25" x14ac:dyDescent="0.2">
      <c r="A19" s="71"/>
      <c r="B19" s="71"/>
      <c r="C19" s="71" t="s">
        <v>834</v>
      </c>
      <c r="D19" s="71"/>
      <c r="E19" s="71"/>
      <c r="F19" s="71"/>
      <c r="G19" s="71"/>
      <c r="H19" s="71"/>
      <c r="I19" s="71"/>
      <c r="J19" s="71"/>
      <c r="K19" s="71"/>
      <c r="L19" s="71"/>
      <c r="M19" s="71"/>
      <c r="N19" s="71"/>
      <c r="O19" s="71"/>
      <c r="P19" s="71" t="s">
        <v>835</v>
      </c>
      <c r="Q19" s="71"/>
      <c r="R19" s="71"/>
      <c r="S19" s="71"/>
      <c r="T19" s="71"/>
      <c r="U19" s="71"/>
      <c r="V19" s="71"/>
      <c r="W19" s="71"/>
      <c r="X19" s="71"/>
      <c r="Y19" s="71"/>
      <c r="Z19" s="71"/>
    </row>
    <row r="20" spans="1:26" ht="14.25" x14ac:dyDescent="0.2">
      <c r="A20" s="71"/>
      <c r="B20" s="71"/>
      <c r="C20" s="71" t="s">
        <v>740</v>
      </c>
      <c r="D20" s="71"/>
      <c r="E20" s="71"/>
      <c r="F20" s="71"/>
      <c r="G20" s="71"/>
      <c r="H20" s="71"/>
      <c r="I20" s="71"/>
      <c r="J20" s="71"/>
      <c r="K20" s="71"/>
      <c r="L20" s="71"/>
      <c r="M20" s="71"/>
      <c r="N20" s="71"/>
      <c r="O20" s="71"/>
      <c r="P20" s="71" t="s">
        <v>836</v>
      </c>
      <c r="Q20" s="71"/>
      <c r="R20" s="71"/>
      <c r="S20" s="71"/>
      <c r="T20" s="71"/>
      <c r="U20" s="71"/>
      <c r="V20" s="71"/>
      <c r="W20" s="71"/>
      <c r="X20" s="71"/>
      <c r="Y20" s="71"/>
      <c r="Z20" s="71"/>
    </row>
    <row r="21" spans="1:26" ht="14.25" x14ac:dyDescent="0.2">
      <c r="A21" s="71"/>
      <c r="B21" s="71"/>
      <c r="C21" s="71" t="s">
        <v>837</v>
      </c>
      <c r="D21" s="71"/>
      <c r="E21" s="71"/>
      <c r="F21" s="71"/>
      <c r="G21" s="71"/>
      <c r="H21" s="71"/>
      <c r="I21" s="71"/>
      <c r="J21" s="71"/>
      <c r="K21" s="71"/>
      <c r="L21" s="71"/>
      <c r="M21" s="71"/>
      <c r="N21" s="71"/>
      <c r="O21" s="71"/>
      <c r="P21" s="71" t="s">
        <v>838</v>
      </c>
      <c r="Q21" s="71"/>
      <c r="R21" s="71"/>
      <c r="S21" s="71"/>
      <c r="T21" s="71"/>
      <c r="U21" s="71"/>
      <c r="V21" s="71"/>
      <c r="W21" s="71"/>
      <c r="X21" s="71"/>
      <c r="Y21" s="71"/>
      <c r="Z21" s="71"/>
    </row>
    <row r="22" spans="1:26" ht="14.25" x14ac:dyDescent="0.2">
      <c r="A22" s="71"/>
      <c r="B22" s="71"/>
      <c r="C22" s="71" t="s">
        <v>747</v>
      </c>
      <c r="D22" s="71"/>
      <c r="E22" s="71"/>
      <c r="F22" s="71"/>
      <c r="G22" s="71"/>
      <c r="H22" s="71"/>
      <c r="I22" s="71"/>
      <c r="J22" s="71"/>
      <c r="K22" s="71"/>
      <c r="L22" s="71"/>
      <c r="M22" s="71"/>
      <c r="N22" s="71"/>
      <c r="O22" s="71"/>
      <c r="P22" s="73" t="s">
        <v>839</v>
      </c>
      <c r="Q22" s="73"/>
      <c r="R22" s="71"/>
      <c r="S22" s="71"/>
      <c r="T22" s="71"/>
      <c r="U22" s="71"/>
      <c r="V22" s="71"/>
      <c r="W22" s="71"/>
      <c r="X22" s="71"/>
      <c r="Y22" s="71"/>
      <c r="Z22" s="71"/>
    </row>
    <row r="23" spans="1:26" ht="14.25" x14ac:dyDescent="0.2">
      <c r="A23" s="71"/>
      <c r="B23" s="71"/>
      <c r="C23" s="71" t="s">
        <v>840</v>
      </c>
      <c r="D23" s="71"/>
      <c r="E23" s="71"/>
      <c r="F23" s="71"/>
      <c r="G23" s="71"/>
      <c r="H23" s="71"/>
      <c r="I23" s="71"/>
      <c r="J23" s="71"/>
      <c r="K23" s="71"/>
      <c r="L23" s="71"/>
      <c r="M23" s="71"/>
      <c r="N23" s="71"/>
      <c r="O23" s="71"/>
      <c r="P23" s="73" t="s">
        <v>841</v>
      </c>
      <c r="Q23" s="71"/>
      <c r="R23" s="71"/>
      <c r="S23" s="71"/>
      <c r="T23" s="71"/>
      <c r="U23" s="71"/>
      <c r="V23" s="71"/>
      <c r="W23" s="71"/>
      <c r="X23" s="71"/>
      <c r="Y23" s="71"/>
      <c r="Z23" s="71"/>
    </row>
    <row r="24" spans="1:26" ht="14.25" x14ac:dyDescent="0.2">
      <c r="A24" s="71"/>
      <c r="B24" s="71"/>
      <c r="C24" s="71" t="s">
        <v>842</v>
      </c>
      <c r="D24" s="71"/>
      <c r="E24" s="71"/>
      <c r="F24" s="71"/>
      <c r="G24" s="71"/>
      <c r="H24" s="71"/>
      <c r="I24" s="71"/>
      <c r="J24" s="71"/>
      <c r="K24" s="71"/>
      <c r="L24" s="71"/>
      <c r="M24" s="71"/>
      <c r="N24" s="71"/>
      <c r="O24" s="71"/>
      <c r="P24" s="71" t="s">
        <v>843</v>
      </c>
      <c r="Q24" s="71"/>
      <c r="R24" s="71"/>
      <c r="S24" s="71"/>
      <c r="T24" s="71"/>
      <c r="U24" s="71"/>
      <c r="V24" s="71"/>
      <c r="W24" s="71"/>
      <c r="X24" s="71"/>
      <c r="Y24" s="71"/>
      <c r="Z24" s="71"/>
    </row>
    <row r="25" spans="1:26" ht="14.25" x14ac:dyDescent="0.2">
      <c r="A25" s="71"/>
      <c r="B25" s="71"/>
      <c r="C25" s="71" t="s">
        <v>844</v>
      </c>
      <c r="D25" s="71"/>
      <c r="E25" s="71"/>
      <c r="F25" s="71"/>
      <c r="G25" s="71"/>
      <c r="H25" s="71"/>
      <c r="I25" s="71"/>
      <c r="J25" s="71"/>
      <c r="K25" s="71"/>
      <c r="L25" s="71"/>
      <c r="M25" s="71"/>
      <c r="N25" s="71"/>
      <c r="O25" s="71"/>
      <c r="P25" s="71" t="s">
        <v>845</v>
      </c>
      <c r="Q25" s="71"/>
      <c r="R25" s="71"/>
      <c r="S25" s="71"/>
      <c r="T25" s="71"/>
      <c r="U25" s="71"/>
      <c r="V25" s="71"/>
      <c r="W25" s="71"/>
      <c r="X25" s="71"/>
      <c r="Y25" s="71"/>
      <c r="Z25" s="71"/>
    </row>
    <row r="26" spans="1:26" ht="14.25" x14ac:dyDescent="0.2">
      <c r="A26" s="71"/>
      <c r="B26" s="71"/>
      <c r="C26" s="71" t="s">
        <v>846</v>
      </c>
      <c r="D26" s="71"/>
      <c r="E26" s="71"/>
      <c r="F26" s="71"/>
      <c r="G26" s="71"/>
      <c r="H26" s="71"/>
      <c r="I26" s="71"/>
      <c r="J26" s="71"/>
      <c r="K26" s="71"/>
      <c r="L26" s="71"/>
      <c r="M26" s="71"/>
      <c r="N26" s="71"/>
      <c r="O26" s="71"/>
      <c r="P26" s="71" t="s">
        <v>847</v>
      </c>
      <c r="Q26" s="71"/>
      <c r="R26" s="71"/>
      <c r="S26" s="71"/>
      <c r="T26" s="71"/>
      <c r="U26" s="71"/>
      <c r="V26" s="71"/>
      <c r="W26" s="71"/>
      <c r="X26" s="71"/>
      <c r="Y26" s="71"/>
      <c r="Z26" s="71"/>
    </row>
    <row r="27" spans="1:26" ht="14.25" x14ac:dyDescent="0.2">
      <c r="A27" s="71"/>
      <c r="B27" s="71"/>
      <c r="C27" s="71" t="s">
        <v>848</v>
      </c>
      <c r="D27" s="71"/>
      <c r="E27" s="71"/>
      <c r="F27" s="71"/>
      <c r="G27" s="71"/>
      <c r="H27" s="71"/>
      <c r="I27" s="71"/>
      <c r="J27" s="71"/>
      <c r="K27" s="71"/>
      <c r="L27" s="71"/>
      <c r="M27" s="71"/>
      <c r="N27" s="71"/>
      <c r="O27" s="71"/>
      <c r="P27" s="71" t="s">
        <v>849</v>
      </c>
      <c r="Q27" s="71"/>
      <c r="R27" s="71"/>
      <c r="S27" s="71"/>
      <c r="T27" s="71"/>
      <c r="U27" s="71"/>
      <c r="V27" s="71"/>
      <c r="W27" s="71"/>
      <c r="X27" s="71"/>
      <c r="Y27" s="71"/>
      <c r="Z27" s="71"/>
    </row>
    <row r="28" spans="1:26" ht="14.25" x14ac:dyDescent="0.2">
      <c r="A28" s="71"/>
      <c r="B28" s="71"/>
      <c r="C28" s="71" t="s">
        <v>825</v>
      </c>
      <c r="D28" s="71"/>
      <c r="E28" s="71"/>
      <c r="F28" s="71"/>
      <c r="G28" s="71"/>
      <c r="H28" s="71"/>
      <c r="I28" s="71"/>
      <c r="J28" s="71"/>
      <c r="K28" s="71"/>
      <c r="L28" s="71"/>
      <c r="M28" s="71"/>
      <c r="N28" s="71"/>
      <c r="O28" s="71"/>
      <c r="P28" s="71" t="s">
        <v>850</v>
      </c>
      <c r="Q28" s="71"/>
      <c r="R28" s="71"/>
      <c r="S28" s="71"/>
      <c r="T28" s="71"/>
      <c r="U28" s="71"/>
      <c r="V28" s="71"/>
      <c r="W28" s="71"/>
      <c r="X28" s="71"/>
      <c r="Y28" s="71"/>
      <c r="Z28" s="71"/>
    </row>
    <row r="29" spans="1:26" ht="14.25" x14ac:dyDescent="0.2">
      <c r="A29" s="71"/>
      <c r="B29" s="71"/>
      <c r="C29" s="73" t="s">
        <v>851</v>
      </c>
      <c r="D29" s="71"/>
      <c r="E29" s="71"/>
      <c r="F29" s="71"/>
      <c r="G29" s="71"/>
      <c r="H29" s="71"/>
      <c r="I29" s="71"/>
      <c r="J29" s="71"/>
      <c r="K29" s="71"/>
      <c r="L29" s="71"/>
      <c r="M29" s="71"/>
      <c r="N29" s="71"/>
      <c r="O29" s="71"/>
      <c r="P29" s="71" t="s">
        <v>852</v>
      </c>
      <c r="Q29" s="71"/>
      <c r="R29" s="71"/>
      <c r="S29" s="71"/>
      <c r="T29" s="71"/>
      <c r="U29" s="71"/>
      <c r="V29" s="71"/>
      <c r="W29" s="71"/>
      <c r="X29" s="71"/>
      <c r="Y29" s="71"/>
      <c r="Z29" s="71"/>
    </row>
    <row r="30" spans="1:26" ht="14.25" x14ac:dyDescent="0.2">
      <c r="A30" s="71"/>
      <c r="B30" s="71"/>
      <c r="C30" s="71" t="s">
        <v>853</v>
      </c>
      <c r="D30" s="71"/>
      <c r="E30" s="71"/>
      <c r="F30" s="71"/>
      <c r="G30" s="71"/>
      <c r="H30" s="71"/>
      <c r="I30" s="71"/>
      <c r="J30" s="71"/>
      <c r="K30" s="71"/>
      <c r="L30" s="71"/>
      <c r="M30" s="71"/>
      <c r="N30" s="71"/>
      <c r="O30" s="71"/>
      <c r="P30" s="71" t="s">
        <v>854</v>
      </c>
      <c r="Q30" s="71"/>
      <c r="R30" s="71"/>
      <c r="S30" s="71"/>
      <c r="T30" s="71"/>
      <c r="U30" s="71"/>
      <c r="V30" s="71"/>
      <c r="W30" s="71"/>
      <c r="X30" s="71"/>
      <c r="Y30" s="71"/>
      <c r="Z30" s="71"/>
    </row>
    <row r="31" spans="1:26" ht="14.25" x14ac:dyDescent="0.2">
      <c r="A31" s="71"/>
      <c r="B31" s="71"/>
      <c r="C31" s="71" t="s">
        <v>855</v>
      </c>
      <c r="D31" s="71"/>
      <c r="E31" s="71"/>
      <c r="F31" s="71"/>
      <c r="G31" s="71"/>
      <c r="H31" s="71"/>
      <c r="I31" s="71"/>
      <c r="J31" s="71"/>
      <c r="K31" s="71"/>
      <c r="L31" s="71"/>
      <c r="M31" s="71"/>
      <c r="N31" s="71"/>
      <c r="O31" s="71"/>
      <c r="P31" s="73" t="s">
        <v>856</v>
      </c>
      <c r="Q31" s="71"/>
      <c r="R31" s="71"/>
      <c r="S31" s="71"/>
      <c r="T31" s="71"/>
      <c r="U31" s="71"/>
      <c r="V31" s="71"/>
      <c r="W31" s="71"/>
      <c r="X31" s="71"/>
      <c r="Y31" s="71"/>
      <c r="Z31" s="71"/>
    </row>
    <row r="32" spans="1:26" ht="14.25" x14ac:dyDescent="0.2">
      <c r="A32" s="71"/>
      <c r="B32" s="71"/>
      <c r="C32" s="71" t="s">
        <v>857</v>
      </c>
      <c r="D32" s="71"/>
      <c r="E32" s="71"/>
      <c r="F32" s="71"/>
      <c r="G32" s="71"/>
      <c r="H32" s="71"/>
      <c r="I32" s="71"/>
      <c r="J32" s="71"/>
      <c r="K32" s="71"/>
      <c r="L32" s="71"/>
      <c r="M32" s="71"/>
      <c r="N32" s="71"/>
      <c r="O32" s="71"/>
      <c r="P32" s="71" t="s">
        <v>858</v>
      </c>
      <c r="Q32" s="71"/>
      <c r="R32" s="71"/>
      <c r="S32" s="71"/>
      <c r="T32" s="71"/>
      <c r="U32" s="71"/>
      <c r="V32" s="71"/>
      <c r="W32" s="71"/>
      <c r="X32" s="71"/>
      <c r="Y32" s="71"/>
      <c r="Z32" s="71"/>
    </row>
    <row r="33" spans="1:26" ht="14.25" x14ac:dyDescent="0.2">
      <c r="A33" s="71"/>
      <c r="B33" s="71"/>
      <c r="C33" s="71" t="s">
        <v>859</v>
      </c>
      <c r="D33" s="71"/>
      <c r="E33" s="71"/>
      <c r="F33" s="71"/>
      <c r="G33" s="71"/>
      <c r="H33" s="71"/>
      <c r="I33" s="71"/>
      <c r="J33" s="71"/>
      <c r="K33" s="71"/>
      <c r="L33" s="71"/>
      <c r="M33" s="71"/>
      <c r="N33" s="71"/>
      <c r="O33" s="71"/>
      <c r="P33" s="71" t="s">
        <v>860</v>
      </c>
      <c r="Q33" s="71"/>
      <c r="R33" s="71"/>
      <c r="S33" s="71"/>
      <c r="T33" s="71"/>
      <c r="U33" s="71"/>
      <c r="V33" s="71"/>
      <c r="W33" s="71"/>
      <c r="X33" s="71"/>
      <c r="Y33" s="71"/>
      <c r="Z33" s="71"/>
    </row>
    <row r="34" spans="1:26" ht="14.25" x14ac:dyDescent="0.2">
      <c r="A34" s="71"/>
      <c r="B34" s="71"/>
      <c r="C34" s="71" t="s">
        <v>861</v>
      </c>
      <c r="D34" s="71"/>
      <c r="E34" s="71"/>
      <c r="F34" s="71"/>
      <c r="G34" s="71"/>
      <c r="H34" s="71"/>
      <c r="I34" s="71"/>
      <c r="J34" s="71"/>
      <c r="K34" s="71"/>
      <c r="L34" s="71"/>
      <c r="M34" s="71"/>
      <c r="N34" s="71"/>
      <c r="O34" s="71"/>
      <c r="P34" s="71" t="s">
        <v>862</v>
      </c>
      <c r="Q34" s="71"/>
      <c r="R34" s="71"/>
      <c r="S34" s="71"/>
      <c r="T34" s="71"/>
      <c r="U34" s="71"/>
      <c r="V34" s="71"/>
      <c r="W34" s="71"/>
      <c r="X34" s="71"/>
      <c r="Y34" s="71"/>
      <c r="Z34" s="71"/>
    </row>
    <row r="35" spans="1:26" ht="14.25" x14ac:dyDescent="0.2">
      <c r="A35" s="71"/>
      <c r="B35" s="71"/>
      <c r="C35" s="71" t="s">
        <v>863</v>
      </c>
      <c r="D35" s="71"/>
      <c r="E35" s="71"/>
      <c r="F35" s="71"/>
      <c r="G35" s="71"/>
      <c r="H35" s="71"/>
      <c r="I35" s="71"/>
      <c r="J35" s="71"/>
      <c r="K35" s="71"/>
      <c r="L35" s="71"/>
      <c r="M35" s="71"/>
      <c r="N35" s="71"/>
      <c r="O35" s="71"/>
      <c r="P35" s="71" t="s">
        <v>864</v>
      </c>
      <c r="Q35" s="71"/>
      <c r="R35" s="71"/>
      <c r="S35" s="71"/>
      <c r="T35" s="71"/>
      <c r="U35" s="71"/>
      <c r="V35" s="71"/>
      <c r="W35" s="71"/>
      <c r="X35" s="71"/>
      <c r="Y35" s="71"/>
      <c r="Z35" s="71"/>
    </row>
    <row r="36" spans="1:26" ht="14.25" x14ac:dyDescent="0.2">
      <c r="A36" s="71"/>
      <c r="B36" s="71"/>
      <c r="C36" s="71" t="s">
        <v>865</v>
      </c>
      <c r="D36" s="71"/>
      <c r="E36" s="71"/>
      <c r="F36" s="71"/>
      <c r="G36" s="71"/>
      <c r="H36" s="71"/>
      <c r="I36" s="71"/>
      <c r="J36" s="71"/>
      <c r="K36" s="71"/>
      <c r="L36" s="71"/>
      <c r="M36" s="71"/>
      <c r="N36" s="71"/>
      <c r="O36" s="71"/>
      <c r="P36" s="71" t="s">
        <v>866</v>
      </c>
      <c r="Q36" s="71"/>
      <c r="R36" s="71"/>
      <c r="S36" s="71"/>
      <c r="T36" s="71"/>
      <c r="U36" s="71"/>
      <c r="V36" s="71"/>
      <c r="W36" s="71"/>
      <c r="X36" s="71"/>
      <c r="Y36" s="71"/>
      <c r="Z36" s="71"/>
    </row>
    <row r="37" spans="1:26" ht="14.25" x14ac:dyDescent="0.2">
      <c r="A37" s="71"/>
      <c r="B37" s="71"/>
      <c r="C37" s="71" t="s">
        <v>867</v>
      </c>
      <c r="D37" s="71"/>
      <c r="E37" s="71"/>
      <c r="F37" s="71"/>
      <c r="G37" s="71"/>
      <c r="H37" s="71"/>
      <c r="I37" s="71"/>
      <c r="J37" s="71"/>
      <c r="K37" s="71"/>
      <c r="L37" s="71"/>
      <c r="M37" s="71"/>
      <c r="N37" s="71"/>
      <c r="O37" s="71"/>
      <c r="P37" s="71" t="s">
        <v>868</v>
      </c>
      <c r="Q37" s="71"/>
      <c r="R37" s="71"/>
      <c r="S37" s="71"/>
      <c r="T37" s="71"/>
      <c r="U37" s="71"/>
      <c r="V37" s="71"/>
      <c r="W37" s="71"/>
      <c r="X37" s="71"/>
      <c r="Y37" s="71"/>
      <c r="Z37" s="71"/>
    </row>
    <row r="38" spans="1:26" ht="14.25" x14ac:dyDescent="0.2">
      <c r="A38" s="71"/>
      <c r="B38" s="71"/>
      <c r="C38" s="71"/>
      <c r="D38" s="71"/>
      <c r="E38" s="71"/>
      <c r="F38" s="71"/>
      <c r="G38" s="71"/>
      <c r="H38" s="71"/>
      <c r="I38" s="71"/>
      <c r="J38" s="71"/>
      <c r="K38" s="71"/>
      <c r="L38" s="71"/>
      <c r="M38" s="71"/>
      <c r="N38" s="71"/>
      <c r="O38" s="71"/>
      <c r="P38" s="71" t="s">
        <v>869</v>
      </c>
      <c r="Q38" s="71"/>
      <c r="R38" s="71"/>
      <c r="S38" s="71"/>
      <c r="T38" s="71"/>
      <c r="U38" s="71"/>
      <c r="V38" s="71"/>
      <c r="W38" s="71"/>
      <c r="X38" s="71"/>
      <c r="Y38" s="71"/>
      <c r="Z38" s="71"/>
    </row>
    <row r="39" spans="1:26" ht="14.25" x14ac:dyDescent="0.2">
      <c r="A39" s="71"/>
      <c r="B39" s="71"/>
      <c r="C39" s="71"/>
      <c r="D39" s="71"/>
      <c r="E39" s="71"/>
      <c r="F39" s="71"/>
      <c r="G39" s="71"/>
      <c r="H39" s="71"/>
      <c r="I39" s="71"/>
      <c r="J39" s="71"/>
      <c r="K39" s="71"/>
      <c r="L39" s="71"/>
      <c r="M39" s="71"/>
      <c r="N39" s="71"/>
      <c r="O39" s="71"/>
      <c r="P39" s="71" t="s">
        <v>870</v>
      </c>
      <c r="Q39" s="71"/>
      <c r="R39" s="71"/>
      <c r="S39" s="71"/>
      <c r="T39" s="71"/>
      <c r="U39" s="71"/>
      <c r="V39" s="71"/>
      <c r="W39" s="71"/>
      <c r="X39" s="71"/>
      <c r="Y39" s="71"/>
      <c r="Z39" s="71"/>
    </row>
    <row r="40" spans="1:26" ht="14.25" x14ac:dyDescent="0.2">
      <c r="A40" s="71"/>
      <c r="B40" s="71"/>
      <c r="C40" s="71"/>
      <c r="D40" s="71"/>
      <c r="E40" s="71"/>
      <c r="F40" s="71"/>
      <c r="G40" s="71"/>
      <c r="H40" s="71"/>
      <c r="I40" s="71"/>
      <c r="J40" s="71"/>
      <c r="K40" s="71"/>
      <c r="L40" s="71"/>
      <c r="M40" s="71"/>
      <c r="N40" s="71"/>
      <c r="O40" s="71"/>
      <c r="P40" s="71" t="s">
        <v>871</v>
      </c>
      <c r="Q40" s="71"/>
      <c r="R40" s="71"/>
      <c r="S40" s="71"/>
      <c r="T40" s="71"/>
      <c r="U40" s="71"/>
      <c r="V40" s="71"/>
      <c r="W40" s="71"/>
      <c r="X40" s="71"/>
      <c r="Y40" s="71"/>
      <c r="Z40" s="71"/>
    </row>
    <row r="41" spans="1:26" ht="14.25" x14ac:dyDescent="0.2">
      <c r="A41" s="71"/>
      <c r="B41" s="71"/>
      <c r="C41" s="71"/>
      <c r="D41" s="71"/>
      <c r="E41" s="71"/>
      <c r="F41" s="71"/>
      <c r="G41" s="71"/>
      <c r="H41" s="71"/>
      <c r="I41" s="71"/>
      <c r="J41" s="71"/>
      <c r="K41" s="71"/>
      <c r="L41" s="71"/>
      <c r="M41" s="71"/>
      <c r="N41" s="71"/>
      <c r="O41" s="71"/>
      <c r="P41" s="71" t="s">
        <v>872</v>
      </c>
      <c r="Q41" s="71"/>
      <c r="R41" s="71"/>
      <c r="S41" s="71"/>
      <c r="T41" s="71"/>
      <c r="U41" s="71"/>
      <c r="V41" s="71"/>
      <c r="W41" s="71"/>
      <c r="X41" s="71"/>
      <c r="Y41" s="71"/>
      <c r="Z41" s="71"/>
    </row>
    <row r="42" spans="1:26" ht="14.25" x14ac:dyDescent="0.2">
      <c r="A42" s="71"/>
      <c r="B42" s="71"/>
      <c r="C42" s="71"/>
      <c r="D42" s="71"/>
      <c r="E42" s="71"/>
      <c r="F42" s="71"/>
      <c r="G42" s="71"/>
      <c r="H42" s="71"/>
      <c r="I42" s="71"/>
      <c r="J42" s="71"/>
      <c r="K42" s="71"/>
      <c r="L42" s="71"/>
      <c r="M42" s="71"/>
      <c r="N42" s="71"/>
      <c r="O42" s="71"/>
      <c r="P42" s="71" t="s">
        <v>873</v>
      </c>
      <c r="Q42" s="71"/>
      <c r="R42" s="71"/>
      <c r="S42" s="71"/>
      <c r="T42" s="71"/>
      <c r="U42" s="71"/>
      <c r="V42" s="71"/>
      <c r="W42" s="71"/>
      <c r="X42" s="71"/>
      <c r="Y42" s="71"/>
      <c r="Z42" s="71"/>
    </row>
    <row r="43" spans="1:26" ht="14.25" x14ac:dyDescent="0.2">
      <c r="A43" s="71"/>
      <c r="B43" s="71"/>
      <c r="C43" s="71"/>
      <c r="D43" s="71"/>
      <c r="E43" s="71"/>
      <c r="F43" s="71"/>
      <c r="G43" s="71"/>
      <c r="H43" s="71"/>
      <c r="I43" s="71"/>
      <c r="J43" s="71"/>
      <c r="K43" s="71"/>
      <c r="L43" s="71"/>
      <c r="M43" s="71"/>
      <c r="N43" s="71"/>
      <c r="O43" s="71"/>
      <c r="P43" s="71" t="s">
        <v>874</v>
      </c>
      <c r="Q43" s="71"/>
      <c r="R43" s="71"/>
      <c r="S43" s="71"/>
      <c r="T43" s="71"/>
      <c r="U43" s="71"/>
      <c r="V43" s="71"/>
      <c r="W43" s="71"/>
      <c r="X43" s="71"/>
      <c r="Y43" s="71"/>
      <c r="Z43" s="71"/>
    </row>
    <row r="44" spans="1:26" ht="14.25" x14ac:dyDescent="0.2">
      <c r="A44" s="71"/>
      <c r="B44" s="71"/>
      <c r="C44" s="71"/>
      <c r="D44" s="71"/>
      <c r="E44" s="71"/>
      <c r="F44" s="71"/>
      <c r="G44" s="71"/>
      <c r="H44" s="71"/>
      <c r="I44" s="71"/>
      <c r="J44" s="71"/>
      <c r="K44" s="71"/>
      <c r="L44" s="71"/>
      <c r="M44" s="71"/>
      <c r="N44" s="71"/>
      <c r="O44" s="71"/>
      <c r="P44" s="71" t="s">
        <v>875</v>
      </c>
      <c r="Q44" s="71"/>
      <c r="R44" s="71"/>
      <c r="S44" s="71"/>
      <c r="T44" s="71"/>
      <c r="U44" s="71"/>
      <c r="V44" s="71"/>
      <c r="W44" s="71"/>
      <c r="X44" s="71"/>
      <c r="Y44" s="71"/>
      <c r="Z44" s="71"/>
    </row>
    <row r="45" spans="1:26" ht="14.25" x14ac:dyDescent="0.2">
      <c r="A45" s="71"/>
      <c r="B45" s="71"/>
      <c r="C45" s="71"/>
      <c r="D45" s="71"/>
      <c r="E45" s="71"/>
      <c r="F45" s="71"/>
      <c r="G45" s="71"/>
      <c r="H45" s="71"/>
      <c r="I45" s="71"/>
      <c r="J45" s="71"/>
      <c r="K45" s="71"/>
      <c r="L45" s="71"/>
      <c r="M45" s="71"/>
      <c r="N45" s="71"/>
      <c r="O45" s="71"/>
      <c r="P45" s="71" t="s">
        <v>876</v>
      </c>
      <c r="Q45" s="71"/>
      <c r="R45" s="71"/>
      <c r="S45" s="71"/>
      <c r="T45" s="71"/>
      <c r="U45" s="71"/>
      <c r="V45" s="71"/>
      <c r="W45" s="71"/>
      <c r="X45" s="71"/>
      <c r="Y45" s="71"/>
      <c r="Z45" s="71"/>
    </row>
    <row r="46" spans="1:26" ht="14.25" x14ac:dyDescent="0.2">
      <c r="A46" s="71"/>
      <c r="B46" s="71"/>
      <c r="C46" s="71"/>
      <c r="D46" s="71"/>
      <c r="E46" s="71"/>
      <c r="F46" s="71"/>
      <c r="G46" s="71"/>
      <c r="H46" s="71"/>
      <c r="I46" s="71"/>
      <c r="J46" s="71"/>
      <c r="K46" s="71"/>
      <c r="L46" s="71"/>
      <c r="M46" s="71"/>
      <c r="N46" s="71"/>
      <c r="O46" s="71"/>
      <c r="P46" s="71" t="s">
        <v>877</v>
      </c>
      <c r="Q46" s="71"/>
      <c r="R46" s="71"/>
      <c r="S46" s="71"/>
      <c r="T46" s="71"/>
      <c r="U46" s="71"/>
      <c r="V46" s="71"/>
      <c r="W46" s="71"/>
      <c r="X46" s="71"/>
      <c r="Y46" s="71"/>
      <c r="Z46" s="71"/>
    </row>
    <row r="47" spans="1:26" ht="14.25" x14ac:dyDescent="0.2">
      <c r="A47" s="71"/>
      <c r="B47" s="71"/>
      <c r="C47" s="71"/>
      <c r="D47" s="71"/>
      <c r="E47" s="71"/>
      <c r="F47" s="71"/>
      <c r="G47" s="71"/>
      <c r="H47" s="71"/>
      <c r="I47" s="71"/>
      <c r="J47" s="71"/>
      <c r="K47" s="71"/>
      <c r="L47" s="71"/>
      <c r="M47" s="71"/>
      <c r="N47" s="71"/>
      <c r="O47" s="71"/>
      <c r="P47" s="71" t="s">
        <v>878</v>
      </c>
      <c r="Q47" s="71"/>
      <c r="R47" s="71"/>
      <c r="S47" s="71"/>
      <c r="T47" s="71"/>
      <c r="U47" s="71"/>
      <c r="V47" s="71"/>
      <c r="W47" s="71"/>
      <c r="X47" s="71"/>
      <c r="Y47" s="71"/>
      <c r="Z47" s="71"/>
    </row>
    <row r="48" spans="1:26" ht="14.25" x14ac:dyDescent="0.2">
      <c r="A48" s="71"/>
      <c r="B48" s="71"/>
      <c r="C48" s="71"/>
      <c r="D48" s="71"/>
      <c r="E48" s="71"/>
      <c r="F48" s="71"/>
      <c r="G48" s="71"/>
      <c r="H48" s="71"/>
      <c r="I48" s="71"/>
      <c r="J48" s="71"/>
      <c r="K48" s="71"/>
      <c r="L48" s="71"/>
      <c r="M48" s="71"/>
      <c r="N48" s="71"/>
      <c r="O48" s="71"/>
      <c r="P48" s="71" t="s">
        <v>879</v>
      </c>
      <c r="Q48" s="71"/>
      <c r="R48" s="71"/>
      <c r="S48" s="71"/>
      <c r="T48" s="71"/>
      <c r="U48" s="71"/>
      <c r="V48" s="71"/>
      <c r="W48" s="71"/>
      <c r="X48" s="71"/>
      <c r="Y48" s="71"/>
      <c r="Z48" s="71"/>
    </row>
    <row r="49" spans="1:26" ht="14.25" x14ac:dyDescent="0.2">
      <c r="A49" s="71"/>
      <c r="B49" s="71"/>
      <c r="C49" s="71"/>
      <c r="D49" s="71"/>
      <c r="E49" s="71"/>
      <c r="F49" s="71"/>
      <c r="G49" s="71"/>
      <c r="H49" s="71"/>
      <c r="I49" s="71"/>
      <c r="J49" s="71"/>
      <c r="K49" s="71"/>
      <c r="L49" s="71"/>
      <c r="M49" s="71"/>
      <c r="N49" s="71"/>
      <c r="O49" s="71"/>
      <c r="P49" s="71" t="s">
        <v>880</v>
      </c>
      <c r="Q49" s="71"/>
      <c r="R49" s="71"/>
      <c r="S49" s="71"/>
      <c r="T49" s="71"/>
      <c r="U49" s="71"/>
      <c r="V49" s="71"/>
      <c r="W49" s="71"/>
      <c r="X49" s="71"/>
      <c r="Y49" s="71"/>
      <c r="Z49" s="71"/>
    </row>
    <row r="50" spans="1:26" ht="14.25" x14ac:dyDescent="0.2">
      <c r="A50" s="71"/>
      <c r="B50" s="71"/>
      <c r="C50" s="71"/>
      <c r="D50" s="71"/>
      <c r="E50" s="71"/>
      <c r="F50" s="71"/>
      <c r="G50" s="71"/>
      <c r="H50" s="71"/>
      <c r="I50" s="71"/>
      <c r="J50" s="71"/>
      <c r="K50" s="71"/>
      <c r="L50" s="71"/>
      <c r="M50" s="71"/>
      <c r="N50" s="71"/>
      <c r="O50" s="71"/>
      <c r="P50" s="71" t="s">
        <v>881</v>
      </c>
      <c r="Q50" s="71"/>
      <c r="R50" s="71"/>
      <c r="S50" s="71"/>
      <c r="T50" s="71"/>
      <c r="U50" s="71"/>
      <c r="V50" s="71"/>
      <c r="W50" s="71"/>
      <c r="X50" s="71"/>
      <c r="Y50" s="71"/>
      <c r="Z50" s="71"/>
    </row>
    <row r="51" spans="1:26" ht="14.25" x14ac:dyDescent="0.2">
      <c r="A51" s="71"/>
      <c r="B51" s="71"/>
      <c r="C51" s="71"/>
      <c r="D51" s="71"/>
      <c r="E51" s="71"/>
      <c r="F51" s="71"/>
      <c r="G51" s="71"/>
      <c r="H51" s="71"/>
      <c r="I51" s="71"/>
      <c r="J51" s="71"/>
      <c r="K51" s="71"/>
      <c r="L51" s="71"/>
      <c r="M51" s="71"/>
      <c r="N51" s="71"/>
      <c r="O51" s="71"/>
      <c r="P51" s="71" t="s">
        <v>882</v>
      </c>
      <c r="Q51" s="71"/>
      <c r="R51" s="71"/>
      <c r="S51" s="71"/>
      <c r="T51" s="71"/>
      <c r="U51" s="71"/>
      <c r="V51" s="71"/>
      <c r="W51" s="71"/>
      <c r="X51" s="71"/>
      <c r="Y51" s="71"/>
      <c r="Z51" s="71"/>
    </row>
    <row r="52" spans="1:26" ht="14.25" x14ac:dyDescent="0.2">
      <c r="A52" s="71"/>
      <c r="B52" s="71"/>
      <c r="C52" s="71"/>
      <c r="D52" s="71"/>
      <c r="E52" s="71"/>
      <c r="F52" s="71"/>
      <c r="G52" s="71"/>
      <c r="H52" s="71"/>
      <c r="I52" s="71"/>
      <c r="J52" s="71"/>
      <c r="K52" s="71"/>
      <c r="L52" s="71"/>
      <c r="M52" s="71"/>
      <c r="N52" s="71"/>
      <c r="O52" s="71"/>
      <c r="P52" s="71" t="s">
        <v>883</v>
      </c>
      <c r="Q52" s="71"/>
      <c r="R52" s="71"/>
      <c r="S52" s="71"/>
      <c r="T52" s="71"/>
      <c r="U52" s="71"/>
      <c r="V52" s="71"/>
      <c r="W52" s="71"/>
      <c r="X52" s="71"/>
      <c r="Y52" s="71"/>
      <c r="Z52" s="71"/>
    </row>
    <row r="53" spans="1:26" ht="14.25" x14ac:dyDescent="0.2">
      <c r="A53" s="71"/>
      <c r="B53" s="71"/>
      <c r="C53" s="71"/>
      <c r="D53" s="71"/>
      <c r="E53" s="71"/>
      <c r="F53" s="71"/>
      <c r="G53" s="71"/>
      <c r="H53" s="71"/>
      <c r="I53" s="71"/>
      <c r="J53" s="71"/>
      <c r="K53" s="71"/>
      <c r="L53" s="71"/>
      <c r="M53" s="71"/>
      <c r="N53" s="71"/>
      <c r="O53" s="71"/>
      <c r="P53" s="71" t="s">
        <v>884</v>
      </c>
      <c r="Q53" s="71"/>
      <c r="R53" s="71"/>
      <c r="S53" s="71"/>
      <c r="T53" s="71"/>
      <c r="U53" s="71"/>
      <c r="V53" s="71"/>
      <c r="W53" s="71"/>
      <c r="X53" s="71"/>
      <c r="Y53" s="71"/>
      <c r="Z53" s="71"/>
    </row>
    <row r="54" spans="1:26" ht="14.25" x14ac:dyDescent="0.2">
      <c r="A54" s="71"/>
      <c r="B54" s="71"/>
      <c r="C54" s="71"/>
      <c r="D54" s="71"/>
      <c r="E54" s="71"/>
      <c r="F54" s="71"/>
      <c r="G54" s="71"/>
      <c r="H54" s="71"/>
      <c r="I54" s="71"/>
      <c r="J54" s="71"/>
      <c r="K54" s="71"/>
      <c r="L54" s="71"/>
      <c r="M54" s="71"/>
      <c r="N54" s="71"/>
      <c r="O54" s="71"/>
      <c r="P54" s="71" t="s">
        <v>885</v>
      </c>
      <c r="Q54" s="71"/>
      <c r="R54" s="71"/>
      <c r="S54" s="71"/>
      <c r="T54" s="71"/>
      <c r="U54" s="71"/>
      <c r="V54" s="71"/>
      <c r="W54" s="71"/>
      <c r="X54" s="71"/>
      <c r="Y54" s="71"/>
      <c r="Z54" s="71"/>
    </row>
    <row r="55" spans="1:26" ht="14.25" x14ac:dyDescent="0.2">
      <c r="A55" s="71"/>
      <c r="B55" s="71"/>
      <c r="C55" s="71"/>
      <c r="D55" s="71"/>
      <c r="E55" s="71"/>
      <c r="F55" s="71"/>
      <c r="G55" s="71"/>
      <c r="H55" s="71"/>
      <c r="I55" s="71"/>
      <c r="J55" s="71"/>
      <c r="K55" s="71"/>
      <c r="L55" s="71"/>
      <c r="M55" s="71"/>
      <c r="N55" s="71"/>
      <c r="O55" s="71"/>
      <c r="P55" s="71" t="s">
        <v>886</v>
      </c>
      <c r="Q55" s="71"/>
      <c r="R55" s="71"/>
      <c r="S55" s="71"/>
      <c r="T55" s="71"/>
      <c r="U55" s="71"/>
      <c r="V55" s="71"/>
      <c r="W55" s="71"/>
      <c r="X55" s="71"/>
      <c r="Y55" s="71"/>
      <c r="Z55" s="71"/>
    </row>
    <row r="56" spans="1:26" ht="14.25" x14ac:dyDescent="0.2">
      <c r="A56" s="71"/>
      <c r="B56" s="71"/>
      <c r="C56" s="71"/>
      <c r="D56" s="71"/>
      <c r="E56" s="71"/>
      <c r="F56" s="71"/>
      <c r="G56" s="71"/>
      <c r="H56" s="71"/>
      <c r="I56" s="71"/>
      <c r="J56" s="71"/>
      <c r="K56" s="71"/>
      <c r="L56" s="71"/>
      <c r="M56" s="71"/>
      <c r="N56" s="71"/>
      <c r="O56" s="71"/>
      <c r="P56" s="71" t="s">
        <v>887</v>
      </c>
      <c r="Q56" s="71"/>
      <c r="R56" s="71"/>
      <c r="S56" s="71"/>
      <c r="T56" s="71"/>
      <c r="U56" s="71"/>
      <c r="V56" s="71"/>
      <c r="W56" s="71"/>
      <c r="X56" s="71"/>
      <c r="Y56" s="71"/>
      <c r="Z56" s="71"/>
    </row>
    <row r="57" spans="1:26" ht="14.25" x14ac:dyDescent="0.2">
      <c r="A57" s="71"/>
      <c r="B57" s="71"/>
      <c r="C57" s="71"/>
      <c r="D57" s="71"/>
      <c r="E57" s="71"/>
      <c r="F57" s="71"/>
      <c r="G57" s="71"/>
      <c r="H57" s="71"/>
      <c r="I57" s="71"/>
      <c r="J57" s="71"/>
      <c r="K57" s="71"/>
      <c r="L57" s="71"/>
      <c r="M57" s="71"/>
      <c r="N57" s="71"/>
      <c r="O57" s="71"/>
      <c r="P57" s="71" t="s">
        <v>888</v>
      </c>
      <c r="Q57" s="71"/>
      <c r="R57" s="71"/>
      <c r="S57" s="71"/>
      <c r="T57" s="71"/>
      <c r="U57" s="71"/>
      <c r="V57" s="71"/>
      <c r="W57" s="71"/>
      <c r="X57" s="71"/>
      <c r="Y57" s="71"/>
      <c r="Z57" s="71"/>
    </row>
    <row r="58" spans="1:26" ht="14.25" x14ac:dyDescent="0.2">
      <c r="A58" s="71"/>
      <c r="B58" s="71"/>
      <c r="C58" s="71"/>
      <c r="D58" s="71"/>
      <c r="E58" s="71"/>
      <c r="F58" s="71"/>
      <c r="G58" s="71"/>
      <c r="H58" s="71"/>
      <c r="I58" s="71"/>
      <c r="J58" s="71"/>
      <c r="K58" s="71"/>
      <c r="L58" s="71"/>
      <c r="M58" s="71"/>
      <c r="N58" s="71"/>
      <c r="O58" s="71"/>
      <c r="P58" s="71" t="s">
        <v>889</v>
      </c>
      <c r="Q58" s="71"/>
      <c r="R58" s="71"/>
      <c r="S58" s="71"/>
      <c r="T58" s="71"/>
      <c r="U58" s="71"/>
      <c r="V58" s="71"/>
      <c r="W58" s="71"/>
      <c r="X58" s="71"/>
      <c r="Y58" s="71"/>
      <c r="Z58" s="71"/>
    </row>
    <row r="59" spans="1:26" ht="14.25" x14ac:dyDescent="0.2">
      <c r="A59" s="71"/>
      <c r="B59" s="71"/>
      <c r="C59" s="71"/>
      <c r="D59" s="71"/>
      <c r="E59" s="71"/>
      <c r="F59" s="71"/>
      <c r="G59" s="71"/>
      <c r="H59" s="71"/>
      <c r="I59" s="71"/>
      <c r="J59" s="71"/>
      <c r="K59" s="71"/>
      <c r="L59" s="71"/>
      <c r="M59" s="71"/>
      <c r="N59" s="71"/>
      <c r="O59" s="71"/>
      <c r="P59" s="71" t="s">
        <v>890</v>
      </c>
      <c r="Q59" s="71"/>
      <c r="R59" s="71"/>
      <c r="S59" s="71"/>
      <c r="T59" s="71"/>
      <c r="U59" s="71"/>
      <c r="V59" s="71"/>
      <c r="W59" s="71"/>
      <c r="X59" s="71"/>
      <c r="Y59" s="71"/>
      <c r="Z59" s="71"/>
    </row>
    <row r="60" spans="1:26" ht="14.25" x14ac:dyDescent="0.2">
      <c r="A60" s="71"/>
      <c r="B60" s="71"/>
      <c r="C60" s="71"/>
      <c r="D60" s="71"/>
      <c r="E60" s="71"/>
      <c r="F60" s="71"/>
      <c r="G60" s="71"/>
      <c r="H60" s="71"/>
      <c r="I60" s="71"/>
      <c r="J60" s="71"/>
      <c r="K60" s="71"/>
      <c r="L60" s="71"/>
      <c r="M60" s="71"/>
      <c r="N60" s="71"/>
      <c r="O60" s="71"/>
      <c r="P60" s="71" t="s">
        <v>891</v>
      </c>
      <c r="Q60" s="71"/>
      <c r="R60" s="71"/>
      <c r="S60" s="71"/>
      <c r="T60" s="71"/>
      <c r="U60" s="71"/>
      <c r="V60" s="71"/>
      <c r="W60" s="71"/>
      <c r="X60" s="71"/>
      <c r="Y60" s="71"/>
      <c r="Z60" s="71"/>
    </row>
    <row r="61" spans="1:26" ht="14.25" x14ac:dyDescent="0.2">
      <c r="A61" s="71"/>
      <c r="B61" s="71"/>
      <c r="C61" s="71"/>
      <c r="D61" s="71"/>
      <c r="E61" s="71"/>
      <c r="F61" s="71"/>
      <c r="G61" s="71"/>
      <c r="H61" s="71"/>
      <c r="I61" s="71"/>
      <c r="J61" s="71"/>
      <c r="K61" s="71"/>
      <c r="L61" s="71"/>
      <c r="M61" s="71"/>
      <c r="N61" s="71"/>
      <c r="O61" s="71"/>
      <c r="P61" s="71" t="s">
        <v>892</v>
      </c>
      <c r="Q61" s="71"/>
      <c r="R61" s="71"/>
      <c r="S61" s="71"/>
      <c r="T61" s="71"/>
      <c r="U61" s="71"/>
      <c r="V61" s="71"/>
      <c r="W61" s="71"/>
      <c r="X61" s="71"/>
      <c r="Y61" s="71"/>
      <c r="Z61" s="71"/>
    </row>
    <row r="62" spans="1:26" ht="14.25" x14ac:dyDescent="0.2">
      <c r="A62" s="71"/>
      <c r="B62" s="71"/>
      <c r="C62" s="71"/>
      <c r="D62" s="71"/>
      <c r="E62" s="71"/>
      <c r="F62" s="71"/>
      <c r="G62" s="71"/>
      <c r="H62" s="71"/>
      <c r="I62" s="71"/>
      <c r="J62" s="71"/>
      <c r="K62" s="71"/>
      <c r="L62" s="71"/>
      <c r="M62" s="71"/>
      <c r="N62" s="71"/>
      <c r="O62" s="71"/>
      <c r="P62" s="71" t="s">
        <v>893</v>
      </c>
      <c r="Q62" s="71"/>
      <c r="R62" s="71"/>
      <c r="S62" s="71"/>
      <c r="T62" s="71"/>
      <c r="U62" s="71"/>
      <c r="V62" s="71"/>
      <c r="W62" s="71"/>
      <c r="X62" s="71"/>
      <c r="Y62" s="71"/>
      <c r="Z62" s="71"/>
    </row>
    <row r="63" spans="1:26" ht="14.25" x14ac:dyDescent="0.2">
      <c r="A63" s="71"/>
      <c r="B63" s="71"/>
      <c r="C63" s="71"/>
      <c r="D63" s="71"/>
      <c r="E63" s="71"/>
      <c r="F63" s="71"/>
      <c r="G63" s="71"/>
      <c r="H63" s="71"/>
      <c r="I63" s="71"/>
      <c r="J63" s="71"/>
      <c r="K63" s="71"/>
      <c r="L63" s="71"/>
      <c r="M63" s="71"/>
      <c r="N63" s="71"/>
      <c r="O63" s="71"/>
      <c r="P63" s="71" t="s">
        <v>894</v>
      </c>
      <c r="Q63" s="71"/>
      <c r="R63" s="71"/>
      <c r="S63" s="71"/>
      <c r="T63" s="71"/>
      <c r="U63" s="71"/>
      <c r="V63" s="71"/>
      <c r="W63" s="71"/>
      <c r="X63" s="71"/>
      <c r="Y63" s="71"/>
      <c r="Z63" s="71"/>
    </row>
    <row r="64" spans="1:26" ht="14.25" x14ac:dyDescent="0.2">
      <c r="A64" s="71"/>
      <c r="B64" s="71"/>
      <c r="C64" s="71"/>
      <c r="D64" s="71"/>
      <c r="E64" s="71"/>
      <c r="F64" s="71"/>
      <c r="G64" s="71"/>
      <c r="H64" s="71"/>
      <c r="I64" s="71"/>
      <c r="J64" s="71"/>
      <c r="K64" s="71"/>
      <c r="L64" s="71"/>
      <c r="M64" s="71"/>
      <c r="N64" s="71"/>
      <c r="O64" s="71"/>
      <c r="P64" s="71" t="s">
        <v>895</v>
      </c>
      <c r="Q64" s="71"/>
      <c r="R64" s="71"/>
      <c r="S64" s="71"/>
      <c r="T64" s="71"/>
      <c r="U64" s="71"/>
      <c r="V64" s="71"/>
      <c r="W64" s="71"/>
      <c r="X64" s="71"/>
      <c r="Y64" s="71"/>
      <c r="Z64" s="71"/>
    </row>
    <row r="65" spans="1:26" ht="14.25" x14ac:dyDescent="0.2">
      <c r="A65" s="71"/>
      <c r="B65" s="71"/>
      <c r="C65" s="71"/>
      <c r="D65" s="71"/>
      <c r="E65" s="71"/>
      <c r="F65" s="71"/>
      <c r="G65" s="71"/>
      <c r="H65" s="71"/>
      <c r="I65" s="71"/>
      <c r="J65" s="71"/>
      <c r="K65" s="71"/>
      <c r="L65" s="71"/>
      <c r="M65" s="71"/>
      <c r="N65" s="71"/>
      <c r="O65" s="71"/>
      <c r="P65" s="71" t="s">
        <v>896</v>
      </c>
      <c r="Q65" s="71"/>
      <c r="R65" s="71"/>
      <c r="S65" s="71"/>
      <c r="T65" s="71"/>
      <c r="U65" s="71"/>
      <c r="V65" s="71"/>
      <c r="W65" s="71"/>
      <c r="X65" s="71"/>
      <c r="Y65" s="71"/>
      <c r="Z65" s="71"/>
    </row>
    <row r="66" spans="1:26" ht="14.25" x14ac:dyDescent="0.2">
      <c r="A66" s="71"/>
      <c r="B66" s="71"/>
      <c r="C66" s="71"/>
      <c r="D66" s="71"/>
      <c r="E66" s="71"/>
      <c r="F66" s="71"/>
      <c r="G66" s="71"/>
      <c r="H66" s="71"/>
      <c r="I66" s="71"/>
      <c r="J66" s="71"/>
      <c r="K66" s="71"/>
      <c r="L66" s="71"/>
      <c r="M66" s="71"/>
      <c r="N66" s="71"/>
      <c r="O66" s="71"/>
      <c r="P66" s="71" t="s">
        <v>897</v>
      </c>
      <c r="Q66" s="71"/>
      <c r="R66" s="71"/>
      <c r="S66" s="71"/>
      <c r="T66" s="71"/>
      <c r="U66" s="71"/>
      <c r="V66" s="71"/>
      <c r="W66" s="71"/>
      <c r="X66" s="71"/>
      <c r="Y66" s="71"/>
      <c r="Z66" s="71"/>
    </row>
    <row r="67" spans="1:26" ht="14.25" x14ac:dyDescent="0.2">
      <c r="A67" s="71"/>
      <c r="B67" s="71"/>
      <c r="C67" s="71"/>
      <c r="D67" s="71"/>
      <c r="E67" s="71"/>
      <c r="F67" s="71"/>
      <c r="G67" s="71"/>
      <c r="H67" s="71"/>
      <c r="I67" s="71"/>
      <c r="J67" s="71"/>
      <c r="K67" s="71"/>
      <c r="L67" s="71"/>
      <c r="M67" s="71"/>
      <c r="N67" s="71"/>
      <c r="O67" s="71"/>
      <c r="P67" s="71" t="s">
        <v>898</v>
      </c>
      <c r="Q67" s="71"/>
      <c r="R67" s="71"/>
      <c r="S67" s="71"/>
      <c r="T67" s="71"/>
      <c r="U67" s="71"/>
      <c r="V67" s="71"/>
      <c r="W67" s="71"/>
      <c r="X67" s="71"/>
      <c r="Y67" s="71"/>
      <c r="Z67" s="71"/>
    </row>
    <row r="68" spans="1:26" ht="14.25" x14ac:dyDescent="0.2">
      <c r="A68" s="71"/>
      <c r="B68" s="71"/>
      <c r="C68" s="71"/>
      <c r="D68" s="71"/>
      <c r="E68" s="71"/>
      <c r="F68" s="71"/>
      <c r="G68" s="71"/>
      <c r="H68" s="71"/>
      <c r="I68" s="71"/>
      <c r="J68" s="71"/>
      <c r="K68" s="71"/>
      <c r="L68" s="71"/>
      <c r="M68" s="71"/>
      <c r="N68" s="71"/>
      <c r="O68" s="71"/>
      <c r="P68" s="71" t="s">
        <v>899</v>
      </c>
      <c r="Q68" s="71"/>
      <c r="R68" s="71"/>
      <c r="S68" s="71"/>
      <c r="T68" s="71"/>
      <c r="U68" s="71"/>
      <c r="V68" s="71"/>
      <c r="W68" s="71"/>
      <c r="X68" s="71"/>
      <c r="Y68" s="71"/>
      <c r="Z68" s="71"/>
    </row>
    <row r="69" spans="1:26" ht="14.25" x14ac:dyDescent="0.2">
      <c r="A69" s="71"/>
      <c r="B69" s="71"/>
      <c r="C69" s="71"/>
      <c r="D69" s="71"/>
      <c r="E69" s="71"/>
      <c r="F69" s="71"/>
      <c r="G69" s="71"/>
      <c r="H69" s="71"/>
      <c r="I69" s="71"/>
      <c r="J69" s="71"/>
      <c r="K69" s="71"/>
      <c r="L69" s="71"/>
      <c r="M69" s="71"/>
      <c r="N69" s="71"/>
      <c r="O69" s="71"/>
      <c r="P69" s="71" t="s">
        <v>900</v>
      </c>
      <c r="Q69" s="71"/>
      <c r="R69" s="71"/>
      <c r="S69" s="71"/>
      <c r="T69" s="71"/>
      <c r="U69" s="71"/>
      <c r="V69" s="71"/>
      <c r="W69" s="71"/>
      <c r="X69" s="71"/>
      <c r="Y69" s="71"/>
      <c r="Z69" s="71"/>
    </row>
    <row r="70" spans="1:26" ht="14.25" x14ac:dyDescent="0.2">
      <c r="A70" s="71"/>
      <c r="B70" s="71"/>
      <c r="C70" s="71"/>
      <c r="D70" s="71"/>
      <c r="E70" s="71"/>
      <c r="F70" s="71"/>
      <c r="G70" s="71"/>
      <c r="H70" s="71"/>
      <c r="I70" s="71"/>
      <c r="J70" s="71"/>
      <c r="K70" s="71"/>
      <c r="L70" s="71"/>
      <c r="M70" s="71"/>
      <c r="N70" s="71"/>
      <c r="O70" s="71"/>
      <c r="P70" s="71" t="s">
        <v>901</v>
      </c>
      <c r="Q70" s="71"/>
      <c r="R70" s="71"/>
      <c r="S70" s="71"/>
      <c r="T70" s="71"/>
      <c r="U70" s="71"/>
      <c r="V70" s="71"/>
      <c r="W70" s="71"/>
      <c r="X70" s="71"/>
      <c r="Y70" s="71"/>
      <c r="Z70" s="71"/>
    </row>
    <row r="71" spans="1:26" ht="14.25" x14ac:dyDescent="0.2">
      <c r="A71" s="71"/>
      <c r="B71" s="71"/>
      <c r="C71" s="71"/>
      <c r="D71" s="71"/>
      <c r="E71" s="71"/>
      <c r="F71" s="71"/>
      <c r="G71" s="71"/>
      <c r="H71" s="71"/>
      <c r="I71" s="71"/>
      <c r="J71" s="71"/>
      <c r="K71" s="71"/>
      <c r="L71" s="71"/>
      <c r="M71" s="71"/>
      <c r="N71" s="71"/>
      <c r="O71" s="71"/>
      <c r="P71" s="71" t="s">
        <v>902</v>
      </c>
      <c r="Q71" s="71"/>
      <c r="R71" s="71"/>
      <c r="S71" s="71"/>
      <c r="T71" s="71"/>
      <c r="U71" s="71"/>
      <c r="V71" s="71"/>
      <c r="W71" s="71"/>
      <c r="X71" s="71"/>
      <c r="Y71" s="71"/>
      <c r="Z71" s="71"/>
    </row>
    <row r="72" spans="1:26" ht="14.25" x14ac:dyDescent="0.2">
      <c r="A72" s="71"/>
      <c r="B72" s="71"/>
      <c r="C72" s="71"/>
      <c r="D72" s="71"/>
      <c r="E72" s="71"/>
      <c r="F72" s="71"/>
      <c r="G72" s="71"/>
      <c r="H72" s="71"/>
      <c r="I72" s="71"/>
      <c r="J72" s="71"/>
      <c r="K72" s="71"/>
      <c r="L72" s="71"/>
      <c r="M72" s="71"/>
      <c r="N72" s="71"/>
      <c r="O72" s="71"/>
      <c r="P72" s="71" t="s">
        <v>903</v>
      </c>
      <c r="Q72" s="71"/>
      <c r="R72" s="71"/>
      <c r="S72" s="71"/>
      <c r="T72" s="71"/>
      <c r="U72" s="71"/>
      <c r="V72" s="71"/>
      <c r="W72" s="71"/>
      <c r="X72" s="71"/>
      <c r="Y72" s="71"/>
      <c r="Z72" s="71"/>
    </row>
    <row r="73" spans="1:26" ht="14.25" x14ac:dyDescent="0.2">
      <c r="A73" s="71"/>
      <c r="B73" s="71"/>
      <c r="C73" s="71"/>
      <c r="D73" s="71"/>
      <c r="E73" s="71"/>
      <c r="F73" s="71"/>
      <c r="G73" s="71"/>
      <c r="H73" s="71"/>
      <c r="I73" s="71"/>
      <c r="J73" s="71"/>
      <c r="K73" s="71"/>
      <c r="L73" s="71"/>
      <c r="M73" s="71"/>
      <c r="N73" s="71"/>
      <c r="O73" s="71"/>
      <c r="P73" s="71" t="s">
        <v>904</v>
      </c>
      <c r="Q73" s="71"/>
      <c r="R73" s="71"/>
      <c r="S73" s="71"/>
      <c r="T73" s="71"/>
      <c r="U73" s="71"/>
      <c r="V73" s="71"/>
      <c r="W73" s="71"/>
      <c r="X73" s="71"/>
      <c r="Y73" s="71"/>
      <c r="Z73" s="71"/>
    </row>
    <row r="74" spans="1:26" ht="14.25" x14ac:dyDescent="0.2">
      <c r="A74" s="71"/>
      <c r="B74" s="71"/>
      <c r="C74" s="71"/>
      <c r="D74" s="71"/>
      <c r="E74" s="71"/>
      <c r="F74" s="71"/>
      <c r="G74" s="71"/>
      <c r="H74" s="71"/>
      <c r="I74" s="71"/>
      <c r="J74" s="71"/>
      <c r="K74" s="71"/>
      <c r="L74" s="71"/>
      <c r="M74" s="71"/>
      <c r="N74" s="71"/>
      <c r="O74" s="71"/>
      <c r="P74" s="71" t="s">
        <v>905</v>
      </c>
      <c r="Q74" s="71"/>
      <c r="R74" s="71"/>
      <c r="S74" s="71"/>
      <c r="T74" s="71"/>
      <c r="U74" s="71"/>
      <c r="V74" s="71"/>
      <c r="W74" s="71"/>
      <c r="X74" s="71"/>
      <c r="Y74" s="71"/>
      <c r="Z74" s="71"/>
    </row>
    <row r="75" spans="1:26" ht="14.25" x14ac:dyDescent="0.2">
      <c r="A75" s="71"/>
      <c r="B75" s="71"/>
      <c r="C75" s="71"/>
      <c r="D75" s="71"/>
      <c r="E75" s="71"/>
      <c r="F75" s="71"/>
      <c r="G75" s="71"/>
      <c r="H75" s="71"/>
      <c r="I75" s="71"/>
      <c r="J75" s="71"/>
      <c r="K75" s="71"/>
      <c r="L75" s="71"/>
      <c r="M75" s="71"/>
      <c r="N75" s="71"/>
      <c r="O75" s="71"/>
      <c r="P75" s="71" t="s">
        <v>906</v>
      </c>
      <c r="Q75" s="71"/>
      <c r="R75" s="71"/>
      <c r="S75" s="71"/>
      <c r="T75" s="71"/>
      <c r="U75" s="71"/>
      <c r="V75" s="71"/>
      <c r="W75" s="71"/>
      <c r="X75" s="71"/>
      <c r="Y75" s="71"/>
      <c r="Z75" s="71"/>
    </row>
    <row r="76" spans="1:26" ht="14.25" x14ac:dyDescent="0.2">
      <c r="A76" s="71"/>
      <c r="B76" s="71"/>
      <c r="C76" s="71"/>
      <c r="D76" s="71"/>
      <c r="E76" s="71"/>
      <c r="F76" s="71"/>
      <c r="G76" s="71"/>
      <c r="H76" s="71"/>
      <c r="I76" s="71"/>
      <c r="J76" s="71"/>
      <c r="K76" s="71"/>
      <c r="L76" s="71"/>
      <c r="M76" s="71"/>
      <c r="N76" s="71"/>
      <c r="O76" s="71"/>
      <c r="P76" s="71" t="s">
        <v>907</v>
      </c>
      <c r="Q76" s="71"/>
      <c r="R76" s="71"/>
      <c r="S76" s="71"/>
      <c r="T76" s="71"/>
      <c r="U76" s="71"/>
      <c r="V76" s="71"/>
      <c r="W76" s="71"/>
      <c r="X76" s="71"/>
      <c r="Y76" s="71"/>
      <c r="Z76" s="71"/>
    </row>
    <row r="77" spans="1:26" ht="14.25" x14ac:dyDescent="0.2">
      <c r="A77" s="71"/>
      <c r="B77" s="71"/>
      <c r="C77" s="71"/>
      <c r="D77" s="71"/>
      <c r="E77" s="71"/>
      <c r="F77" s="71"/>
      <c r="G77" s="71"/>
      <c r="H77" s="71"/>
      <c r="I77" s="71"/>
      <c r="J77" s="71"/>
      <c r="K77" s="71"/>
      <c r="L77" s="71"/>
      <c r="M77" s="71"/>
      <c r="N77" s="71"/>
      <c r="O77" s="71"/>
      <c r="P77" s="71" t="s">
        <v>908</v>
      </c>
      <c r="Q77" s="71"/>
      <c r="R77" s="71"/>
      <c r="S77" s="71"/>
      <c r="T77" s="71"/>
      <c r="U77" s="71"/>
      <c r="V77" s="71"/>
      <c r="W77" s="71"/>
      <c r="X77" s="71"/>
      <c r="Y77" s="71"/>
      <c r="Z77" s="71"/>
    </row>
    <row r="78" spans="1:26" ht="14.25" x14ac:dyDescent="0.2">
      <c r="A78" s="71"/>
      <c r="B78" s="71"/>
      <c r="C78" s="71"/>
      <c r="D78" s="71"/>
      <c r="E78" s="71"/>
      <c r="F78" s="71"/>
      <c r="G78" s="71"/>
      <c r="H78" s="71"/>
      <c r="I78" s="71"/>
      <c r="J78" s="71"/>
      <c r="K78" s="71"/>
      <c r="L78" s="71"/>
      <c r="M78" s="71"/>
      <c r="N78" s="71"/>
      <c r="O78" s="71"/>
      <c r="P78" s="71" t="s">
        <v>909</v>
      </c>
      <c r="Q78" s="71"/>
      <c r="R78" s="71"/>
      <c r="S78" s="71"/>
      <c r="T78" s="71"/>
      <c r="U78" s="71"/>
      <c r="V78" s="71"/>
      <c r="W78" s="71"/>
      <c r="X78" s="71"/>
      <c r="Y78" s="71"/>
      <c r="Z78" s="71"/>
    </row>
    <row r="79" spans="1:26" ht="14.25" x14ac:dyDescent="0.2">
      <c r="A79" s="71"/>
      <c r="B79" s="71"/>
      <c r="C79" s="71"/>
      <c r="D79" s="71"/>
      <c r="E79" s="71"/>
      <c r="F79" s="71"/>
      <c r="G79" s="71"/>
      <c r="H79" s="71"/>
      <c r="I79" s="71"/>
      <c r="J79" s="71"/>
      <c r="K79" s="71"/>
      <c r="L79" s="71"/>
      <c r="M79" s="71"/>
      <c r="N79" s="71"/>
      <c r="O79" s="71"/>
      <c r="P79" s="71" t="s">
        <v>910</v>
      </c>
      <c r="Q79" s="71"/>
      <c r="R79" s="71"/>
      <c r="S79" s="71"/>
      <c r="T79" s="71"/>
      <c r="U79" s="71"/>
      <c r="V79" s="71"/>
      <c r="W79" s="71"/>
      <c r="X79" s="71"/>
      <c r="Y79" s="71"/>
      <c r="Z79" s="71"/>
    </row>
    <row r="80" spans="1:26" ht="14.25" x14ac:dyDescent="0.2">
      <c r="A80" s="71"/>
      <c r="B80" s="71"/>
      <c r="C80" s="71"/>
      <c r="D80" s="71"/>
      <c r="E80" s="71"/>
      <c r="F80" s="71"/>
      <c r="G80" s="71"/>
      <c r="H80" s="71"/>
      <c r="I80" s="71"/>
      <c r="J80" s="71"/>
      <c r="K80" s="71"/>
      <c r="L80" s="71"/>
      <c r="M80" s="71"/>
      <c r="N80" s="71"/>
      <c r="O80" s="71"/>
      <c r="P80" s="71" t="s">
        <v>911</v>
      </c>
      <c r="Q80" s="71"/>
      <c r="R80" s="71"/>
      <c r="S80" s="71"/>
      <c r="T80" s="71"/>
      <c r="U80" s="71"/>
      <c r="V80" s="71"/>
      <c r="W80" s="71"/>
      <c r="X80" s="71"/>
      <c r="Y80" s="71"/>
      <c r="Z80" s="71"/>
    </row>
    <row r="81" spans="1:26" ht="14.25" x14ac:dyDescent="0.2">
      <c r="A81" s="71"/>
      <c r="B81" s="71"/>
      <c r="C81" s="71"/>
      <c r="D81" s="71"/>
      <c r="E81" s="71"/>
      <c r="F81" s="71"/>
      <c r="G81" s="71"/>
      <c r="H81" s="71"/>
      <c r="I81" s="71"/>
      <c r="J81" s="71"/>
      <c r="K81" s="71"/>
      <c r="L81" s="71"/>
      <c r="M81" s="71"/>
      <c r="N81" s="71"/>
      <c r="O81" s="71"/>
      <c r="P81" s="71" t="s">
        <v>912</v>
      </c>
      <c r="Q81" s="71"/>
      <c r="R81" s="71"/>
      <c r="S81" s="71"/>
      <c r="T81" s="71"/>
      <c r="U81" s="71"/>
      <c r="V81" s="71"/>
      <c r="W81" s="71"/>
      <c r="X81" s="71"/>
      <c r="Y81" s="71"/>
      <c r="Z81" s="71"/>
    </row>
    <row r="82" spans="1:26" ht="14.25" x14ac:dyDescent="0.2">
      <c r="A82" s="71"/>
      <c r="B82" s="71"/>
      <c r="C82" s="71"/>
      <c r="D82" s="71"/>
      <c r="E82" s="71"/>
      <c r="F82" s="71"/>
      <c r="G82" s="71"/>
      <c r="H82" s="71"/>
      <c r="I82" s="71"/>
      <c r="J82" s="71"/>
      <c r="K82" s="71"/>
      <c r="L82" s="71"/>
      <c r="M82" s="71"/>
      <c r="N82" s="71"/>
      <c r="O82" s="71"/>
      <c r="P82" s="71" t="s">
        <v>913</v>
      </c>
      <c r="Q82" s="71"/>
      <c r="R82" s="71"/>
      <c r="S82" s="71"/>
      <c r="T82" s="71"/>
      <c r="U82" s="71"/>
      <c r="V82" s="71"/>
      <c r="W82" s="71"/>
      <c r="X82" s="71"/>
      <c r="Y82" s="71"/>
      <c r="Z82" s="71"/>
    </row>
    <row r="83" spans="1:26" ht="14.25" x14ac:dyDescent="0.2">
      <c r="A83" s="71"/>
      <c r="B83" s="71"/>
      <c r="C83" s="71"/>
      <c r="D83" s="71"/>
      <c r="E83" s="71"/>
      <c r="F83" s="71"/>
      <c r="G83" s="71"/>
      <c r="H83" s="71"/>
      <c r="I83" s="71"/>
      <c r="J83" s="71"/>
      <c r="K83" s="71"/>
      <c r="L83" s="71"/>
      <c r="M83" s="71"/>
      <c r="N83" s="71"/>
      <c r="O83" s="71"/>
      <c r="P83" s="71" t="s">
        <v>914</v>
      </c>
      <c r="Q83" s="71"/>
      <c r="R83" s="71"/>
      <c r="S83" s="71"/>
      <c r="T83" s="71"/>
      <c r="U83" s="71"/>
      <c r="V83" s="71"/>
      <c r="W83" s="71"/>
      <c r="X83" s="71"/>
      <c r="Y83" s="71"/>
      <c r="Z83" s="71"/>
    </row>
    <row r="84" spans="1:26" ht="14.25" x14ac:dyDescent="0.2">
      <c r="A84" s="71"/>
      <c r="B84" s="71"/>
      <c r="C84" s="71"/>
      <c r="D84" s="71"/>
      <c r="E84" s="71"/>
      <c r="F84" s="71"/>
      <c r="G84" s="71"/>
      <c r="H84" s="71"/>
      <c r="I84" s="71"/>
      <c r="J84" s="71"/>
      <c r="K84" s="71"/>
      <c r="L84" s="71"/>
      <c r="M84" s="71"/>
      <c r="N84" s="71"/>
      <c r="O84" s="71"/>
      <c r="P84" s="71" t="s">
        <v>915</v>
      </c>
      <c r="Q84" s="71"/>
      <c r="R84" s="71"/>
      <c r="S84" s="71"/>
      <c r="T84" s="71"/>
      <c r="U84" s="71"/>
      <c r="V84" s="71"/>
      <c r="W84" s="71"/>
      <c r="X84" s="71"/>
      <c r="Y84" s="71"/>
      <c r="Z84" s="71"/>
    </row>
    <row r="85" spans="1:26" ht="14.25" x14ac:dyDescent="0.2">
      <c r="A85" s="71"/>
      <c r="B85" s="71"/>
      <c r="C85" s="71"/>
      <c r="D85" s="71"/>
      <c r="E85" s="71"/>
      <c r="F85" s="71"/>
      <c r="G85" s="71"/>
      <c r="H85" s="71"/>
      <c r="I85" s="71"/>
      <c r="J85" s="71"/>
      <c r="K85" s="71"/>
      <c r="L85" s="71"/>
      <c r="M85" s="71"/>
      <c r="N85" s="71"/>
      <c r="O85" s="71"/>
      <c r="P85" s="71" t="s">
        <v>916</v>
      </c>
      <c r="Q85" s="71"/>
      <c r="R85" s="71"/>
      <c r="S85" s="71"/>
      <c r="T85" s="71"/>
      <c r="U85" s="71"/>
      <c r="V85" s="71"/>
      <c r="W85" s="71"/>
      <c r="X85" s="71"/>
      <c r="Y85" s="71"/>
      <c r="Z85" s="71"/>
    </row>
    <row r="86" spans="1:26" ht="14.25" x14ac:dyDescent="0.2">
      <c r="A86" s="71"/>
      <c r="B86" s="71"/>
      <c r="C86" s="71"/>
      <c r="D86" s="71"/>
      <c r="E86" s="71"/>
      <c r="F86" s="71"/>
      <c r="G86" s="71"/>
      <c r="H86" s="71"/>
      <c r="I86" s="71"/>
      <c r="J86" s="71"/>
      <c r="K86" s="71"/>
      <c r="L86" s="71"/>
      <c r="M86" s="71"/>
      <c r="N86" s="71"/>
      <c r="O86" s="71"/>
      <c r="P86" s="71" t="s">
        <v>917</v>
      </c>
      <c r="Q86" s="71"/>
      <c r="R86" s="71"/>
      <c r="S86" s="71"/>
      <c r="T86" s="71"/>
      <c r="U86" s="71"/>
      <c r="V86" s="71"/>
      <c r="W86" s="71"/>
      <c r="X86" s="71"/>
      <c r="Y86" s="71"/>
      <c r="Z86" s="71"/>
    </row>
    <row r="87" spans="1:26" ht="14.25" x14ac:dyDescent="0.2">
      <c r="A87" s="71"/>
      <c r="B87" s="71"/>
      <c r="C87" s="71"/>
      <c r="D87" s="71"/>
      <c r="E87" s="71"/>
      <c r="F87" s="71"/>
      <c r="G87" s="71"/>
      <c r="H87" s="71"/>
      <c r="I87" s="71"/>
      <c r="J87" s="71"/>
      <c r="K87" s="71"/>
      <c r="L87" s="71"/>
      <c r="M87" s="71"/>
      <c r="N87" s="71"/>
      <c r="O87" s="71"/>
      <c r="P87" s="71" t="s">
        <v>918</v>
      </c>
      <c r="Q87" s="71"/>
      <c r="R87" s="71"/>
      <c r="S87" s="71"/>
      <c r="T87" s="71"/>
      <c r="U87" s="71"/>
      <c r="V87" s="71"/>
      <c r="W87" s="71"/>
      <c r="X87" s="71"/>
      <c r="Y87" s="71"/>
      <c r="Z87" s="71"/>
    </row>
    <row r="88" spans="1:26" ht="14.25" x14ac:dyDescent="0.2">
      <c r="A88" s="71"/>
      <c r="B88" s="71"/>
      <c r="C88" s="71"/>
      <c r="D88" s="71"/>
      <c r="E88" s="71"/>
      <c r="F88" s="71"/>
      <c r="G88" s="71"/>
      <c r="H88" s="71"/>
      <c r="I88" s="71"/>
      <c r="J88" s="71"/>
      <c r="K88" s="71"/>
      <c r="L88" s="71"/>
      <c r="M88" s="71"/>
      <c r="N88" s="71"/>
      <c r="O88" s="71"/>
      <c r="P88" s="71" t="s">
        <v>919</v>
      </c>
      <c r="Q88" s="71"/>
      <c r="R88" s="71"/>
      <c r="S88" s="71"/>
      <c r="T88" s="71"/>
      <c r="U88" s="71"/>
      <c r="V88" s="71"/>
      <c r="W88" s="71"/>
      <c r="X88" s="71"/>
      <c r="Y88" s="71"/>
      <c r="Z88" s="71"/>
    </row>
    <row r="89" spans="1:26" ht="14.25" x14ac:dyDescent="0.2">
      <c r="A89" s="71"/>
      <c r="B89" s="71"/>
      <c r="C89" s="71"/>
      <c r="D89" s="71"/>
      <c r="E89" s="71"/>
      <c r="F89" s="71"/>
      <c r="G89" s="71"/>
      <c r="H89" s="71"/>
      <c r="I89" s="71"/>
      <c r="J89" s="71"/>
      <c r="K89" s="71"/>
      <c r="L89" s="71"/>
      <c r="M89" s="71"/>
      <c r="N89" s="71"/>
      <c r="O89" s="71"/>
      <c r="P89" s="71" t="s">
        <v>920</v>
      </c>
      <c r="Q89" s="71"/>
      <c r="R89" s="71"/>
      <c r="S89" s="71"/>
      <c r="T89" s="71"/>
      <c r="U89" s="71"/>
      <c r="V89" s="71"/>
      <c r="W89" s="71"/>
      <c r="X89" s="71"/>
      <c r="Y89" s="71"/>
      <c r="Z89" s="71"/>
    </row>
    <row r="90" spans="1:26" ht="14.25" x14ac:dyDescent="0.2">
      <c r="A90" s="71"/>
      <c r="B90" s="71"/>
      <c r="C90" s="71"/>
      <c r="D90" s="71"/>
      <c r="E90" s="71"/>
      <c r="F90" s="71"/>
      <c r="G90" s="71"/>
      <c r="H90" s="71"/>
      <c r="I90" s="71"/>
      <c r="J90" s="71"/>
      <c r="K90" s="71"/>
      <c r="L90" s="71"/>
      <c r="M90" s="71"/>
      <c r="N90" s="71"/>
      <c r="O90" s="71"/>
      <c r="P90" s="71" t="s">
        <v>921</v>
      </c>
      <c r="Q90" s="71"/>
      <c r="R90" s="71"/>
      <c r="S90" s="71"/>
      <c r="T90" s="71"/>
      <c r="U90" s="71"/>
      <c r="V90" s="71"/>
      <c r="W90" s="71"/>
      <c r="X90" s="71"/>
      <c r="Y90" s="71"/>
      <c r="Z90" s="71"/>
    </row>
    <row r="91" spans="1:26" ht="14.25" x14ac:dyDescent="0.2">
      <c r="A91" s="71"/>
      <c r="B91" s="71"/>
      <c r="C91" s="71"/>
      <c r="D91" s="71"/>
      <c r="E91" s="71"/>
      <c r="F91" s="71"/>
      <c r="G91" s="71"/>
      <c r="H91" s="71"/>
      <c r="I91" s="71"/>
      <c r="J91" s="71"/>
      <c r="K91" s="71"/>
      <c r="L91" s="71"/>
      <c r="M91" s="71"/>
      <c r="N91" s="71"/>
      <c r="O91" s="71"/>
      <c r="P91" s="71" t="s">
        <v>922</v>
      </c>
      <c r="Q91" s="71"/>
      <c r="R91" s="71"/>
      <c r="S91" s="71"/>
      <c r="T91" s="71"/>
      <c r="U91" s="71"/>
      <c r="V91" s="71"/>
      <c r="W91" s="71"/>
      <c r="X91" s="71"/>
      <c r="Y91" s="71"/>
      <c r="Z91" s="71"/>
    </row>
    <row r="92" spans="1:26" ht="14.25" x14ac:dyDescent="0.2">
      <c r="A92" s="71"/>
      <c r="B92" s="71"/>
      <c r="C92" s="71"/>
      <c r="D92" s="71"/>
      <c r="E92" s="71"/>
      <c r="F92" s="71"/>
      <c r="G92" s="71"/>
      <c r="H92" s="71"/>
      <c r="I92" s="71"/>
      <c r="J92" s="71"/>
      <c r="K92" s="71"/>
      <c r="L92" s="71"/>
      <c r="M92" s="71"/>
      <c r="N92" s="71"/>
      <c r="O92" s="71"/>
      <c r="P92" s="71" t="s">
        <v>923</v>
      </c>
      <c r="Q92" s="71"/>
      <c r="R92" s="71"/>
      <c r="S92" s="71"/>
      <c r="T92" s="71"/>
      <c r="U92" s="71"/>
      <c r="V92" s="71"/>
      <c r="W92" s="71"/>
      <c r="X92" s="71"/>
      <c r="Y92" s="71"/>
      <c r="Z92" s="71"/>
    </row>
    <row r="93" spans="1:26" ht="14.25" x14ac:dyDescent="0.2">
      <c r="A93" s="71"/>
      <c r="B93" s="71"/>
      <c r="C93" s="71"/>
      <c r="D93" s="71"/>
      <c r="E93" s="71"/>
      <c r="F93" s="71"/>
      <c r="G93" s="71"/>
      <c r="H93" s="71"/>
      <c r="I93" s="71"/>
      <c r="J93" s="71"/>
      <c r="K93" s="71"/>
      <c r="L93" s="71"/>
      <c r="M93" s="71"/>
      <c r="N93" s="71"/>
      <c r="O93" s="71"/>
      <c r="P93" s="71" t="s">
        <v>924</v>
      </c>
      <c r="Q93" s="71"/>
      <c r="R93" s="71"/>
      <c r="S93" s="71"/>
      <c r="T93" s="71"/>
      <c r="U93" s="71"/>
      <c r="V93" s="71"/>
      <c r="W93" s="71"/>
      <c r="X93" s="71"/>
      <c r="Y93" s="71"/>
      <c r="Z93" s="71"/>
    </row>
    <row r="94" spans="1:26" ht="14.25" x14ac:dyDescent="0.2">
      <c r="A94" s="71"/>
      <c r="B94" s="71"/>
      <c r="C94" s="71"/>
      <c r="D94" s="71"/>
      <c r="E94" s="71"/>
      <c r="F94" s="71"/>
      <c r="G94" s="71"/>
      <c r="H94" s="71"/>
      <c r="I94" s="71"/>
      <c r="J94" s="71"/>
      <c r="K94" s="71"/>
      <c r="L94" s="71"/>
      <c r="M94" s="71"/>
      <c r="N94" s="71"/>
      <c r="O94" s="71"/>
      <c r="P94" s="71" t="s">
        <v>925</v>
      </c>
      <c r="Q94" s="71"/>
      <c r="R94" s="71"/>
      <c r="S94" s="71"/>
      <c r="T94" s="71"/>
      <c r="U94" s="71"/>
      <c r="V94" s="71"/>
      <c r="W94" s="71"/>
      <c r="X94" s="71"/>
      <c r="Y94" s="71"/>
      <c r="Z94" s="71"/>
    </row>
    <row r="95" spans="1:26" ht="14.25" x14ac:dyDescent="0.2">
      <c r="A95" s="71"/>
      <c r="B95" s="71"/>
      <c r="C95" s="71"/>
      <c r="D95" s="71"/>
      <c r="E95" s="71"/>
      <c r="F95" s="71"/>
      <c r="G95" s="71"/>
      <c r="H95" s="71"/>
      <c r="I95" s="71"/>
      <c r="J95" s="71"/>
      <c r="K95" s="71"/>
      <c r="L95" s="71"/>
      <c r="M95" s="71"/>
      <c r="N95" s="71"/>
      <c r="O95" s="71"/>
      <c r="P95" s="71" t="s">
        <v>926</v>
      </c>
      <c r="Q95" s="71"/>
      <c r="R95" s="71"/>
      <c r="S95" s="71"/>
      <c r="T95" s="71"/>
      <c r="U95" s="71"/>
      <c r="V95" s="71"/>
      <c r="W95" s="71"/>
      <c r="X95" s="71"/>
      <c r="Y95" s="71"/>
      <c r="Z95" s="71"/>
    </row>
    <row r="96" spans="1:26" ht="14.25" x14ac:dyDescent="0.2">
      <c r="A96" s="71"/>
      <c r="B96" s="71"/>
      <c r="C96" s="71"/>
      <c r="D96" s="71"/>
      <c r="E96" s="71"/>
      <c r="F96" s="71"/>
      <c r="G96" s="71"/>
      <c r="H96" s="71"/>
      <c r="I96" s="71"/>
      <c r="J96" s="71"/>
      <c r="K96" s="71"/>
      <c r="L96" s="71"/>
      <c r="M96" s="71"/>
      <c r="N96" s="71"/>
      <c r="O96" s="71"/>
      <c r="P96" s="71" t="s">
        <v>927</v>
      </c>
      <c r="Q96" s="71"/>
      <c r="R96" s="71"/>
      <c r="S96" s="71"/>
      <c r="T96" s="71"/>
      <c r="U96" s="71"/>
      <c r="V96" s="71"/>
      <c r="W96" s="71"/>
      <c r="X96" s="71"/>
      <c r="Y96" s="71"/>
      <c r="Z96" s="71"/>
    </row>
    <row r="97" spans="1:26" ht="14.25" x14ac:dyDescent="0.2">
      <c r="A97" s="71"/>
      <c r="B97" s="71"/>
      <c r="C97" s="71"/>
      <c r="D97" s="71"/>
      <c r="E97" s="71"/>
      <c r="F97" s="71"/>
      <c r="G97" s="71"/>
      <c r="H97" s="71"/>
      <c r="I97" s="71"/>
      <c r="J97" s="71"/>
      <c r="K97" s="71"/>
      <c r="L97" s="71"/>
      <c r="M97" s="71"/>
      <c r="N97" s="71"/>
      <c r="O97" s="71"/>
      <c r="P97" s="71" t="s">
        <v>928</v>
      </c>
      <c r="Q97" s="71"/>
      <c r="R97" s="71"/>
      <c r="S97" s="71"/>
      <c r="T97" s="71"/>
      <c r="U97" s="71"/>
      <c r="V97" s="71"/>
      <c r="W97" s="71"/>
      <c r="X97" s="71"/>
      <c r="Y97" s="71"/>
      <c r="Z97" s="71"/>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topLeftCell="B1" zoomScaleNormal="100" workbookViewId="0">
      <selection activeCell="D1" sqref="D1"/>
    </sheetView>
  </sheetViews>
  <sheetFormatPr baseColWidth="10" defaultColWidth="9.140625" defaultRowHeight="12.75" x14ac:dyDescent="0.2"/>
  <cols>
    <col min="1" max="1" width="30.28515625" customWidth="1"/>
    <col min="2" max="1025" width="9.140625" customWidth="1"/>
  </cols>
  <sheetData>
    <row r="1" spans="1:6" ht="18" x14ac:dyDescent="0.25">
      <c r="A1" s="74" t="s">
        <v>929</v>
      </c>
      <c r="B1" s="74"/>
      <c r="C1" s="74"/>
      <c r="D1" s="74"/>
      <c r="E1" s="74"/>
      <c r="F1" s="74"/>
    </row>
    <row r="2" spans="1:6" ht="14.25" x14ac:dyDescent="0.2">
      <c r="A2" s="75"/>
      <c r="B2" s="75"/>
      <c r="C2" s="75"/>
      <c r="D2" s="75"/>
      <c r="E2" s="75"/>
      <c r="F2" s="75"/>
    </row>
    <row r="3" spans="1:6" x14ac:dyDescent="0.2">
      <c r="A3" s="76" t="s">
        <v>930</v>
      </c>
      <c r="B3" s="76" t="s">
        <v>931</v>
      </c>
      <c r="C3" s="76" t="s">
        <v>932</v>
      </c>
      <c r="D3" s="76"/>
      <c r="E3" s="76"/>
      <c r="F3" s="76"/>
    </row>
    <row r="4" spans="1:6" ht="14.25" x14ac:dyDescent="0.2">
      <c r="A4" s="77" t="s">
        <v>933</v>
      </c>
      <c r="B4" s="58" t="s">
        <v>934</v>
      </c>
      <c r="C4" s="78" t="s">
        <v>935</v>
      </c>
      <c r="D4" s="78" t="s">
        <v>936</v>
      </c>
      <c r="E4" s="78" t="s">
        <v>937</v>
      </c>
      <c r="F4" s="78" t="s">
        <v>938</v>
      </c>
    </row>
    <row r="5" spans="1:6" ht="14.25" x14ac:dyDescent="0.2">
      <c r="A5" s="77" t="s">
        <v>939</v>
      </c>
      <c r="B5" s="58" t="s">
        <v>940</v>
      </c>
      <c r="C5" s="78" t="s">
        <v>17</v>
      </c>
      <c r="D5" s="78" t="s">
        <v>20</v>
      </c>
      <c r="E5" s="79"/>
      <c r="F5" s="79"/>
    </row>
    <row r="6" spans="1:6" ht="14.25" x14ac:dyDescent="0.2">
      <c r="A6" s="77" t="s">
        <v>941</v>
      </c>
      <c r="B6" s="58" t="s">
        <v>942</v>
      </c>
      <c r="C6" s="78" t="s">
        <v>18</v>
      </c>
      <c r="D6" s="78" t="s">
        <v>17</v>
      </c>
      <c r="E6" s="78" t="s">
        <v>20</v>
      </c>
      <c r="F6" s="79"/>
    </row>
    <row r="7" spans="1:6" ht="14.25" x14ac:dyDescent="0.2">
      <c r="A7" s="77" t="s">
        <v>943</v>
      </c>
      <c r="B7" s="58" t="s">
        <v>944</v>
      </c>
      <c r="C7" s="78" t="s">
        <v>18</v>
      </c>
      <c r="D7" s="78" t="s">
        <v>945</v>
      </c>
      <c r="E7" s="79"/>
      <c r="F7" s="79"/>
    </row>
    <row r="8" spans="1:6" ht="14.25" x14ac:dyDescent="0.2">
      <c r="A8" s="77" t="s">
        <v>112</v>
      </c>
      <c r="B8" s="58" t="s">
        <v>946</v>
      </c>
      <c r="C8" s="78" t="s">
        <v>947</v>
      </c>
      <c r="D8" s="78" t="s">
        <v>24</v>
      </c>
      <c r="E8" s="79"/>
      <c r="F8" s="79"/>
    </row>
    <row r="9" spans="1:6" ht="14.25" x14ac:dyDescent="0.2">
      <c r="A9" s="77" t="s">
        <v>948</v>
      </c>
      <c r="B9" s="58" t="s">
        <v>949</v>
      </c>
      <c r="C9" s="78" t="s">
        <v>20</v>
      </c>
      <c r="D9" s="78" t="s">
        <v>17</v>
      </c>
      <c r="E9" s="78" t="s">
        <v>18</v>
      </c>
      <c r="F9" s="79"/>
    </row>
    <row r="10" spans="1:6" ht="14.25" x14ac:dyDescent="0.2">
      <c r="A10" s="77" t="s">
        <v>950</v>
      </c>
      <c r="B10" s="58" t="s">
        <v>951</v>
      </c>
      <c r="C10" s="78" t="s">
        <v>20</v>
      </c>
      <c r="D10" s="78" t="s">
        <v>17</v>
      </c>
      <c r="E10" s="78" t="s">
        <v>18</v>
      </c>
      <c r="F10" s="79"/>
    </row>
    <row r="11" spans="1:6" ht="14.25" x14ac:dyDescent="0.2">
      <c r="A11" s="77" t="s">
        <v>952</v>
      </c>
      <c r="B11" s="58" t="s">
        <v>953</v>
      </c>
      <c r="C11" s="78" t="s">
        <v>20</v>
      </c>
      <c r="D11" s="78" t="s">
        <v>17</v>
      </c>
      <c r="E11" s="78" t="s">
        <v>18</v>
      </c>
      <c r="F11" s="78"/>
    </row>
    <row r="12" spans="1:6" ht="28.5" x14ac:dyDescent="0.2">
      <c r="A12" s="77" t="s">
        <v>954</v>
      </c>
      <c r="B12" s="58" t="s">
        <v>955</v>
      </c>
      <c r="C12" s="78" t="s">
        <v>20</v>
      </c>
      <c r="D12" s="78" t="s">
        <v>956</v>
      </c>
      <c r="E12" s="78" t="s">
        <v>957</v>
      </c>
      <c r="F12" s="80" t="s">
        <v>958</v>
      </c>
    </row>
    <row r="13" spans="1:6" ht="14.25" x14ac:dyDescent="0.2">
      <c r="A13" s="77" t="s">
        <v>959</v>
      </c>
      <c r="B13" s="58" t="s">
        <v>960</v>
      </c>
      <c r="C13" s="78" t="s">
        <v>961</v>
      </c>
      <c r="D13" s="78" t="s">
        <v>962</v>
      </c>
      <c r="E13" s="78" t="s">
        <v>963</v>
      </c>
      <c r="F13" s="78" t="s">
        <v>964</v>
      </c>
    </row>
    <row r="14" spans="1:6" ht="14.25" x14ac:dyDescent="0.2">
      <c r="A14" s="77" t="s">
        <v>965</v>
      </c>
      <c r="B14" s="58" t="s">
        <v>966</v>
      </c>
      <c r="C14" s="78" t="s">
        <v>22</v>
      </c>
      <c r="D14" s="78" t="s">
        <v>967</v>
      </c>
      <c r="E14" s="78" t="s">
        <v>968</v>
      </c>
      <c r="F14" s="79"/>
    </row>
    <row r="15" spans="1:6" ht="14.25" x14ac:dyDescent="0.2">
      <c r="A15" s="42"/>
      <c r="B15" s="42"/>
      <c r="C15" s="42"/>
      <c r="D15" s="42"/>
      <c r="E15" s="42"/>
      <c r="F15" s="42"/>
    </row>
    <row r="16" spans="1:6" x14ac:dyDescent="0.2">
      <c r="A16" s="76" t="s">
        <v>969</v>
      </c>
      <c r="B16" s="76" t="s">
        <v>931</v>
      </c>
      <c r="C16" s="76" t="s">
        <v>970</v>
      </c>
      <c r="D16" s="76"/>
      <c r="E16" s="76"/>
      <c r="F16" s="76"/>
    </row>
    <row r="17" spans="1:6" ht="14.25" x14ac:dyDescent="0.2">
      <c r="A17" s="77" t="s">
        <v>933</v>
      </c>
      <c r="B17" s="58" t="s">
        <v>934</v>
      </c>
      <c r="C17" s="81">
        <v>0.85</v>
      </c>
      <c r="D17" s="81">
        <v>0.62</v>
      </c>
      <c r="E17" s="81">
        <v>0.55000000000000004</v>
      </c>
      <c r="F17" s="81">
        <v>0.2</v>
      </c>
    </row>
    <row r="18" spans="1:6" ht="14.25" x14ac:dyDescent="0.2">
      <c r="A18" s="77" t="s">
        <v>939</v>
      </c>
      <c r="B18" s="58" t="s">
        <v>940</v>
      </c>
      <c r="C18" s="81">
        <v>0.77</v>
      </c>
      <c r="D18" s="81">
        <v>0.44</v>
      </c>
      <c r="E18" s="82"/>
      <c r="F18" s="82"/>
    </row>
    <row r="19" spans="1:6" ht="14.25" x14ac:dyDescent="0.2">
      <c r="A19" s="77" t="s">
        <v>941</v>
      </c>
      <c r="B19" s="58" t="s">
        <v>942</v>
      </c>
      <c r="C19" s="81">
        <v>0.85</v>
      </c>
      <c r="D19" s="81">
        <v>0.62</v>
      </c>
      <c r="E19" s="81">
        <v>0.27</v>
      </c>
      <c r="F19" s="82"/>
    </row>
    <row r="20" spans="1:6" ht="14.25" x14ac:dyDescent="0.2">
      <c r="A20" s="77" t="s">
        <v>943</v>
      </c>
      <c r="B20" s="58" t="s">
        <v>944</v>
      </c>
      <c r="C20" s="81">
        <v>0.85</v>
      </c>
      <c r="D20" s="81">
        <v>0.62</v>
      </c>
      <c r="E20" s="82"/>
      <c r="F20" s="82"/>
    </row>
    <row r="21" spans="1:6" ht="14.25" x14ac:dyDescent="0.2">
      <c r="A21" s="77" t="s">
        <v>112</v>
      </c>
      <c r="B21" s="58" t="s">
        <v>946</v>
      </c>
      <c r="C21" s="81">
        <v>0</v>
      </c>
      <c r="D21" s="81">
        <v>1</v>
      </c>
      <c r="E21" s="82"/>
      <c r="F21" s="82"/>
    </row>
    <row r="22" spans="1:6" ht="14.25" x14ac:dyDescent="0.2">
      <c r="A22" s="77" t="s">
        <v>948</v>
      </c>
      <c r="B22" s="58" t="s">
        <v>949</v>
      </c>
      <c r="C22" s="81">
        <v>0.56000000000000005</v>
      </c>
      <c r="D22" s="81">
        <v>0.22</v>
      </c>
      <c r="E22" s="81">
        <v>0</v>
      </c>
      <c r="F22" s="82"/>
    </row>
    <row r="23" spans="1:6" ht="14.25" x14ac:dyDescent="0.2">
      <c r="A23" s="77" t="s">
        <v>950</v>
      </c>
      <c r="B23" s="58" t="s">
        <v>951</v>
      </c>
      <c r="C23" s="81">
        <v>0.56000000000000005</v>
      </c>
      <c r="D23" s="81">
        <v>0.22</v>
      </c>
      <c r="E23" s="81">
        <v>0</v>
      </c>
      <c r="F23" s="82"/>
    </row>
    <row r="24" spans="1:6" ht="14.25" x14ac:dyDescent="0.2">
      <c r="A24" s="77" t="s">
        <v>952</v>
      </c>
      <c r="B24" s="58" t="s">
        <v>953</v>
      </c>
      <c r="C24" s="81">
        <v>0.56000000000000005</v>
      </c>
      <c r="D24" s="81">
        <v>0.22</v>
      </c>
      <c r="E24" s="81">
        <v>0</v>
      </c>
      <c r="F24" s="82"/>
    </row>
    <row r="25" spans="1:6" ht="14.25" x14ac:dyDescent="0.2">
      <c r="A25" s="77" t="s">
        <v>954</v>
      </c>
      <c r="B25" s="58" t="s">
        <v>955</v>
      </c>
      <c r="C25" s="81">
        <v>1</v>
      </c>
      <c r="D25" s="81">
        <v>0.97</v>
      </c>
      <c r="E25" s="81">
        <v>0.94</v>
      </c>
      <c r="F25" s="81">
        <v>0.91</v>
      </c>
    </row>
    <row r="26" spans="1:6" ht="14.25" x14ac:dyDescent="0.2">
      <c r="A26" s="77" t="s">
        <v>959</v>
      </c>
      <c r="B26" s="58" t="s">
        <v>960</v>
      </c>
      <c r="C26" s="81">
        <v>1</v>
      </c>
      <c r="D26" s="81">
        <v>0.97</v>
      </c>
      <c r="E26" s="81">
        <v>0.96</v>
      </c>
      <c r="F26" s="81">
        <v>0.95</v>
      </c>
    </row>
    <row r="27" spans="1:6" ht="14.25" x14ac:dyDescent="0.2">
      <c r="A27" s="77" t="s">
        <v>965</v>
      </c>
      <c r="B27" s="58" t="s">
        <v>966</v>
      </c>
      <c r="C27" s="81">
        <v>1</v>
      </c>
      <c r="D27" s="81">
        <v>0.96</v>
      </c>
      <c r="E27" s="81">
        <v>0.92</v>
      </c>
      <c r="F27" s="82"/>
    </row>
    <row r="28" spans="1:6" ht="14.25" x14ac:dyDescent="0.2">
      <c r="A28" s="42"/>
      <c r="B28" s="42"/>
      <c r="C28" s="42"/>
      <c r="D28" s="42"/>
      <c r="E28" s="42"/>
      <c r="F28" s="42"/>
    </row>
    <row r="29" spans="1:6" x14ac:dyDescent="0.2">
      <c r="A29" s="76" t="s">
        <v>969</v>
      </c>
      <c r="B29" s="76" t="s">
        <v>931</v>
      </c>
      <c r="C29" s="76" t="s">
        <v>970</v>
      </c>
      <c r="D29" s="76"/>
      <c r="E29" s="76"/>
      <c r="F29" s="76"/>
    </row>
    <row r="30" spans="1:6" ht="14.25" x14ac:dyDescent="0.2">
      <c r="A30" s="77" t="s">
        <v>933</v>
      </c>
      <c r="B30" s="58" t="s">
        <v>934</v>
      </c>
      <c r="C30" s="58" t="s">
        <v>971</v>
      </c>
      <c r="D30" s="58" t="s">
        <v>953</v>
      </c>
      <c r="E30" s="58" t="s">
        <v>972</v>
      </c>
      <c r="F30" s="58" t="s">
        <v>973</v>
      </c>
    </row>
    <row r="31" spans="1:6" ht="14.25" x14ac:dyDescent="0.2">
      <c r="A31" s="77" t="s">
        <v>939</v>
      </c>
      <c r="B31" s="58" t="s">
        <v>940</v>
      </c>
      <c r="C31" s="58" t="s">
        <v>972</v>
      </c>
      <c r="D31" s="58" t="s">
        <v>974</v>
      </c>
      <c r="E31" s="58"/>
      <c r="F31" s="58"/>
    </row>
    <row r="32" spans="1:6" ht="14.25" x14ac:dyDescent="0.2">
      <c r="A32" s="77" t="s">
        <v>941</v>
      </c>
      <c r="B32" s="58" t="s">
        <v>942</v>
      </c>
      <c r="C32" s="58" t="s">
        <v>971</v>
      </c>
      <c r="D32" s="58" t="s">
        <v>972</v>
      </c>
      <c r="E32" s="58" t="s">
        <v>974</v>
      </c>
      <c r="F32" s="58"/>
    </row>
    <row r="33" spans="1:6" ht="14.25" x14ac:dyDescent="0.2">
      <c r="A33" s="77" t="s">
        <v>943</v>
      </c>
      <c r="B33" s="58" t="s">
        <v>944</v>
      </c>
      <c r="C33" s="58" t="s">
        <v>971</v>
      </c>
      <c r="D33" s="58" t="s">
        <v>975</v>
      </c>
      <c r="E33" s="58"/>
      <c r="F33" s="58"/>
    </row>
    <row r="34" spans="1:6" ht="14.25" x14ac:dyDescent="0.2">
      <c r="A34" s="77" t="s">
        <v>112</v>
      </c>
      <c r="B34" s="58" t="s">
        <v>946</v>
      </c>
      <c r="C34" s="58" t="s">
        <v>976</v>
      </c>
      <c r="D34" s="58" t="s">
        <v>949</v>
      </c>
      <c r="E34" s="58"/>
      <c r="F34" s="58"/>
    </row>
    <row r="35" spans="1:6" ht="14.25" x14ac:dyDescent="0.2">
      <c r="A35" s="77" t="s">
        <v>948</v>
      </c>
      <c r="B35" s="58" t="s">
        <v>949</v>
      </c>
      <c r="C35" s="58" t="s">
        <v>974</v>
      </c>
      <c r="D35" s="58" t="s">
        <v>972</v>
      </c>
      <c r="E35" s="58" t="s">
        <v>971</v>
      </c>
      <c r="F35" s="58"/>
    </row>
    <row r="36" spans="1:6" ht="14.25" x14ac:dyDescent="0.2">
      <c r="A36" s="77" t="s">
        <v>950</v>
      </c>
      <c r="B36" s="58" t="s">
        <v>951</v>
      </c>
      <c r="C36" s="58" t="s">
        <v>974</v>
      </c>
      <c r="D36" s="58" t="s">
        <v>972</v>
      </c>
      <c r="E36" s="58" t="s">
        <v>971</v>
      </c>
      <c r="F36" s="58"/>
    </row>
    <row r="37" spans="1:6" ht="14.25" x14ac:dyDescent="0.2">
      <c r="A37" s="77" t="s">
        <v>952</v>
      </c>
      <c r="B37" s="58" t="s">
        <v>953</v>
      </c>
      <c r="C37" s="58" t="s">
        <v>974</v>
      </c>
      <c r="D37" s="58" t="s">
        <v>972</v>
      </c>
      <c r="E37" s="58" t="s">
        <v>971</v>
      </c>
      <c r="F37" s="58"/>
    </row>
    <row r="38" spans="1:6" ht="14.25" x14ac:dyDescent="0.2">
      <c r="A38" s="77" t="s">
        <v>954</v>
      </c>
      <c r="B38" s="58" t="s">
        <v>955</v>
      </c>
      <c r="C38" s="58" t="s">
        <v>974</v>
      </c>
      <c r="D38" s="58" t="s">
        <v>977</v>
      </c>
      <c r="E38" s="58" t="s">
        <v>973</v>
      </c>
      <c r="F38" s="58" t="s">
        <v>976</v>
      </c>
    </row>
    <row r="39" spans="1:6" ht="14.25" x14ac:dyDescent="0.2">
      <c r="A39" s="77" t="s">
        <v>959</v>
      </c>
      <c r="B39" s="58" t="s">
        <v>960</v>
      </c>
      <c r="C39" s="58" t="s">
        <v>976</v>
      </c>
      <c r="D39" s="58" t="s">
        <v>978</v>
      </c>
      <c r="E39" s="58" t="s">
        <v>979</v>
      </c>
      <c r="F39" s="58" t="s">
        <v>980</v>
      </c>
    </row>
    <row r="40" spans="1:6" ht="14.25" x14ac:dyDescent="0.2">
      <c r="A40" s="77" t="s">
        <v>965</v>
      </c>
      <c r="B40" s="58" t="s">
        <v>966</v>
      </c>
      <c r="C40" s="58" t="s">
        <v>949</v>
      </c>
      <c r="D40" s="58" t="s">
        <v>975</v>
      </c>
      <c r="E40" s="58" t="s">
        <v>976</v>
      </c>
      <c r="F40" s="58"/>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Findings</vt:lpstr>
      <vt:lpstr>MatrizQC</vt:lpstr>
      <vt:lpstr>CriterioBancolombia</vt:lpstr>
      <vt:lpstr>C_Activos</vt:lpstr>
      <vt:lpstr>CamposSeleccionQC</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asd</cp:lastModifiedBy>
  <cp:revision>53</cp:revision>
  <dcterms:modified xsi:type="dcterms:W3CDTF">2019-06-27T21:11:33Z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