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JuanRestrepo-FluidAt\Documents\repos\integrates\app\techdoc\templates\"/>
    </mc:Choice>
  </mc:AlternateContent>
  <xr:revisionPtr revIDLastSave="0" documentId="13_ncr:1_{AD14CF6D-2FCD-4C85-8C61-84062C3AE7D0}" xr6:coauthVersionLast="36" xr6:coauthVersionMax="36" xr10:uidLastSave="{00000000-0000-0000-0000-000000000000}"/>
  <bookViews>
    <workbookView xWindow="0" yWindow="0" windowWidth="38400" windowHeight="12225" firstSheet="1" activeTab="1" xr2:uid="{00000000-000D-0000-FFFF-FFFF00000000}"/>
  </bookViews>
  <sheets>
    <sheet name="CriterioFluid" sheetId="1" state="hidden" r:id="rId1"/>
    <sheet name="Hallazgos" sheetId="2" r:id="rId2"/>
    <sheet name="CriterioBancolombia" sheetId="3" state="hidden" r:id="rId3"/>
    <sheet name="P_Ocurrencias" sheetId="4" state="hidden" r:id="rId4"/>
    <sheet name="P_General" sheetId="5" state="hidden" r:id="rId5"/>
    <sheet name="C_Activos" sheetId="6" state="hidden" r:id="rId6"/>
    <sheet name="CamposSeleccionQC" sheetId="8" state="hidden" r:id="rId7"/>
    <sheet name="CVSSv3" sheetId="9" state="hidden" r:id="rId8"/>
  </sheets>
  <calcPr calcId="191029" iterateDelta="1E-4"/>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591" i="2" l="1"/>
  <c r="G591" i="2"/>
  <c r="I591" i="2"/>
  <c r="G592" i="2"/>
  <c r="G593" i="2"/>
  <c r="G594" i="2"/>
  <c r="G595" i="2"/>
  <c r="G596" i="2"/>
  <c r="G597" i="2"/>
  <c r="G598" i="2"/>
  <c r="G599" i="2"/>
  <c r="G600" i="2"/>
  <c r="G601" i="2"/>
  <c r="G602" i="2"/>
  <c r="F579" i="2"/>
  <c r="G579" i="2"/>
  <c r="I579" i="2"/>
  <c r="G580" i="2"/>
  <c r="G581" i="2"/>
  <c r="G582" i="2"/>
  <c r="G583" i="2"/>
  <c r="G584" i="2"/>
  <c r="G585" i="2"/>
  <c r="G586" i="2"/>
  <c r="G587" i="2"/>
  <c r="G588" i="2"/>
  <c r="G589" i="2"/>
  <c r="G590" i="2"/>
  <c r="F567" i="2"/>
  <c r="G567" i="2"/>
  <c r="I567" i="2"/>
  <c r="G568" i="2"/>
  <c r="G569" i="2"/>
  <c r="G570" i="2"/>
  <c r="G571" i="2"/>
  <c r="G572" i="2"/>
  <c r="G573" i="2"/>
  <c r="G574" i="2"/>
  <c r="G575" i="2"/>
  <c r="G576" i="2"/>
  <c r="G577" i="2"/>
  <c r="G578" i="2"/>
  <c r="F555" i="2"/>
  <c r="G555" i="2"/>
  <c r="I555" i="2"/>
  <c r="G556" i="2"/>
  <c r="G557" i="2"/>
  <c r="G558" i="2"/>
  <c r="G559" i="2"/>
  <c r="G560" i="2"/>
  <c r="G561" i="2"/>
  <c r="G562" i="2"/>
  <c r="G563" i="2"/>
  <c r="G564" i="2"/>
  <c r="G565" i="2"/>
  <c r="G566" i="2"/>
  <c r="F543" i="2"/>
  <c r="G543" i="2"/>
  <c r="I543" i="2"/>
  <c r="G544" i="2"/>
  <c r="G545" i="2"/>
  <c r="G546" i="2"/>
  <c r="G547" i="2"/>
  <c r="G548" i="2"/>
  <c r="G549" i="2"/>
  <c r="G550" i="2"/>
  <c r="G551" i="2"/>
  <c r="G552" i="2"/>
  <c r="G553" i="2"/>
  <c r="G554" i="2"/>
  <c r="F531" i="2"/>
  <c r="G531" i="2"/>
  <c r="I531" i="2"/>
  <c r="G532" i="2"/>
  <c r="G533" i="2"/>
  <c r="G534" i="2"/>
  <c r="G535" i="2"/>
  <c r="G536" i="2"/>
  <c r="G537" i="2"/>
  <c r="G538" i="2"/>
  <c r="G539" i="2"/>
  <c r="G540" i="2"/>
  <c r="G541" i="2"/>
  <c r="G542" i="2"/>
  <c r="F519" i="2"/>
  <c r="G519" i="2"/>
  <c r="I519" i="2"/>
  <c r="G520" i="2"/>
  <c r="G521" i="2"/>
  <c r="G522" i="2"/>
  <c r="G523" i="2"/>
  <c r="G524" i="2"/>
  <c r="G525" i="2"/>
  <c r="G526" i="2"/>
  <c r="G527" i="2"/>
  <c r="G528" i="2"/>
  <c r="G529" i="2"/>
  <c r="G530" i="2"/>
  <c r="F507" i="2"/>
  <c r="G507" i="2"/>
  <c r="I507" i="2"/>
  <c r="G508" i="2"/>
  <c r="G509" i="2"/>
  <c r="G510" i="2"/>
  <c r="G511" i="2"/>
  <c r="G512" i="2"/>
  <c r="G513" i="2"/>
  <c r="G514" i="2"/>
  <c r="G515" i="2"/>
  <c r="G516" i="2"/>
  <c r="G517" i="2"/>
  <c r="G518" i="2"/>
  <c r="F495" i="2"/>
  <c r="G495" i="2"/>
  <c r="I495" i="2"/>
  <c r="G496" i="2"/>
  <c r="G497" i="2"/>
  <c r="G498" i="2"/>
  <c r="G499" i="2"/>
  <c r="G500" i="2"/>
  <c r="G501" i="2"/>
  <c r="G502" i="2"/>
  <c r="G503" i="2"/>
  <c r="G504" i="2"/>
  <c r="G505" i="2"/>
  <c r="G506" i="2"/>
  <c r="F483" i="2"/>
  <c r="G483" i="2"/>
  <c r="I483" i="2"/>
  <c r="G484" i="2"/>
  <c r="G485" i="2"/>
  <c r="G486" i="2"/>
  <c r="G487" i="2"/>
  <c r="G488" i="2"/>
  <c r="G489" i="2"/>
  <c r="G490" i="2"/>
  <c r="G491" i="2"/>
  <c r="G492" i="2"/>
  <c r="G493" i="2"/>
  <c r="G494" i="2"/>
  <c r="F471" i="2"/>
  <c r="G471" i="2"/>
  <c r="I471" i="2"/>
  <c r="G472" i="2"/>
  <c r="G473" i="2"/>
  <c r="G474" i="2"/>
  <c r="G475" i="2"/>
  <c r="G476" i="2"/>
  <c r="G477" i="2"/>
  <c r="G478" i="2"/>
  <c r="G479" i="2"/>
  <c r="G480" i="2"/>
  <c r="G481" i="2"/>
  <c r="G482" i="2"/>
  <c r="F459" i="2"/>
  <c r="G459" i="2"/>
  <c r="I459" i="2"/>
  <c r="G460" i="2"/>
  <c r="G461" i="2"/>
  <c r="G462" i="2"/>
  <c r="G463" i="2"/>
  <c r="G464" i="2"/>
  <c r="G465" i="2"/>
  <c r="G466" i="2"/>
  <c r="G467" i="2"/>
  <c r="G468" i="2"/>
  <c r="G469" i="2"/>
  <c r="G470" i="2"/>
  <c r="F447" i="2"/>
  <c r="G447" i="2"/>
  <c r="I447" i="2"/>
  <c r="G448" i="2"/>
  <c r="G449" i="2"/>
  <c r="G450" i="2"/>
  <c r="G451" i="2"/>
  <c r="G452" i="2"/>
  <c r="G453" i="2"/>
  <c r="G454" i="2"/>
  <c r="G455" i="2"/>
  <c r="G456" i="2"/>
  <c r="G457" i="2"/>
  <c r="G458" i="2"/>
  <c r="F435" i="2"/>
  <c r="G435" i="2"/>
  <c r="I435" i="2"/>
  <c r="G436" i="2"/>
  <c r="G437" i="2"/>
  <c r="G438" i="2"/>
  <c r="G439" i="2"/>
  <c r="G440" i="2"/>
  <c r="G441" i="2"/>
  <c r="G442" i="2"/>
  <c r="G443" i="2"/>
  <c r="G444" i="2"/>
  <c r="G445" i="2"/>
  <c r="G446" i="2"/>
  <c r="F423" i="2"/>
  <c r="G423" i="2"/>
  <c r="I423" i="2"/>
  <c r="G424" i="2"/>
  <c r="G425" i="2"/>
  <c r="G426" i="2"/>
  <c r="G427" i="2"/>
  <c r="G428" i="2"/>
  <c r="G429" i="2"/>
  <c r="G430" i="2"/>
  <c r="G431" i="2"/>
  <c r="G432" i="2"/>
  <c r="G433" i="2"/>
  <c r="G434" i="2"/>
  <c r="F411" i="2"/>
  <c r="G411" i="2"/>
  <c r="I411" i="2"/>
  <c r="G412" i="2"/>
  <c r="G413" i="2"/>
  <c r="G414" i="2"/>
  <c r="G415" i="2"/>
  <c r="G416" i="2"/>
  <c r="G417" i="2"/>
  <c r="G418" i="2"/>
  <c r="G419" i="2"/>
  <c r="G420" i="2"/>
  <c r="G421" i="2"/>
  <c r="G422" i="2"/>
  <c r="F399" i="2"/>
  <c r="G399" i="2"/>
  <c r="I399" i="2"/>
  <c r="G400" i="2"/>
  <c r="G401" i="2"/>
  <c r="G402" i="2"/>
  <c r="G403" i="2"/>
  <c r="G404" i="2"/>
  <c r="G405" i="2"/>
  <c r="G406" i="2"/>
  <c r="G407" i="2"/>
  <c r="G408" i="2"/>
  <c r="G409" i="2"/>
  <c r="G410" i="2"/>
  <c r="F387" i="2"/>
  <c r="G387" i="2"/>
  <c r="I387" i="2"/>
  <c r="G388" i="2"/>
  <c r="G389" i="2"/>
  <c r="G390" i="2"/>
  <c r="G391" i="2"/>
  <c r="G392" i="2"/>
  <c r="G393" i="2"/>
  <c r="G394" i="2"/>
  <c r="G395" i="2"/>
  <c r="G396" i="2"/>
  <c r="G397" i="2"/>
  <c r="G398" i="2"/>
  <c r="F375" i="2"/>
  <c r="G375" i="2"/>
  <c r="I375" i="2"/>
  <c r="G376" i="2"/>
  <c r="G377" i="2"/>
  <c r="G378" i="2"/>
  <c r="G379" i="2"/>
  <c r="G380" i="2"/>
  <c r="G381" i="2"/>
  <c r="G382" i="2"/>
  <c r="G383" i="2"/>
  <c r="G384" i="2"/>
  <c r="G385" i="2"/>
  <c r="G386" i="2"/>
  <c r="F363" i="2"/>
  <c r="G363" i="2"/>
  <c r="I363" i="2"/>
  <c r="G364" i="2"/>
  <c r="G365" i="2"/>
  <c r="G366" i="2"/>
  <c r="G367" i="2"/>
  <c r="G368" i="2"/>
  <c r="G369" i="2"/>
  <c r="G370" i="2"/>
  <c r="G371" i="2"/>
  <c r="G372" i="2"/>
  <c r="G373" i="2"/>
  <c r="G374" i="2"/>
  <c r="F351" i="2"/>
  <c r="G351" i="2"/>
  <c r="I351" i="2"/>
  <c r="G352" i="2"/>
  <c r="G353" i="2"/>
  <c r="G354" i="2"/>
  <c r="G355" i="2"/>
  <c r="G356" i="2"/>
  <c r="G357" i="2"/>
  <c r="G358" i="2"/>
  <c r="G359" i="2"/>
  <c r="G360" i="2"/>
  <c r="G361" i="2"/>
  <c r="G362" i="2"/>
  <c r="F339" i="2"/>
  <c r="G339" i="2"/>
  <c r="I339" i="2"/>
  <c r="G340" i="2"/>
  <c r="G341" i="2"/>
  <c r="G342" i="2"/>
  <c r="G343" i="2"/>
  <c r="G344" i="2"/>
  <c r="G345" i="2"/>
  <c r="G346" i="2"/>
  <c r="G347" i="2"/>
  <c r="G348" i="2"/>
  <c r="G349" i="2"/>
  <c r="G350" i="2"/>
  <c r="F327" i="2"/>
  <c r="G327" i="2"/>
  <c r="I327" i="2"/>
  <c r="G328" i="2"/>
  <c r="G329" i="2"/>
  <c r="G330" i="2"/>
  <c r="G331" i="2"/>
  <c r="G332" i="2"/>
  <c r="G333" i="2"/>
  <c r="G334" i="2"/>
  <c r="G335" i="2"/>
  <c r="G336" i="2"/>
  <c r="G337" i="2"/>
  <c r="G338" i="2"/>
  <c r="F315" i="2"/>
  <c r="G315" i="2"/>
  <c r="I315" i="2"/>
  <c r="G316" i="2"/>
  <c r="G317" i="2"/>
  <c r="G318" i="2"/>
  <c r="G319" i="2"/>
  <c r="G320" i="2"/>
  <c r="G321" i="2"/>
  <c r="G322" i="2"/>
  <c r="G323" i="2"/>
  <c r="G324" i="2"/>
  <c r="G325" i="2"/>
  <c r="G326" i="2"/>
  <c r="F303" i="2"/>
  <c r="G303" i="2"/>
  <c r="I303" i="2"/>
  <c r="G304" i="2"/>
  <c r="G305" i="2"/>
  <c r="G306" i="2"/>
  <c r="G307" i="2"/>
  <c r="G308" i="2"/>
  <c r="G309" i="2"/>
  <c r="G310" i="2"/>
  <c r="G311" i="2"/>
  <c r="G312" i="2"/>
  <c r="G313" i="2"/>
  <c r="G314" i="2"/>
  <c r="F291" i="2"/>
  <c r="G291" i="2"/>
  <c r="I291" i="2"/>
  <c r="G292" i="2"/>
  <c r="G293" i="2"/>
  <c r="G294" i="2"/>
  <c r="G295" i="2"/>
  <c r="G296" i="2"/>
  <c r="G297" i="2"/>
  <c r="G298" i="2"/>
  <c r="G299" i="2"/>
  <c r="G300" i="2"/>
  <c r="G301" i="2"/>
  <c r="G302" i="2"/>
  <c r="F279" i="2"/>
  <c r="G279" i="2"/>
  <c r="I279" i="2"/>
  <c r="G280" i="2"/>
  <c r="G281" i="2"/>
  <c r="G282" i="2"/>
  <c r="G283" i="2"/>
  <c r="G284" i="2"/>
  <c r="G285" i="2"/>
  <c r="G286" i="2"/>
  <c r="G287" i="2"/>
  <c r="G288" i="2"/>
  <c r="G289" i="2"/>
  <c r="G290" i="2"/>
  <c r="F267" i="2"/>
  <c r="G267" i="2"/>
  <c r="I267" i="2"/>
  <c r="G268" i="2"/>
  <c r="G269" i="2"/>
  <c r="G270" i="2"/>
  <c r="G271" i="2"/>
  <c r="G272" i="2"/>
  <c r="G273" i="2"/>
  <c r="G274" i="2"/>
  <c r="G275" i="2"/>
  <c r="G276" i="2"/>
  <c r="G277" i="2"/>
  <c r="G278" i="2"/>
  <c r="F255" i="2"/>
  <c r="G255" i="2"/>
  <c r="I255" i="2"/>
  <c r="G256" i="2"/>
  <c r="G257" i="2"/>
  <c r="G258" i="2"/>
  <c r="G259" i="2"/>
  <c r="G260" i="2"/>
  <c r="G261" i="2"/>
  <c r="G262" i="2"/>
  <c r="G263" i="2"/>
  <c r="G264" i="2"/>
  <c r="G265" i="2"/>
  <c r="G266" i="2"/>
  <c r="F243" i="2"/>
  <c r="G243" i="2"/>
  <c r="I243" i="2"/>
  <c r="G244" i="2"/>
  <c r="G245" i="2"/>
  <c r="G246" i="2"/>
  <c r="G247" i="2"/>
  <c r="G248" i="2"/>
  <c r="G249" i="2"/>
  <c r="G250" i="2"/>
  <c r="G251" i="2"/>
  <c r="G252" i="2"/>
  <c r="G253" i="2"/>
  <c r="G254" i="2"/>
  <c r="F231" i="2"/>
  <c r="G231" i="2"/>
  <c r="I231" i="2"/>
  <c r="G232" i="2"/>
  <c r="G233" i="2"/>
  <c r="G234" i="2"/>
  <c r="G235" i="2"/>
  <c r="G236" i="2"/>
  <c r="G237" i="2"/>
  <c r="G238" i="2"/>
  <c r="G239" i="2"/>
  <c r="G240" i="2"/>
  <c r="G241" i="2"/>
  <c r="G242" i="2"/>
  <c r="F219" i="2"/>
  <c r="G219" i="2"/>
  <c r="I219" i="2"/>
  <c r="G220" i="2"/>
  <c r="G221" i="2"/>
  <c r="G222" i="2"/>
  <c r="G223" i="2"/>
  <c r="G224" i="2"/>
  <c r="G225" i="2"/>
  <c r="G226" i="2"/>
  <c r="G227" i="2"/>
  <c r="G228" i="2"/>
  <c r="G229" i="2"/>
  <c r="G230" i="2"/>
  <c r="F207" i="2"/>
  <c r="G207" i="2"/>
  <c r="I207" i="2"/>
  <c r="G208" i="2"/>
  <c r="G209" i="2"/>
  <c r="G210" i="2"/>
  <c r="G211" i="2"/>
  <c r="G212" i="2"/>
  <c r="G213" i="2"/>
  <c r="G214" i="2"/>
  <c r="G215" i="2"/>
  <c r="G216" i="2"/>
  <c r="G217" i="2"/>
  <c r="G218" i="2"/>
  <c r="F195" i="2"/>
  <c r="G195" i="2"/>
  <c r="I195" i="2"/>
  <c r="G196" i="2"/>
  <c r="G197" i="2"/>
  <c r="G198" i="2"/>
  <c r="G199" i="2"/>
  <c r="G200" i="2"/>
  <c r="G201" i="2"/>
  <c r="G202" i="2"/>
  <c r="G203" i="2"/>
  <c r="G204" i="2"/>
  <c r="G205" i="2"/>
  <c r="G206" i="2"/>
  <c r="F183" i="2"/>
  <c r="G183" i="2"/>
  <c r="I183" i="2"/>
  <c r="G184" i="2"/>
  <c r="G185" i="2"/>
  <c r="G186" i="2"/>
  <c r="G187" i="2"/>
  <c r="G188" i="2"/>
  <c r="G189" i="2"/>
  <c r="G190" i="2"/>
  <c r="G191" i="2"/>
  <c r="G192" i="2"/>
  <c r="G193" i="2"/>
  <c r="G194" i="2"/>
  <c r="F171" i="2"/>
  <c r="G171" i="2"/>
  <c r="I171" i="2"/>
  <c r="G172" i="2"/>
  <c r="G173" i="2"/>
  <c r="G174" i="2"/>
  <c r="G175" i="2"/>
  <c r="G176" i="2"/>
  <c r="G177" i="2"/>
  <c r="G178" i="2"/>
  <c r="G179" i="2"/>
  <c r="G180" i="2"/>
  <c r="G181" i="2"/>
  <c r="G182" i="2"/>
  <c r="F159" i="2"/>
  <c r="G159" i="2"/>
  <c r="I159" i="2"/>
  <c r="G160" i="2"/>
  <c r="G161" i="2"/>
  <c r="G162" i="2"/>
  <c r="G163" i="2"/>
  <c r="G164" i="2"/>
  <c r="G165" i="2"/>
  <c r="G166" i="2"/>
  <c r="G167" i="2"/>
  <c r="G168" i="2"/>
  <c r="G169" i="2"/>
  <c r="G170" i="2"/>
  <c r="F147" i="2"/>
  <c r="G147" i="2"/>
  <c r="I147" i="2"/>
  <c r="G148" i="2"/>
  <c r="G149" i="2"/>
  <c r="G150" i="2"/>
  <c r="G151" i="2"/>
  <c r="G152" i="2"/>
  <c r="G153" i="2"/>
  <c r="G154" i="2"/>
  <c r="G155" i="2"/>
  <c r="G156" i="2"/>
  <c r="G157" i="2"/>
  <c r="G158" i="2"/>
  <c r="F135" i="2"/>
  <c r="G135" i="2"/>
  <c r="I135" i="2"/>
  <c r="G136" i="2"/>
  <c r="G137" i="2"/>
  <c r="G138" i="2"/>
  <c r="G139" i="2"/>
  <c r="G140" i="2"/>
  <c r="G141" i="2"/>
  <c r="G142" i="2"/>
  <c r="G143" i="2"/>
  <c r="G144" i="2"/>
  <c r="G145" i="2"/>
  <c r="G146" i="2"/>
  <c r="F123" i="2"/>
  <c r="G123" i="2"/>
  <c r="I123" i="2"/>
  <c r="G124" i="2"/>
  <c r="G125" i="2"/>
  <c r="G126" i="2"/>
  <c r="G127" i="2"/>
  <c r="G128" i="2"/>
  <c r="G129" i="2"/>
  <c r="G130" i="2"/>
  <c r="G131" i="2"/>
  <c r="G132" i="2"/>
  <c r="G133" i="2"/>
  <c r="G134" i="2"/>
  <c r="F111" i="2"/>
  <c r="G111" i="2"/>
  <c r="I111" i="2"/>
  <c r="G112" i="2"/>
  <c r="G113" i="2"/>
  <c r="G114" i="2"/>
  <c r="G115" i="2"/>
  <c r="G116" i="2"/>
  <c r="G117" i="2"/>
  <c r="G118" i="2"/>
  <c r="G119" i="2"/>
  <c r="G120" i="2"/>
  <c r="G121" i="2"/>
  <c r="G122" i="2"/>
  <c r="F99" i="2"/>
  <c r="G99" i="2"/>
  <c r="I99" i="2"/>
  <c r="G100" i="2"/>
  <c r="G101" i="2"/>
  <c r="G102" i="2"/>
  <c r="G103" i="2"/>
  <c r="G104" i="2"/>
  <c r="G105" i="2"/>
  <c r="G106" i="2"/>
  <c r="G107" i="2"/>
  <c r="G108" i="2"/>
  <c r="G109" i="2"/>
  <c r="G110" i="2"/>
  <c r="F87" i="2"/>
  <c r="G87" i="2"/>
  <c r="I87" i="2"/>
  <c r="G88" i="2"/>
  <c r="G89" i="2"/>
  <c r="G90" i="2"/>
  <c r="G91" i="2"/>
  <c r="G92" i="2"/>
  <c r="G93" i="2"/>
  <c r="G94" i="2"/>
  <c r="G95" i="2"/>
  <c r="G96" i="2"/>
  <c r="G97" i="2"/>
  <c r="G98" i="2"/>
  <c r="F75" i="2"/>
  <c r="G75" i="2"/>
  <c r="I75" i="2"/>
  <c r="G76" i="2"/>
  <c r="G77" i="2"/>
  <c r="G78" i="2"/>
  <c r="G79" i="2"/>
  <c r="G80" i="2"/>
  <c r="G81" i="2"/>
  <c r="G82" i="2"/>
  <c r="G83" i="2"/>
  <c r="G84" i="2"/>
  <c r="G85" i="2"/>
  <c r="G86" i="2"/>
  <c r="F63" i="2"/>
  <c r="G63" i="2"/>
  <c r="I63" i="2"/>
  <c r="G64" i="2"/>
  <c r="G65" i="2"/>
  <c r="G66" i="2"/>
  <c r="G67" i="2"/>
  <c r="G68" i="2"/>
  <c r="G69" i="2"/>
  <c r="G70" i="2"/>
  <c r="G71" i="2"/>
  <c r="G72" i="2"/>
  <c r="G73" i="2"/>
  <c r="G74" i="2"/>
  <c r="F51" i="2"/>
  <c r="G51" i="2"/>
  <c r="I51" i="2"/>
  <c r="G52" i="2"/>
  <c r="G53" i="2"/>
  <c r="G54" i="2"/>
  <c r="G55" i="2"/>
  <c r="G56" i="2"/>
  <c r="G57" i="2"/>
  <c r="G58" i="2"/>
  <c r="G59" i="2"/>
  <c r="G60" i="2"/>
  <c r="G61" i="2"/>
  <c r="G62" i="2"/>
  <c r="F39" i="2"/>
  <c r="G39" i="2"/>
  <c r="I39" i="2"/>
  <c r="G40" i="2"/>
  <c r="G41" i="2"/>
  <c r="G42" i="2"/>
  <c r="G43" i="2"/>
  <c r="G44" i="2"/>
  <c r="G45" i="2"/>
  <c r="G46" i="2"/>
  <c r="G47" i="2"/>
  <c r="G48" i="2"/>
  <c r="G49" i="2"/>
  <c r="G50" i="2"/>
  <c r="F27" i="2"/>
  <c r="G27" i="2"/>
  <c r="I27" i="2"/>
  <c r="G28" i="2"/>
  <c r="G29" i="2"/>
  <c r="G30" i="2"/>
  <c r="G31" i="2"/>
  <c r="G32" i="2"/>
  <c r="G33" i="2"/>
  <c r="G34" i="2"/>
  <c r="G35" i="2"/>
  <c r="G36" i="2"/>
  <c r="G37" i="2"/>
  <c r="G38" i="2"/>
  <c r="I15" i="2"/>
  <c r="G26" i="2"/>
  <c r="G25" i="2"/>
  <c r="G24" i="2"/>
  <c r="G23" i="2"/>
  <c r="G22" i="2"/>
  <c r="G21" i="2"/>
  <c r="G20" i="2"/>
  <c r="G19" i="2"/>
  <c r="G18" i="2"/>
  <c r="G17" i="2"/>
  <c r="G16" i="2"/>
  <c r="G15" i="2"/>
  <c r="F15" i="2"/>
  <c r="H44" i="6"/>
  <c r="G44" i="6"/>
  <c r="AB43" i="6"/>
  <c r="Y43" i="6"/>
  <c r="H43" i="6"/>
  <c r="G43" i="6"/>
  <c r="F43" i="6"/>
  <c r="AB42" i="6"/>
  <c r="Y42" i="6"/>
  <c r="H42" i="6"/>
  <c r="G42" i="6"/>
  <c r="F42" i="6"/>
  <c r="AB41" i="6"/>
  <c r="Y41" i="6"/>
  <c r="H41" i="6"/>
  <c r="G41" i="6"/>
  <c r="F41" i="6"/>
  <c r="AB40" i="6"/>
  <c r="Y40" i="6"/>
  <c r="H40" i="6"/>
  <c r="G40" i="6"/>
  <c r="F40" i="6"/>
  <c r="AB39" i="6"/>
  <c r="Y39" i="6"/>
  <c r="H39" i="6"/>
  <c r="G39" i="6"/>
  <c r="F39" i="6"/>
  <c r="AB38" i="6"/>
  <c r="Y38" i="6"/>
  <c r="H38" i="6"/>
  <c r="G38" i="6"/>
  <c r="F38" i="6"/>
  <c r="AB37" i="6"/>
  <c r="Y37" i="6"/>
  <c r="H37" i="6"/>
  <c r="G37" i="6"/>
  <c r="F37" i="6"/>
  <c r="AB36" i="6"/>
  <c r="Y36" i="6"/>
  <c r="H36" i="6"/>
  <c r="G36" i="6"/>
  <c r="F36" i="6"/>
  <c r="AB35" i="6"/>
  <c r="Y35" i="6"/>
  <c r="H35" i="6"/>
  <c r="G35" i="6"/>
  <c r="F35" i="6"/>
  <c r="AB34" i="6"/>
  <c r="Y34" i="6"/>
  <c r="H34" i="6"/>
  <c r="G34" i="6"/>
  <c r="F34" i="6"/>
  <c r="AB33" i="6"/>
  <c r="Y33" i="6"/>
  <c r="H33" i="6"/>
  <c r="G33" i="6"/>
  <c r="F33" i="6"/>
  <c r="AB32" i="6"/>
  <c r="Y32" i="6"/>
  <c r="H32" i="6"/>
  <c r="G32" i="6"/>
  <c r="F32" i="6"/>
  <c r="AB31" i="6"/>
  <c r="Y31" i="6"/>
  <c r="H31" i="6"/>
  <c r="G31" i="6"/>
  <c r="F31" i="6"/>
  <c r="AB30" i="6"/>
  <c r="Y30" i="6"/>
  <c r="H30" i="6"/>
  <c r="G30" i="6"/>
  <c r="F30" i="6"/>
  <c r="AB29" i="6"/>
  <c r="Y29" i="6"/>
  <c r="H29" i="6"/>
  <c r="G29" i="6"/>
  <c r="F29" i="6"/>
  <c r="AB28" i="6"/>
  <c r="Y28" i="6"/>
  <c r="H28" i="6"/>
  <c r="G28" i="6"/>
  <c r="F28" i="6"/>
  <c r="AB27" i="6"/>
  <c r="Y27" i="6"/>
  <c r="H27" i="6"/>
  <c r="G27" i="6"/>
  <c r="F27" i="6"/>
  <c r="AB26" i="6"/>
  <c r="Y26" i="6"/>
  <c r="H26" i="6"/>
  <c r="G26" i="6"/>
  <c r="F26" i="6"/>
  <c r="AB25" i="6"/>
  <c r="Y25" i="6"/>
  <c r="L25" i="6"/>
  <c r="D25" i="6"/>
  <c r="H25" i="6" s="1"/>
  <c r="A25" i="6"/>
  <c r="AB24" i="6"/>
  <c r="Y24" i="6"/>
  <c r="L24" i="6"/>
  <c r="AB23" i="6"/>
  <c r="Y23" i="6"/>
  <c r="L23" i="6"/>
  <c r="H23" i="6"/>
  <c r="G23" i="6"/>
  <c r="AB22" i="6"/>
  <c r="Y22" i="6"/>
  <c r="L22" i="6"/>
  <c r="H22" i="6"/>
  <c r="G22" i="6"/>
  <c r="F22" i="6"/>
  <c r="AB21" i="6"/>
  <c r="Y21" i="6"/>
  <c r="L21" i="6"/>
  <c r="H21" i="6"/>
  <c r="G21" i="6"/>
  <c r="F21" i="6"/>
  <c r="AB20" i="6"/>
  <c r="Y20" i="6"/>
  <c r="L20" i="6"/>
  <c r="H20" i="6"/>
  <c r="G20" i="6"/>
  <c r="F20" i="6"/>
  <c r="AB19" i="6"/>
  <c r="Y19" i="6"/>
  <c r="L19" i="6"/>
  <c r="H19" i="6"/>
  <c r="G19" i="6"/>
  <c r="F19" i="6"/>
  <c r="AB18" i="6"/>
  <c r="Y18" i="6"/>
  <c r="L18" i="6"/>
  <c r="H18" i="6"/>
  <c r="G18" i="6"/>
  <c r="F18" i="6"/>
  <c r="AB17" i="6"/>
  <c r="Y17" i="6"/>
  <c r="L17" i="6"/>
  <c r="H17" i="6"/>
  <c r="G17" i="6"/>
  <c r="F17" i="6"/>
  <c r="AB16" i="6"/>
  <c r="Y16" i="6"/>
  <c r="L16" i="6"/>
  <c r="H16" i="6"/>
  <c r="G16" i="6"/>
  <c r="F16" i="6"/>
  <c r="AB15" i="6"/>
  <c r="Y15" i="6"/>
  <c r="L15" i="6"/>
  <c r="H15" i="6"/>
  <c r="G15" i="6"/>
  <c r="F15" i="6"/>
  <c r="AB14" i="6"/>
  <c r="Y14" i="6"/>
  <c r="L14" i="6"/>
  <c r="H14" i="6"/>
  <c r="G14" i="6"/>
  <c r="F14" i="6"/>
  <c r="AB13" i="6"/>
  <c r="Y13" i="6"/>
  <c r="L13" i="6"/>
  <c r="H13" i="6"/>
  <c r="G13" i="6"/>
  <c r="F13" i="6"/>
  <c r="AB12" i="6"/>
  <c r="Y12" i="6"/>
  <c r="H12" i="6"/>
  <c r="G12" i="6"/>
  <c r="F12" i="6"/>
  <c r="AB11" i="6"/>
  <c r="Y11" i="6"/>
  <c r="H11" i="6"/>
  <c r="G11" i="6"/>
  <c r="F11" i="6"/>
  <c r="AB10" i="6"/>
  <c r="Y10" i="6"/>
  <c r="H10" i="6"/>
  <c r="G10" i="6"/>
  <c r="F10" i="6"/>
  <c r="AB9" i="6"/>
  <c r="Y9" i="6"/>
  <c r="H9" i="6"/>
  <c r="G9" i="6"/>
  <c r="F9" i="6"/>
  <c r="AB8" i="6"/>
  <c r="Y8" i="6"/>
  <c r="H8" i="6"/>
  <c r="G8" i="6"/>
  <c r="F8" i="6"/>
  <c r="AB7" i="6"/>
  <c r="Y7" i="6"/>
  <c r="H7" i="6"/>
  <c r="G7" i="6"/>
  <c r="F7" i="6"/>
  <c r="AB6" i="6"/>
  <c r="Y6" i="6"/>
  <c r="H6" i="6"/>
  <c r="G6" i="6"/>
  <c r="F6" i="6"/>
  <c r="AB5" i="6"/>
  <c r="Y5" i="6"/>
  <c r="H5" i="6"/>
  <c r="G5" i="6"/>
  <c r="F5" i="6"/>
  <c r="AB4" i="6"/>
  <c r="Y4" i="6"/>
  <c r="H4" i="6"/>
  <c r="G4" i="6"/>
  <c r="F4" i="6"/>
  <c r="AB3" i="6"/>
  <c r="Y3" i="6"/>
  <c r="H3" i="6"/>
  <c r="G3" i="6"/>
  <c r="F3" i="6"/>
  <c r="AB2" i="6"/>
  <c r="Y2" i="6"/>
  <c r="D2" i="6"/>
  <c r="A2" i="6"/>
  <c r="AB1" i="6"/>
  <c r="Z1" i="6"/>
  <c r="Y1" i="6"/>
  <c r="W1" i="6"/>
  <c r="P1" i="6"/>
  <c r="B4" i="5"/>
  <c r="B3" i="5"/>
  <c r="B2" i="5"/>
  <c r="B30" i="4"/>
  <c r="B29" i="4"/>
  <c r="B28" i="4"/>
  <c r="B27" i="4"/>
  <c r="B26" i="4"/>
  <c r="B25" i="4"/>
  <c r="B24" i="4"/>
  <c r="B23" i="4"/>
  <c r="B22" i="4"/>
  <c r="B21" i="4"/>
  <c r="B20" i="4"/>
  <c r="B19" i="4"/>
  <c r="B18" i="4"/>
  <c r="B17" i="4"/>
  <c r="B16" i="4"/>
  <c r="B15" i="4"/>
  <c r="B14" i="4"/>
  <c r="B13" i="4"/>
  <c r="B12" i="4"/>
  <c r="B11" i="4"/>
  <c r="B10" i="4"/>
  <c r="B9" i="4"/>
  <c r="B8" i="4"/>
  <c r="B7" i="4"/>
  <c r="B6" i="4"/>
  <c r="J5" i="4"/>
  <c r="I5" i="4"/>
  <c r="H5" i="4"/>
  <c r="F5" i="4"/>
  <c r="E5" i="4"/>
  <c r="D5" i="4"/>
  <c r="C5" i="4"/>
  <c r="B1" i="4"/>
  <c r="E229" i="3"/>
  <c r="D229" i="3"/>
  <c r="C229" i="3" s="1"/>
  <c r="E228" i="3"/>
  <c r="D228" i="3"/>
  <c r="C228" i="3" s="1"/>
  <c r="E227" i="3"/>
  <c r="D227" i="3"/>
  <c r="C227" i="3"/>
  <c r="L219" i="3"/>
  <c r="J219" i="3"/>
  <c r="L218" i="3"/>
  <c r="J218" i="3"/>
  <c r="L217" i="3"/>
  <c r="J217" i="3"/>
  <c r="L216" i="3"/>
  <c r="J216" i="3"/>
  <c r="L215" i="3"/>
  <c r="J215" i="3"/>
  <c r="L214" i="3"/>
  <c r="J214" i="3"/>
  <c r="L213" i="3"/>
  <c r="J213" i="3"/>
  <c r="L212" i="3"/>
  <c r="J212" i="3"/>
  <c r="L211" i="3"/>
  <c r="J211" i="3"/>
  <c r="L210" i="3"/>
  <c r="J210" i="3"/>
  <c r="L209" i="3"/>
  <c r="J209" i="3"/>
  <c r="L208" i="3"/>
  <c r="J208" i="3"/>
  <c r="L207" i="3"/>
  <c r="J207" i="3"/>
  <c r="L206" i="3"/>
  <c r="J206" i="3"/>
  <c r="L205" i="3"/>
  <c r="J205" i="3"/>
  <c r="L204" i="3"/>
  <c r="J204" i="3"/>
  <c r="L203" i="3"/>
  <c r="J203" i="3"/>
  <c r="L202" i="3"/>
  <c r="J202" i="3"/>
  <c r="L201" i="3"/>
  <c r="J201" i="3"/>
  <c r="L200" i="3"/>
  <c r="J200" i="3"/>
  <c r="L199" i="3"/>
  <c r="J199" i="3"/>
  <c r="L198" i="3"/>
  <c r="J198" i="3"/>
  <c r="L197" i="3"/>
  <c r="J197" i="3"/>
  <c r="L196" i="3"/>
  <c r="J196" i="3"/>
  <c r="L195" i="3"/>
  <c r="J195" i="3"/>
  <c r="L194" i="3"/>
  <c r="J194" i="3"/>
  <c r="L193" i="3"/>
  <c r="J193" i="3"/>
  <c r="L192" i="3"/>
  <c r="J192" i="3"/>
  <c r="L191" i="3"/>
  <c r="J191" i="3"/>
  <c r="L190" i="3"/>
  <c r="K190" i="3" s="1"/>
  <c r="J190" i="3"/>
  <c r="L189" i="3"/>
  <c r="K189" i="3" s="1"/>
  <c r="J189" i="3"/>
  <c r="L188" i="3"/>
  <c r="K188" i="3" s="1"/>
  <c r="J188" i="3"/>
  <c r="L187" i="3"/>
  <c r="K187" i="3" s="1"/>
  <c r="J187" i="3"/>
  <c r="L186" i="3"/>
  <c r="K186" i="3" s="1"/>
  <c r="J186" i="3"/>
  <c r="L185" i="3"/>
  <c r="K185" i="3" s="1"/>
  <c r="J185" i="3"/>
  <c r="L184" i="3"/>
  <c r="K184" i="3" s="1"/>
  <c r="J184" i="3"/>
  <c r="L183" i="3"/>
  <c r="K183" i="3" s="1"/>
  <c r="J183" i="3"/>
  <c r="L182" i="3"/>
  <c r="K182" i="3" s="1"/>
  <c r="J182" i="3"/>
  <c r="L181" i="3"/>
  <c r="K181" i="3" s="1"/>
  <c r="J181" i="3"/>
  <c r="L180" i="3"/>
  <c r="K180" i="3" s="1"/>
  <c r="J180" i="3"/>
  <c r="L179" i="3"/>
  <c r="K179" i="3" s="1"/>
  <c r="J179" i="3"/>
  <c r="L178" i="3"/>
  <c r="K178" i="3" s="1"/>
  <c r="J178" i="3"/>
  <c r="L177" i="3"/>
  <c r="K177" i="3" s="1"/>
  <c r="J177" i="3"/>
  <c r="L176" i="3"/>
  <c r="K176" i="3" s="1"/>
  <c r="J176" i="3"/>
  <c r="L175" i="3"/>
  <c r="K175" i="3" s="1"/>
  <c r="J175" i="3"/>
  <c r="L174" i="3"/>
  <c r="K174" i="3" s="1"/>
  <c r="J174" i="3"/>
  <c r="L173" i="3"/>
  <c r="K173" i="3" s="1"/>
  <c r="J173" i="3"/>
  <c r="L172" i="3"/>
  <c r="K172" i="3" s="1"/>
  <c r="J172" i="3"/>
  <c r="L171" i="3"/>
  <c r="K171" i="3" s="1"/>
  <c r="J171" i="3"/>
  <c r="L170" i="3"/>
  <c r="K170" i="3" s="1"/>
  <c r="J170" i="3"/>
  <c r="L169" i="3"/>
  <c r="K169" i="3" s="1"/>
  <c r="J169" i="3"/>
  <c r="L168" i="3"/>
  <c r="K168" i="3" s="1"/>
  <c r="J168" i="3"/>
  <c r="L167" i="3"/>
  <c r="K167" i="3" s="1"/>
  <c r="J167" i="3"/>
  <c r="L166" i="3"/>
  <c r="K166" i="3" s="1"/>
  <c r="J166" i="3"/>
  <c r="L165" i="3"/>
  <c r="K165" i="3" s="1"/>
  <c r="J165" i="3"/>
  <c r="L164" i="3"/>
  <c r="K164" i="3" s="1"/>
  <c r="J164" i="3"/>
  <c r="L163" i="3"/>
  <c r="K163" i="3" s="1"/>
  <c r="J163" i="3"/>
  <c r="L162" i="3"/>
  <c r="K162" i="3" s="1"/>
  <c r="J162" i="3"/>
  <c r="L161" i="3"/>
  <c r="K161" i="3" s="1"/>
  <c r="J161" i="3"/>
  <c r="L160" i="3"/>
  <c r="K160" i="3" s="1"/>
  <c r="J160" i="3"/>
  <c r="L159" i="3"/>
  <c r="K159" i="3" s="1"/>
  <c r="J159" i="3"/>
  <c r="L158" i="3"/>
  <c r="K158" i="3" s="1"/>
  <c r="J158" i="3"/>
  <c r="L157" i="3"/>
  <c r="K157" i="3" s="1"/>
  <c r="J157" i="3"/>
  <c r="L156" i="3"/>
  <c r="K156" i="3" s="1"/>
  <c r="J156" i="3"/>
  <c r="L155" i="3"/>
  <c r="K155" i="3" s="1"/>
  <c r="J155" i="3"/>
  <c r="L154" i="3"/>
  <c r="K154" i="3" s="1"/>
  <c r="J154" i="3"/>
  <c r="L153" i="3"/>
  <c r="K153" i="3" s="1"/>
  <c r="J153" i="3"/>
  <c r="L152" i="3"/>
  <c r="K152" i="3" s="1"/>
  <c r="J152" i="3"/>
  <c r="L151" i="3"/>
  <c r="K151" i="3" s="1"/>
  <c r="J151" i="3"/>
  <c r="L150" i="3"/>
  <c r="K150" i="3" s="1"/>
  <c r="J150" i="3"/>
  <c r="L149" i="3"/>
  <c r="K149" i="3" s="1"/>
  <c r="J149" i="3"/>
  <c r="L148" i="3"/>
  <c r="K148" i="3" s="1"/>
  <c r="J148" i="3"/>
  <c r="L147" i="3"/>
  <c r="K147" i="3" s="1"/>
  <c r="J147" i="3"/>
  <c r="L146" i="3"/>
  <c r="K146" i="3" s="1"/>
  <c r="J146" i="3"/>
  <c r="L145" i="3"/>
  <c r="K145" i="3" s="1"/>
  <c r="J145" i="3"/>
  <c r="L144" i="3"/>
  <c r="K144" i="3" s="1"/>
  <c r="J144" i="3"/>
  <c r="L143" i="3"/>
  <c r="K143" i="3" s="1"/>
  <c r="J143" i="3"/>
  <c r="L142" i="3"/>
  <c r="K142" i="3" s="1"/>
  <c r="J142" i="3"/>
  <c r="L141" i="3"/>
  <c r="K141" i="3" s="1"/>
  <c r="J141" i="3"/>
  <c r="L140" i="3"/>
  <c r="K140" i="3" s="1"/>
  <c r="J140" i="3"/>
  <c r="L139" i="3"/>
  <c r="K139" i="3" s="1"/>
  <c r="J139" i="3"/>
  <c r="L138" i="3"/>
  <c r="K138" i="3" s="1"/>
  <c r="J138" i="3"/>
  <c r="L137" i="3"/>
  <c r="K137" i="3" s="1"/>
  <c r="J137" i="3"/>
  <c r="L136" i="3"/>
  <c r="K136" i="3" s="1"/>
  <c r="J136" i="3"/>
  <c r="L135" i="3"/>
  <c r="K135" i="3" s="1"/>
  <c r="J135" i="3"/>
  <c r="L134" i="3"/>
  <c r="K134" i="3" s="1"/>
  <c r="J134" i="3"/>
  <c r="L133" i="3"/>
  <c r="K133" i="3" s="1"/>
  <c r="J133" i="3"/>
  <c r="L132" i="3"/>
  <c r="K132" i="3" s="1"/>
  <c r="J132" i="3"/>
  <c r="L131" i="3"/>
  <c r="K131" i="3" s="1"/>
  <c r="J131" i="3"/>
  <c r="L130" i="3"/>
  <c r="K130" i="3" s="1"/>
  <c r="J130" i="3"/>
  <c r="L129" i="3"/>
  <c r="K129" i="3" s="1"/>
  <c r="J129" i="3"/>
  <c r="L128" i="3"/>
  <c r="K128" i="3" s="1"/>
  <c r="J128" i="3"/>
  <c r="L127" i="3"/>
  <c r="K127" i="3" s="1"/>
  <c r="J127" i="3"/>
  <c r="L126" i="3"/>
  <c r="K126" i="3" s="1"/>
  <c r="J126" i="3"/>
  <c r="L125" i="3"/>
  <c r="K125" i="3" s="1"/>
  <c r="J125" i="3"/>
  <c r="L124" i="3"/>
  <c r="K124" i="3" s="1"/>
  <c r="J124" i="3"/>
  <c r="L123" i="3"/>
  <c r="K123" i="3" s="1"/>
  <c r="J123" i="3"/>
  <c r="L122" i="3"/>
  <c r="K122" i="3" s="1"/>
  <c r="J122" i="3"/>
  <c r="L121" i="3"/>
  <c r="K121" i="3" s="1"/>
  <c r="J121" i="3"/>
  <c r="L120" i="3"/>
  <c r="K120" i="3" s="1"/>
  <c r="J120" i="3"/>
  <c r="L119" i="3"/>
  <c r="K119" i="3" s="1"/>
  <c r="J119" i="3"/>
  <c r="L118" i="3"/>
  <c r="K118" i="3" s="1"/>
  <c r="J118" i="3"/>
  <c r="L117" i="3"/>
  <c r="K117" i="3" s="1"/>
  <c r="J117" i="3"/>
  <c r="L116" i="3"/>
  <c r="K116" i="3" s="1"/>
  <c r="J116" i="3"/>
  <c r="L115" i="3"/>
  <c r="K115" i="3" s="1"/>
  <c r="J115" i="3"/>
  <c r="L114" i="3"/>
  <c r="K114" i="3" s="1"/>
  <c r="J114" i="3"/>
  <c r="L113" i="3"/>
  <c r="K113" i="3" s="1"/>
  <c r="J113" i="3"/>
  <c r="L112" i="3"/>
  <c r="K112" i="3" s="1"/>
  <c r="J112" i="3"/>
  <c r="L111" i="3"/>
  <c r="K111" i="3" s="1"/>
  <c r="J111" i="3"/>
  <c r="L110" i="3"/>
  <c r="K110" i="3" s="1"/>
  <c r="J110" i="3"/>
  <c r="L109" i="3"/>
  <c r="K109" i="3" s="1"/>
  <c r="J109" i="3"/>
  <c r="L108" i="3"/>
  <c r="K108" i="3" s="1"/>
  <c r="J108" i="3"/>
  <c r="L107" i="3"/>
  <c r="K107" i="3" s="1"/>
  <c r="J107" i="3"/>
  <c r="L106" i="3"/>
  <c r="K106" i="3" s="1"/>
  <c r="J106" i="3"/>
  <c r="L105" i="3"/>
  <c r="K105" i="3" s="1"/>
  <c r="J105" i="3"/>
  <c r="L104" i="3"/>
  <c r="K104" i="3" s="1"/>
  <c r="J104" i="3"/>
  <c r="L103" i="3"/>
  <c r="K103" i="3" s="1"/>
  <c r="J103" i="3"/>
  <c r="L102" i="3"/>
  <c r="K102" i="3" s="1"/>
  <c r="J102" i="3"/>
  <c r="L101" i="3"/>
  <c r="K101" i="3" s="1"/>
  <c r="J101" i="3"/>
  <c r="L100" i="3"/>
  <c r="K100" i="3" s="1"/>
  <c r="J100" i="3"/>
  <c r="L99" i="3"/>
  <c r="K99" i="3" s="1"/>
  <c r="J99" i="3"/>
  <c r="L98" i="3"/>
  <c r="K98" i="3" s="1"/>
  <c r="J98" i="3"/>
  <c r="L97" i="3"/>
  <c r="K97" i="3" s="1"/>
  <c r="J97" i="3"/>
  <c r="L96" i="3"/>
  <c r="K96" i="3" s="1"/>
  <c r="J96" i="3"/>
  <c r="L95" i="3"/>
  <c r="K95" i="3" s="1"/>
  <c r="J95" i="3"/>
  <c r="L94" i="3"/>
  <c r="K94" i="3" s="1"/>
  <c r="J94" i="3"/>
  <c r="L93" i="3"/>
  <c r="K93" i="3" s="1"/>
  <c r="J93" i="3"/>
  <c r="L92" i="3"/>
  <c r="K92" i="3" s="1"/>
  <c r="J92" i="3"/>
  <c r="L91" i="3"/>
  <c r="K91" i="3" s="1"/>
  <c r="J91" i="3"/>
  <c r="L90" i="3"/>
  <c r="K90" i="3" s="1"/>
  <c r="J90" i="3"/>
  <c r="L89" i="3"/>
  <c r="K89" i="3" s="1"/>
  <c r="J89" i="3"/>
  <c r="L88" i="3"/>
  <c r="K88" i="3" s="1"/>
  <c r="J88" i="3"/>
  <c r="L87" i="3"/>
  <c r="K87" i="3" s="1"/>
  <c r="J87" i="3"/>
  <c r="L86" i="3"/>
  <c r="K86" i="3" s="1"/>
  <c r="J86" i="3"/>
  <c r="L85" i="3"/>
  <c r="K85" i="3" s="1"/>
  <c r="J85" i="3"/>
  <c r="L84" i="3"/>
  <c r="K84" i="3" s="1"/>
  <c r="J84" i="3"/>
  <c r="L83" i="3"/>
  <c r="K83" i="3" s="1"/>
  <c r="J83" i="3"/>
  <c r="L82" i="3"/>
  <c r="K82" i="3" s="1"/>
  <c r="J82" i="3"/>
  <c r="L81" i="3"/>
  <c r="K81" i="3" s="1"/>
  <c r="J81" i="3"/>
  <c r="L80" i="3"/>
  <c r="K80" i="3" s="1"/>
  <c r="J80" i="3"/>
  <c r="L79" i="3"/>
  <c r="K79" i="3" s="1"/>
  <c r="J79" i="3"/>
  <c r="L78" i="3"/>
  <c r="K78" i="3" s="1"/>
  <c r="J78" i="3"/>
  <c r="L77" i="3"/>
  <c r="K77" i="3" s="1"/>
  <c r="J77" i="3"/>
  <c r="L76" i="3"/>
  <c r="K76" i="3" s="1"/>
  <c r="J76" i="3"/>
  <c r="L75" i="3"/>
  <c r="K75" i="3" s="1"/>
  <c r="J75" i="3"/>
  <c r="L74" i="3"/>
  <c r="K74" i="3" s="1"/>
  <c r="J74" i="3"/>
  <c r="L73" i="3"/>
  <c r="K73" i="3" s="1"/>
  <c r="J73" i="3"/>
  <c r="L72" i="3"/>
  <c r="K72" i="3" s="1"/>
  <c r="J72" i="3"/>
  <c r="L71" i="3"/>
  <c r="K71" i="3" s="1"/>
  <c r="J71" i="3"/>
  <c r="L70" i="3"/>
  <c r="K70" i="3" s="1"/>
  <c r="J70" i="3"/>
  <c r="L69" i="3"/>
  <c r="K69" i="3" s="1"/>
  <c r="J69" i="3"/>
  <c r="L68" i="3"/>
  <c r="K68" i="3" s="1"/>
  <c r="J68" i="3"/>
  <c r="L67" i="3"/>
  <c r="K67" i="3" s="1"/>
  <c r="J67" i="3"/>
  <c r="L66" i="3"/>
  <c r="K66" i="3" s="1"/>
  <c r="J66" i="3"/>
  <c r="L65" i="3"/>
  <c r="K65" i="3" s="1"/>
  <c r="J65" i="3"/>
  <c r="L64" i="3"/>
  <c r="K64" i="3" s="1"/>
  <c r="J64" i="3"/>
  <c r="L63" i="3"/>
  <c r="K63" i="3" s="1"/>
  <c r="J63" i="3"/>
  <c r="L62" i="3"/>
  <c r="K62" i="3" s="1"/>
  <c r="J62" i="3"/>
  <c r="L61" i="3"/>
  <c r="K61" i="3" s="1"/>
  <c r="J61" i="3"/>
  <c r="L60" i="3"/>
  <c r="K60" i="3" s="1"/>
  <c r="J60" i="3"/>
  <c r="L59" i="3"/>
  <c r="K59" i="3" s="1"/>
  <c r="J59" i="3"/>
  <c r="L58" i="3"/>
  <c r="K58" i="3" s="1"/>
  <c r="J58" i="3"/>
  <c r="L57" i="3"/>
  <c r="K57" i="3" s="1"/>
  <c r="J57" i="3"/>
  <c r="L56" i="3"/>
  <c r="K56" i="3" s="1"/>
  <c r="J56" i="3"/>
  <c r="L55" i="3"/>
  <c r="K55" i="3" s="1"/>
  <c r="J55" i="3"/>
  <c r="L54" i="3"/>
  <c r="K54" i="3" s="1"/>
  <c r="J54" i="3"/>
  <c r="L53" i="3"/>
  <c r="K53" i="3" s="1"/>
  <c r="J53" i="3"/>
  <c r="L52" i="3"/>
  <c r="K52" i="3" s="1"/>
  <c r="J52" i="3"/>
  <c r="L51" i="3"/>
  <c r="K51" i="3" s="1"/>
  <c r="J51" i="3"/>
  <c r="L50" i="3"/>
  <c r="K50" i="3" s="1"/>
  <c r="J50" i="3"/>
  <c r="L49" i="3"/>
  <c r="K49" i="3" s="1"/>
  <c r="J49" i="3"/>
  <c r="L48" i="3"/>
  <c r="K48" i="3" s="1"/>
  <c r="J48" i="3"/>
  <c r="L47" i="3"/>
  <c r="K47" i="3" s="1"/>
  <c r="J47" i="3"/>
  <c r="L46" i="3"/>
  <c r="K46" i="3" s="1"/>
  <c r="J46" i="3"/>
  <c r="L45" i="3"/>
  <c r="K45" i="3" s="1"/>
  <c r="J45" i="3"/>
  <c r="L44" i="3"/>
  <c r="K44" i="3" s="1"/>
  <c r="J44" i="3"/>
  <c r="L43" i="3"/>
  <c r="K43" i="3" s="1"/>
  <c r="J43" i="3"/>
  <c r="L42" i="3"/>
  <c r="K42" i="3" s="1"/>
  <c r="J42" i="3"/>
  <c r="L41" i="3"/>
  <c r="K41" i="3" s="1"/>
  <c r="J41" i="3"/>
  <c r="L40" i="3"/>
  <c r="K40" i="3" s="1"/>
  <c r="J40" i="3"/>
  <c r="L39" i="3"/>
  <c r="K39" i="3" s="1"/>
  <c r="J39" i="3"/>
  <c r="L38" i="3"/>
  <c r="K38" i="3" s="1"/>
  <c r="J38" i="3"/>
  <c r="L37" i="3"/>
  <c r="K37" i="3" s="1"/>
  <c r="J37" i="3"/>
  <c r="L36" i="3"/>
  <c r="K36" i="3" s="1"/>
  <c r="J36" i="3"/>
  <c r="L35" i="3"/>
  <c r="K35" i="3" s="1"/>
  <c r="J35" i="3"/>
  <c r="L34" i="3"/>
  <c r="K34" i="3" s="1"/>
  <c r="J34" i="3"/>
  <c r="L33" i="3"/>
  <c r="K33" i="3" s="1"/>
  <c r="J33" i="3"/>
  <c r="L32" i="3"/>
  <c r="K32" i="3" s="1"/>
  <c r="J32" i="3"/>
  <c r="L31" i="3"/>
  <c r="K31" i="3" s="1"/>
  <c r="J31" i="3"/>
  <c r="L30" i="3"/>
  <c r="K30" i="3" s="1"/>
  <c r="J30" i="3"/>
  <c r="L29" i="3"/>
  <c r="K29" i="3" s="1"/>
  <c r="J29" i="3"/>
  <c r="L28" i="3"/>
  <c r="K28" i="3" s="1"/>
  <c r="J28" i="3"/>
  <c r="L27" i="3"/>
  <c r="K27" i="3" s="1"/>
  <c r="J27" i="3"/>
  <c r="L26" i="3"/>
  <c r="K26" i="3" s="1"/>
  <c r="J26" i="3"/>
  <c r="L25" i="3"/>
  <c r="K25" i="3" s="1"/>
  <c r="J25" i="3"/>
  <c r="L24" i="3"/>
  <c r="K24" i="3" s="1"/>
  <c r="J24" i="3"/>
  <c r="L23" i="3"/>
  <c r="K23" i="3" s="1"/>
  <c r="J23" i="3"/>
  <c r="L22" i="3"/>
  <c r="K22" i="3" s="1"/>
  <c r="J22" i="3"/>
  <c r="L21" i="3"/>
  <c r="K21" i="3" s="1"/>
  <c r="J21" i="3"/>
  <c r="L20" i="3"/>
  <c r="K20" i="3" s="1"/>
  <c r="J20" i="3"/>
  <c r="L19" i="3"/>
  <c r="K19" i="3" s="1"/>
  <c r="J19" i="3"/>
  <c r="L18" i="3"/>
  <c r="K18" i="3" s="1"/>
  <c r="J18" i="3"/>
  <c r="L17" i="3"/>
  <c r="K17" i="3" s="1"/>
  <c r="J17" i="3"/>
  <c r="L16" i="3"/>
  <c r="K16" i="3" s="1"/>
  <c r="J16" i="3"/>
  <c r="L15" i="3"/>
  <c r="K15" i="3" s="1"/>
  <c r="J15" i="3"/>
  <c r="L14" i="3"/>
  <c r="K14" i="3" s="1"/>
  <c r="J14" i="3"/>
  <c r="L13" i="3"/>
  <c r="K13" i="3" s="1"/>
  <c r="J13" i="3"/>
  <c r="L12" i="3"/>
  <c r="K12" i="3" s="1"/>
  <c r="J12" i="3"/>
  <c r="L11" i="3"/>
  <c r="K11" i="3" s="1"/>
  <c r="J11" i="3"/>
  <c r="L10" i="3"/>
  <c r="K10" i="3" s="1"/>
  <c r="J10" i="3"/>
  <c r="L9" i="3"/>
  <c r="K9" i="3" s="1"/>
  <c r="J9" i="3"/>
  <c r="L8" i="3"/>
  <c r="K8" i="3" s="1"/>
  <c r="J8" i="3"/>
  <c r="L7" i="3"/>
  <c r="K7" i="3" s="1"/>
  <c r="J7" i="3"/>
  <c r="L6" i="3"/>
  <c r="K6" i="3" s="1"/>
  <c r="J6" i="3"/>
  <c r="L5" i="3"/>
  <c r="K5" i="3" s="1"/>
  <c r="J5" i="3"/>
  <c r="L4" i="3"/>
  <c r="K4" i="3" s="1"/>
  <c r="J4" i="3"/>
  <c r="L3" i="3"/>
  <c r="K3" i="3" s="1"/>
  <c r="J3" i="3"/>
  <c r="C224" i="3" s="1"/>
  <c r="G14" i="2"/>
  <c r="G13" i="2"/>
  <c r="G12" i="2"/>
  <c r="G11" i="2"/>
  <c r="G10" i="2"/>
  <c r="G9" i="2"/>
  <c r="G8" i="2"/>
  <c r="G7" i="2"/>
  <c r="G6" i="2"/>
  <c r="G5" i="2"/>
  <c r="G4" i="2"/>
  <c r="I3" i="2"/>
  <c r="G3" i="2"/>
  <c r="F3" i="2"/>
  <c r="D316" i="1"/>
  <c r="C316" i="1"/>
  <c r="D315" i="1"/>
  <c r="C315" i="1"/>
  <c r="D314" i="1"/>
  <c r="C314" i="1"/>
  <c r="K295" i="1"/>
  <c r="J295" i="1" s="1"/>
  <c r="K294" i="1"/>
  <c r="J294" i="1" s="1"/>
  <c r="K293" i="1"/>
  <c r="J293" i="1" s="1"/>
  <c r="K292" i="1"/>
  <c r="J292" i="1" s="1"/>
  <c r="K291" i="1"/>
  <c r="J291" i="1" s="1"/>
  <c r="K290" i="1"/>
  <c r="J290" i="1" s="1"/>
  <c r="K289" i="1"/>
  <c r="J289" i="1" s="1"/>
  <c r="K288" i="1"/>
  <c r="J288" i="1" s="1"/>
  <c r="K287" i="1"/>
  <c r="J287" i="1" s="1"/>
  <c r="K286" i="1"/>
  <c r="J286" i="1" s="1"/>
  <c r="K285" i="1"/>
  <c r="J285" i="1" s="1"/>
  <c r="K284" i="1"/>
  <c r="J284" i="1" s="1"/>
  <c r="K283" i="1"/>
  <c r="J283" i="1" s="1"/>
  <c r="K282" i="1"/>
  <c r="J282" i="1" s="1"/>
  <c r="K281" i="1"/>
  <c r="J281" i="1" s="1"/>
  <c r="K280" i="1"/>
  <c r="J280" i="1" s="1"/>
  <c r="K279" i="1"/>
  <c r="J279" i="1" s="1"/>
  <c r="K278" i="1"/>
  <c r="J278" i="1" s="1"/>
  <c r="K277" i="1"/>
  <c r="J277" i="1" s="1"/>
  <c r="K276" i="1"/>
  <c r="J276" i="1" s="1"/>
  <c r="K275" i="1"/>
  <c r="J275" i="1" s="1"/>
  <c r="K274" i="1"/>
  <c r="J274" i="1" s="1"/>
  <c r="K273" i="1"/>
  <c r="J273" i="1" s="1"/>
  <c r="K272" i="1"/>
  <c r="J272" i="1" s="1"/>
  <c r="K271" i="1"/>
  <c r="J271" i="1" s="1"/>
  <c r="K270" i="1"/>
  <c r="J270" i="1" s="1"/>
  <c r="K269" i="1"/>
  <c r="J269" i="1" s="1"/>
  <c r="K268" i="1"/>
  <c r="J268" i="1" s="1"/>
  <c r="K267" i="1"/>
  <c r="J267" i="1" s="1"/>
  <c r="K266" i="1"/>
  <c r="J266" i="1" s="1"/>
  <c r="K265" i="1"/>
  <c r="J265" i="1" s="1"/>
  <c r="K264" i="1"/>
  <c r="J264" i="1" s="1"/>
  <c r="K263" i="1"/>
  <c r="J263" i="1" s="1"/>
  <c r="K262" i="1"/>
  <c r="J262" i="1" s="1"/>
  <c r="K261" i="1"/>
  <c r="J261" i="1" s="1"/>
  <c r="K260" i="1"/>
  <c r="J260" i="1" s="1"/>
  <c r="K259" i="1"/>
  <c r="J259" i="1" s="1"/>
  <c r="K258" i="1"/>
  <c r="J258" i="1" s="1"/>
  <c r="K257" i="1"/>
  <c r="J257" i="1" s="1"/>
  <c r="K256" i="1"/>
  <c r="J256" i="1" s="1"/>
  <c r="K255" i="1"/>
  <c r="J255" i="1" s="1"/>
  <c r="K254" i="1"/>
  <c r="J254" i="1" s="1"/>
  <c r="K253" i="1"/>
  <c r="J253" i="1" s="1"/>
  <c r="K252" i="1"/>
  <c r="J252" i="1" s="1"/>
  <c r="K251" i="1"/>
  <c r="J251" i="1" s="1"/>
  <c r="K250" i="1"/>
  <c r="J250" i="1" s="1"/>
  <c r="K249" i="1"/>
  <c r="J249" i="1" s="1"/>
  <c r="K248" i="1"/>
  <c r="J248" i="1" s="1"/>
  <c r="K247" i="1"/>
  <c r="J247" i="1" s="1"/>
  <c r="K246" i="1"/>
  <c r="J246" i="1" s="1"/>
  <c r="K245" i="1"/>
  <c r="J245" i="1" s="1"/>
  <c r="K244" i="1"/>
  <c r="J244" i="1" s="1"/>
  <c r="K243" i="1"/>
  <c r="J243" i="1" s="1"/>
  <c r="K242" i="1"/>
  <c r="J242" i="1" s="1"/>
  <c r="K241" i="1"/>
  <c r="J241" i="1" s="1"/>
  <c r="K240" i="1"/>
  <c r="J240" i="1" s="1"/>
  <c r="K239" i="1"/>
  <c r="J239" i="1" s="1"/>
  <c r="K238" i="1"/>
  <c r="J238" i="1" s="1"/>
  <c r="K237" i="1"/>
  <c r="J237" i="1" s="1"/>
  <c r="K236" i="1"/>
  <c r="J236" i="1" s="1"/>
  <c r="K235" i="1"/>
  <c r="J235" i="1" s="1"/>
  <c r="K234" i="1"/>
  <c r="J234" i="1" s="1"/>
  <c r="K233" i="1"/>
  <c r="J233" i="1" s="1"/>
  <c r="K232" i="1"/>
  <c r="J232" i="1" s="1"/>
  <c r="K231" i="1"/>
  <c r="J231" i="1" s="1"/>
  <c r="K230" i="1"/>
  <c r="J230" i="1" s="1"/>
  <c r="K229" i="1"/>
  <c r="J229" i="1" s="1"/>
  <c r="K228" i="1"/>
  <c r="J228" i="1" s="1"/>
  <c r="K227" i="1"/>
  <c r="J227" i="1" s="1"/>
  <c r="K226" i="1"/>
  <c r="J226" i="1" s="1"/>
  <c r="K225" i="1"/>
  <c r="J225" i="1" s="1"/>
  <c r="K224" i="1"/>
  <c r="J224" i="1" s="1"/>
  <c r="K223" i="1"/>
  <c r="J223" i="1" s="1"/>
  <c r="K222" i="1"/>
  <c r="J222" i="1" s="1"/>
  <c r="K221" i="1"/>
  <c r="J221" i="1" s="1"/>
  <c r="K220" i="1"/>
  <c r="J220" i="1" s="1"/>
  <c r="K219" i="1"/>
  <c r="J219" i="1" s="1"/>
  <c r="K218" i="1"/>
  <c r="J218" i="1" s="1"/>
  <c r="K217" i="1"/>
  <c r="J217" i="1" s="1"/>
  <c r="K216" i="1"/>
  <c r="J216" i="1" s="1"/>
  <c r="K215" i="1"/>
  <c r="J215" i="1" s="1"/>
  <c r="K214" i="1"/>
  <c r="J214" i="1" s="1"/>
  <c r="K213" i="1"/>
  <c r="J213" i="1" s="1"/>
  <c r="K212" i="1"/>
  <c r="J212" i="1" s="1"/>
  <c r="K211" i="1"/>
  <c r="J211" i="1" s="1"/>
  <c r="K210" i="1"/>
  <c r="J210" i="1" s="1"/>
  <c r="K209" i="1"/>
  <c r="J209" i="1" s="1"/>
  <c r="K208" i="1"/>
  <c r="J208" i="1" s="1"/>
  <c r="K207" i="1"/>
  <c r="J207" i="1" s="1"/>
  <c r="K206" i="1"/>
  <c r="J206" i="1" s="1"/>
  <c r="K205" i="1"/>
  <c r="J205" i="1" s="1"/>
  <c r="K204" i="1"/>
  <c r="J204" i="1" s="1"/>
  <c r="K203" i="1"/>
  <c r="J203" i="1" s="1"/>
  <c r="K202" i="1"/>
  <c r="J202" i="1" s="1"/>
  <c r="K201" i="1"/>
  <c r="J201" i="1" s="1"/>
  <c r="K200" i="1"/>
  <c r="J200" i="1" s="1"/>
  <c r="K199" i="1"/>
  <c r="J199" i="1" s="1"/>
  <c r="K198" i="1"/>
  <c r="J198" i="1" s="1"/>
  <c r="K197" i="1"/>
  <c r="J197" i="1" s="1"/>
  <c r="K196" i="1"/>
  <c r="J196" i="1" s="1"/>
  <c r="K195" i="1"/>
  <c r="J195" i="1" s="1"/>
  <c r="K194" i="1"/>
  <c r="J194" i="1" s="1"/>
  <c r="K193" i="1"/>
  <c r="J193" i="1" s="1"/>
  <c r="K192" i="1"/>
  <c r="J192" i="1" s="1"/>
  <c r="K191" i="1"/>
  <c r="J191" i="1" s="1"/>
  <c r="K190" i="1"/>
  <c r="J190" i="1" s="1"/>
  <c r="K189" i="1"/>
  <c r="J189" i="1" s="1"/>
  <c r="K188" i="1"/>
  <c r="J188" i="1" s="1"/>
  <c r="K187" i="1"/>
  <c r="J187" i="1" s="1"/>
  <c r="K186" i="1"/>
  <c r="J186" i="1" s="1"/>
  <c r="K185" i="1"/>
  <c r="J185" i="1" s="1"/>
  <c r="K184" i="1"/>
  <c r="J184" i="1" s="1"/>
  <c r="K183" i="1"/>
  <c r="J183" i="1" s="1"/>
  <c r="K182" i="1"/>
  <c r="J182" i="1" s="1"/>
  <c r="K181" i="1"/>
  <c r="J181" i="1" s="1"/>
  <c r="K180" i="1"/>
  <c r="J180" i="1" s="1"/>
  <c r="K179" i="1"/>
  <c r="J179" i="1" s="1"/>
  <c r="K178" i="1"/>
  <c r="J178" i="1" s="1"/>
  <c r="K177" i="1"/>
  <c r="J177" i="1" s="1"/>
  <c r="K176" i="1"/>
  <c r="J176" i="1" s="1"/>
  <c r="K175" i="1"/>
  <c r="J175" i="1" s="1"/>
  <c r="K174" i="1"/>
  <c r="J174" i="1" s="1"/>
  <c r="K173" i="1"/>
  <c r="J173" i="1" s="1"/>
  <c r="K172" i="1"/>
  <c r="J172" i="1" s="1"/>
  <c r="K171" i="1"/>
  <c r="J171" i="1" s="1"/>
  <c r="K170" i="1"/>
  <c r="J170" i="1" s="1"/>
  <c r="K169" i="1"/>
  <c r="J169" i="1" s="1"/>
  <c r="K168" i="1"/>
  <c r="J168" i="1" s="1"/>
  <c r="K167" i="1"/>
  <c r="J167" i="1" s="1"/>
  <c r="K166" i="1"/>
  <c r="J166" i="1" s="1"/>
  <c r="K165" i="1"/>
  <c r="J165" i="1" s="1"/>
  <c r="K164" i="1"/>
  <c r="J164" i="1" s="1"/>
  <c r="K163" i="1"/>
  <c r="J163" i="1" s="1"/>
  <c r="K162" i="1"/>
  <c r="J162" i="1" s="1"/>
  <c r="K161" i="1"/>
  <c r="J161" i="1" s="1"/>
  <c r="K160" i="1"/>
  <c r="J160" i="1" s="1"/>
  <c r="K159" i="1"/>
  <c r="J159" i="1" s="1"/>
  <c r="K158" i="1"/>
  <c r="J158" i="1" s="1"/>
  <c r="K157" i="1"/>
  <c r="J157" i="1" s="1"/>
  <c r="K156" i="1"/>
  <c r="J156" i="1" s="1"/>
  <c r="K155" i="1"/>
  <c r="J155" i="1" s="1"/>
  <c r="K154" i="1"/>
  <c r="J154" i="1" s="1"/>
  <c r="K153" i="1"/>
  <c r="J153" i="1" s="1"/>
  <c r="K152" i="1"/>
  <c r="J152" i="1" s="1"/>
  <c r="K151" i="1"/>
  <c r="J151" i="1" s="1"/>
  <c r="K150" i="1"/>
  <c r="J150" i="1" s="1"/>
  <c r="K149" i="1"/>
  <c r="J149" i="1" s="1"/>
  <c r="K148" i="1"/>
  <c r="J148" i="1" s="1"/>
  <c r="K147" i="1"/>
  <c r="J147" i="1" s="1"/>
  <c r="K146" i="1"/>
  <c r="J146" i="1" s="1"/>
  <c r="K145" i="1"/>
  <c r="J145" i="1" s="1"/>
  <c r="K144" i="1"/>
  <c r="J144" i="1" s="1"/>
  <c r="K143" i="1"/>
  <c r="J143" i="1" s="1"/>
  <c r="K142" i="1"/>
  <c r="J142" i="1" s="1"/>
  <c r="K141" i="1"/>
  <c r="J141" i="1" s="1"/>
  <c r="K140" i="1"/>
  <c r="J140" i="1" s="1"/>
  <c r="K139" i="1"/>
  <c r="J139" i="1" s="1"/>
  <c r="K138" i="1"/>
  <c r="J138" i="1" s="1"/>
  <c r="K137" i="1"/>
  <c r="J137" i="1" s="1"/>
  <c r="K136" i="1"/>
  <c r="J136" i="1" s="1"/>
  <c r="K135" i="1"/>
  <c r="J135" i="1" s="1"/>
  <c r="K134" i="1"/>
  <c r="J134" i="1" s="1"/>
  <c r="K133" i="1"/>
  <c r="J133" i="1" s="1"/>
  <c r="K132" i="1"/>
  <c r="J132" i="1" s="1"/>
  <c r="K131" i="1"/>
  <c r="J131" i="1" s="1"/>
  <c r="K130" i="1"/>
  <c r="J130" i="1" s="1"/>
  <c r="K129" i="1"/>
  <c r="J129" i="1" s="1"/>
  <c r="K128" i="1"/>
  <c r="J128" i="1" s="1"/>
  <c r="K127" i="1"/>
  <c r="J127" i="1" s="1"/>
  <c r="K126" i="1"/>
  <c r="J126" i="1" s="1"/>
  <c r="K125" i="1"/>
  <c r="J125" i="1" s="1"/>
  <c r="K124" i="1"/>
  <c r="J124" i="1" s="1"/>
  <c r="K123" i="1"/>
  <c r="J123" i="1" s="1"/>
  <c r="K122" i="1"/>
  <c r="J122" i="1" s="1"/>
  <c r="K121" i="1"/>
  <c r="J121" i="1" s="1"/>
  <c r="K120" i="1"/>
  <c r="J120" i="1" s="1"/>
  <c r="K119" i="1"/>
  <c r="J119" i="1" s="1"/>
  <c r="K118" i="1"/>
  <c r="J118" i="1" s="1"/>
  <c r="K117" i="1"/>
  <c r="J117" i="1" s="1"/>
  <c r="K116" i="1"/>
  <c r="J116" i="1" s="1"/>
  <c r="K115" i="1"/>
  <c r="J115" i="1" s="1"/>
  <c r="K114" i="1"/>
  <c r="J114" i="1" s="1"/>
  <c r="K113" i="1"/>
  <c r="J113" i="1" s="1"/>
  <c r="K112" i="1"/>
  <c r="J112" i="1" s="1"/>
  <c r="K111" i="1"/>
  <c r="J111" i="1" s="1"/>
  <c r="K110" i="1"/>
  <c r="J110" i="1" s="1"/>
  <c r="K109" i="1"/>
  <c r="J109" i="1" s="1"/>
  <c r="K108" i="1"/>
  <c r="J108" i="1" s="1"/>
  <c r="K107" i="1"/>
  <c r="J107" i="1" s="1"/>
  <c r="K106" i="1"/>
  <c r="J106" i="1" s="1"/>
  <c r="K105" i="1"/>
  <c r="J105" i="1" s="1"/>
  <c r="K104" i="1"/>
  <c r="J104" i="1" s="1"/>
  <c r="K103" i="1"/>
  <c r="J103" i="1" s="1"/>
  <c r="K102" i="1"/>
  <c r="J102" i="1" s="1"/>
  <c r="K101" i="1"/>
  <c r="J101" i="1" s="1"/>
  <c r="K100" i="1"/>
  <c r="J100" i="1" s="1"/>
  <c r="K99" i="1"/>
  <c r="J99" i="1" s="1"/>
  <c r="K98" i="1"/>
  <c r="J98" i="1" s="1"/>
  <c r="K97" i="1"/>
  <c r="J97" i="1" s="1"/>
  <c r="K96" i="1"/>
  <c r="J96" i="1" s="1"/>
  <c r="K95" i="1"/>
  <c r="J95" i="1" s="1"/>
  <c r="K94" i="1"/>
  <c r="J94" i="1" s="1"/>
  <c r="K93" i="1"/>
  <c r="J93" i="1" s="1"/>
  <c r="K92" i="1"/>
  <c r="J92" i="1" s="1"/>
  <c r="K91" i="1"/>
  <c r="J91" i="1" s="1"/>
  <c r="K90" i="1"/>
  <c r="J90" i="1" s="1"/>
  <c r="K89" i="1"/>
  <c r="J89" i="1" s="1"/>
  <c r="K88" i="1"/>
  <c r="J88" i="1" s="1"/>
  <c r="K87" i="1"/>
  <c r="J87" i="1" s="1"/>
  <c r="K86" i="1"/>
  <c r="J86" i="1" s="1"/>
  <c r="K85" i="1"/>
  <c r="J85" i="1" s="1"/>
  <c r="K84" i="1"/>
  <c r="J84" i="1" s="1"/>
  <c r="K83" i="1"/>
  <c r="J83" i="1" s="1"/>
  <c r="K82" i="1"/>
  <c r="J82" i="1" s="1"/>
  <c r="K81" i="1"/>
  <c r="J81" i="1" s="1"/>
  <c r="K80" i="1"/>
  <c r="J80" i="1" s="1"/>
  <c r="K79" i="1"/>
  <c r="J79" i="1" s="1"/>
  <c r="K78" i="1"/>
  <c r="J78" i="1" s="1"/>
  <c r="K77" i="1"/>
  <c r="J77" i="1" s="1"/>
  <c r="K76" i="1"/>
  <c r="J76" i="1" s="1"/>
  <c r="K75" i="1"/>
  <c r="J75" i="1" s="1"/>
  <c r="K74" i="1"/>
  <c r="J74" i="1" s="1"/>
  <c r="K73" i="1"/>
  <c r="J73" i="1" s="1"/>
  <c r="K72" i="1"/>
  <c r="J72" i="1" s="1"/>
  <c r="K71" i="1"/>
  <c r="J71" i="1" s="1"/>
  <c r="K70" i="1"/>
  <c r="J70" i="1" s="1"/>
  <c r="K69" i="1"/>
  <c r="J69" i="1" s="1"/>
  <c r="K68" i="1"/>
  <c r="J68" i="1" s="1"/>
  <c r="K67" i="1"/>
  <c r="J67" i="1" s="1"/>
  <c r="K66" i="1"/>
  <c r="J66" i="1" s="1"/>
  <c r="K65" i="1"/>
  <c r="J65" i="1" s="1"/>
  <c r="K64" i="1"/>
  <c r="J64" i="1" s="1"/>
  <c r="K63" i="1"/>
  <c r="J63" i="1" s="1"/>
  <c r="K62" i="1"/>
  <c r="J62" i="1" s="1"/>
  <c r="K61" i="1"/>
  <c r="J61" i="1" s="1"/>
  <c r="K60" i="1"/>
  <c r="J60" i="1" s="1"/>
  <c r="K59" i="1"/>
  <c r="J59" i="1" s="1"/>
  <c r="K58" i="1"/>
  <c r="J58" i="1" s="1"/>
  <c r="K57" i="1"/>
  <c r="J57" i="1" s="1"/>
  <c r="K56" i="1"/>
  <c r="J56" i="1" s="1"/>
  <c r="K55" i="1"/>
  <c r="J55" i="1" s="1"/>
  <c r="K54" i="1"/>
  <c r="J54" i="1" s="1"/>
  <c r="K53" i="1"/>
  <c r="J53" i="1" s="1"/>
  <c r="K52" i="1"/>
  <c r="J52" i="1" s="1"/>
  <c r="K51" i="1"/>
  <c r="J51" i="1" s="1"/>
  <c r="K50" i="1"/>
  <c r="J50" i="1" s="1"/>
  <c r="K49" i="1"/>
  <c r="J49" i="1" s="1"/>
  <c r="K48" i="1"/>
  <c r="J48" i="1" s="1"/>
  <c r="K47" i="1"/>
  <c r="J47" i="1" s="1"/>
  <c r="K46" i="1"/>
  <c r="J46" i="1" s="1"/>
  <c r="K45" i="1"/>
  <c r="J45" i="1" s="1"/>
  <c r="K44" i="1"/>
  <c r="J44" i="1" s="1"/>
  <c r="K43" i="1"/>
  <c r="J43" i="1" s="1"/>
  <c r="K42" i="1"/>
  <c r="J42" i="1" s="1"/>
  <c r="K41" i="1"/>
  <c r="J41" i="1" s="1"/>
  <c r="K40" i="1"/>
  <c r="J40" i="1" s="1"/>
  <c r="K39" i="1"/>
  <c r="J39" i="1" s="1"/>
  <c r="K38" i="1"/>
  <c r="J38" i="1" s="1"/>
  <c r="K37" i="1"/>
  <c r="J37" i="1" s="1"/>
  <c r="K36" i="1"/>
  <c r="J36" i="1" s="1"/>
  <c r="K35" i="1"/>
  <c r="J35" i="1" s="1"/>
  <c r="K34" i="1"/>
  <c r="J34" i="1" s="1"/>
  <c r="K33" i="1"/>
  <c r="J33" i="1" s="1"/>
  <c r="K32" i="1"/>
  <c r="J32" i="1" s="1"/>
  <c r="K31" i="1"/>
  <c r="J31" i="1" s="1"/>
  <c r="K30" i="1"/>
  <c r="J30" i="1" s="1"/>
  <c r="K29" i="1"/>
  <c r="J29" i="1" s="1"/>
  <c r="K28" i="1"/>
  <c r="J28" i="1" s="1"/>
  <c r="K27" i="1"/>
  <c r="J27" i="1" s="1"/>
  <c r="K26" i="1"/>
  <c r="J26" i="1" s="1"/>
  <c r="K25" i="1"/>
  <c r="J25" i="1" s="1"/>
  <c r="K24" i="1"/>
  <c r="J24" i="1" s="1"/>
  <c r="K23" i="1"/>
  <c r="J23" i="1" s="1"/>
  <c r="K22" i="1"/>
  <c r="J22" i="1" s="1"/>
  <c r="K21" i="1"/>
  <c r="J21" i="1" s="1"/>
  <c r="K20" i="1"/>
  <c r="J20" i="1" s="1"/>
  <c r="K19" i="1"/>
  <c r="J19" i="1" s="1"/>
  <c r="K18" i="1"/>
  <c r="J18" i="1" s="1"/>
  <c r="K17" i="1"/>
  <c r="J17" i="1" s="1"/>
  <c r="K16" i="1"/>
  <c r="J16" i="1" s="1"/>
  <c r="K15" i="1"/>
  <c r="J15" i="1" s="1"/>
  <c r="K14" i="1"/>
  <c r="J14" i="1" s="1"/>
  <c r="K13" i="1"/>
  <c r="J13" i="1" s="1"/>
  <c r="K12" i="1"/>
  <c r="J12" i="1" s="1"/>
  <c r="K11" i="1"/>
  <c r="J11" i="1" s="1"/>
  <c r="K10" i="1"/>
  <c r="J10" i="1" s="1"/>
  <c r="K9" i="1"/>
  <c r="J9" i="1" s="1"/>
  <c r="K8" i="1"/>
  <c r="J8" i="1" s="1"/>
  <c r="K7" i="1"/>
  <c r="J7" i="1" s="1"/>
  <c r="K6" i="1"/>
  <c r="J6" i="1" s="1"/>
  <c r="K5" i="1"/>
  <c r="J5" i="1" s="1"/>
  <c r="K4" i="1"/>
  <c r="J4" i="1" s="1"/>
  <c r="K3" i="1"/>
  <c r="J3" i="1" s="1"/>
  <c r="Q22" i="6"/>
  <c r="Q9" i="6"/>
  <c r="Q41" i="6"/>
  <c r="Q33" i="6"/>
  <c r="Q25" i="6"/>
  <c r="Q30" i="6"/>
  <c r="Q10" i="6"/>
  <c r="D30" i="4"/>
  <c r="D22" i="4"/>
  <c r="Q12" i="6"/>
  <c r="F27" i="4"/>
  <c r="F23" i="4"/>
  <c r="J19" i="4"/>
  <c r="E26" i="4"/>
  <c r="D21" i="4"/>
  <c r="I16" i="4"/>
  <c r="J14" i="4"/>
  <c r="C12" i="4"/>
  <c r="D10" i="4"/>
  <c r="H7" i="4"/>
  <c r="Q17" i="6"/>
  <c r="P26" i="4"/>
  <c r="H22" i="4"/>
  <c r="J15" i="4"/>
  <c r="P7" i="4"/>
  <c r="Q8" i="6"/>
  <c r="F24" i="4"/>
  <c r="P15" i="4"/>
  <c r="I7" i="4"/>
  <c r="J29" i="4"/>
  <c r="H24" i="4"/>
  <c r="P19" i="4"/>
  <c r="C15" i="4"/>
  <c r="C11" i="4"/>
  <c r="E7" i="4"/>
  <c r="P27" i="4"/>
  <c r="E18" i="4"/>
  <c r="D8" i="4"/>
  <c r="P17" i="4"/>
  <c r="Q7" i="6"/>
  <c r="Q19" i="6"/>
  <c r="Q2" i="6"/>
  <c r="I30" i="4"/>
  <c r="E19" i="4"/>
  <c r="C16" i="4"/>
  <c r="P8" i="4"/>
  <c r="Q16" i="6"/>
  <c r="D15" i="4"/>
  <c r="P22" i="4"/>
  <c r="D27" i="4"/>
  <c r="I18" i="4"/>
  <c r="F10" i="4"/>
  <c r="H15" i="4"/>
  <c r="P9" i="4"/>
  <c r="Q14" i="6"/>
  <c r="Q5" i="6"/>
  <c r="Q37" i="6"/>
  <c r="Q29" i="6"/>
  <c r="Q15" i="6"/>
  <c r="Q21" i="6"/>
  <c r="Q1" i="6"/>
  <c r="D26" i="4"/>
  <c r="Q32" i="6"/>
  <c r="C30" i="4"/>
  <c r="C26" i="4"/>
  <c r="C22" i="4"/>
  <c r="P29" i="4"/>
  <c r="D23" i="4"/>
  <c r="D18" i="4"/>
  <c r="E15" i="4"/>
  <c r="P12" i="4"/>
  <c r="P10" i="4"/>
  <c r="I8" i="4"/>
  <c r="Q36" i="6"/>
  <c r="H30" i="4"/>
  <c r="P23" i="4"/>
  <c r="J18" i="4"/>
  <c r="J11" i="4"/>
  <c r="Q28" i="6"/>
  <c r="E29" i="4"/>
  <c r="H19" i="4"/>
  <c r="D12" i="4"/>
  <c r="Q3" i="6"/>
  <c r="P25" i="4"/>
  <c r="J21" i="4"/>
  <c r="F16" i="4"/>
  <c r="F12" i="4"/>
  <c r="F8" i="4"/>
  <c r="Q4" i="6"/>
  <c r="I23" i="4"/>
  <c r="H11" i="4"/>
  <c r="J6" i="4"/>
  <c r="Q11" i="6"/>
  <c r="Q35" i="6"/>
  <c r="Q27" i="6"/>
  <c r="Q13" i="6"/>
  <c r="J22" i="4"/>
  <c r="F29" i="4"/>
  <c r="F25" i="4"/>
  <c r="D29" i="4"/>
  <c r="P21" i="4"/>
  <c r="P14" i="4"/>
  <c r="J10" i="4"/>
  <c r="Q34" i="6"/>
  <c r="H18" i="4"/>
  <c r="D11" i="4"/>
  <c r="C27" i="4"/>
  <c r="P11" i="4"/>
  <c r="E30" i="4"/>
  <c r="I19" i="4"/>
  <c r="I11" i="4"/>
  <c r="P30" i="4"/>
  <c r="E10" i="4"/>
  <c r="Q31" i="6"/>
  <c r="J26" i="4"/>
  <c r="I26" i="4"/>
  <c r="J25" i="4"/>
  <c r="D14" i="4"/>
  <c r="E25" i="4"/>
  <c r="Q42" i="6"/>
  <c r="E6" i="4"/>
  <c r="F14" i="4"/>
  <c r="H26" i="4"/>
  <c r="Q43" i="6"/>
  <c r="Q38" i="6"/>
  <c r="J30" i="4"/>
  <c r="Q20" i="6"/>
  <c r="F21" i="4"/>
  <c r="P16" i="4"/>
  <c r="I12" i="4"/>
  <c r="C8" i="4"/>
  <c r="I27" i="4"/>
  <c r="C23" i="4"/>
  <c r="Q24" i="6"/>
  <c r="D16" i="4"/>
  <c r="D25" i="4"/>
  <c r="I15" i="4"/>
  <c r="J7" i="4"/>
  <c r="E21" i="4"/>
  <c r="I6" i="4"/>
  <c r="Q18" i="6"/>
  <c r="Q39" i="6"/>
  <c r="Q23" i="6"/>
  <c r="Q40" i="6"/>
  <c r="I22" i="4"/>
  <c r="D19" i="4"/>
  <c r="E11" i="4"/>
  <c r="C7" i="4"/>
  <c r="C19" i="4"/>
  <c r="Q6" i="6"/>
  <c r="E14" i="4"/>
  <c r="E22" i="4"/>
  <c r="Q26" i="6"/>
  <c r="D7" i="4"/>
  <c r="L9" i="4" l="1"/>
  <c r="L17" i="4"/>
  <c r="N11" i="4"/>
  <c r="N15" i="4"/>
  <c r="N26" i="4"/>
  <c r="L27" i="4"/>
  <c r="L30" i="4"/>
  <c r="T26" i="6"/>
  <c r="S26" i="6"/>
  <c r="U26" i="6"/>
  <c r="R26" i="6"/>
  <c r="L19" i="4"/>
  <c r="L25" i="4"/>
  <c r="L11" i="4"/>
  <c r="L15" i="4"/>
  <c r="N19" i="4"/>
  <c r="L22" i="4"/>
  <c r="S6" i="6"/>
  <c r="R6" i="6"/>
  <c r="U6" i="6"/>
  <c r="T6" i="6"/>
  <c r="S8" i="6"/>
  <c r="R8" i="6"/>
  <c r="U8" i="6"/>
  <c r="T8" i="6"/>
  <c r="S24" i="6"/>
  <c r="R24" i="6"/>
  <c r="U24" i="6"/>
  <c r="T24" i="6"/>
  <c r="T28" i="6"/>
  <c r="S28" i="6"/>
  <c r="U28" i="6"/>
  <c r="R28" i="6"/>
  <c r="T42" i="6"/>
  <c r="S42" i="6"/>
  <c r="U42" i="6"/>
  <c r="R42" i="6"/>
  <c r="L7" i="4"/>
  <c r="N18" i="4"/>
  <c r="N22" i="4"/>
  <c r="L23" i="4"/>
  <c r="L26" i="4"/>
  <c r="N30" i="4"/>
  <c r="S16" i="6"/>
  <c r="R16" i="6"/>
  <c r="U16" i="6"/>
  <c r="T16" i="6"/>
  <c r="T17" i="6"/>
  <c r="S17" i="6"/>
  <c r="U17" i="6"/>
  <c r="R17" i="6"/>
  <c r="T34" i="6"/>
  <c r="S34" i="6"/>
  <c r="U34" i="6"/>
  <c r="R34" i="6"/>
  <c r="T36" i="6"/>
  <c r="S36" i="6"/>
  <c r="U36" i="6"/>
  <c r="R36" i="6"/>
  <c r="N7" i="4"/>
  <c r="L8" i="4"/>
  <c r="L10" i="4"/>
  <c r="L12" i="4"/>
  <c r="L14" i="4"/>
  <c r="L16" i="4"/>
  <c r="L21" i="4"/>
  <c r="L29" i="4"/>
  <c r="S12" i="6"/>
  <c r="R12" i="6"/>
  <c r="T12" i="6"/>
  <c r="U12" i="6"/>
  <c r="S20" i="6"/>
  <c r="R20" i="6"/>
  <c r="T20" i="6"/>
  <c r="U20" i="6"/>
  <c r="T32" i="6"/>
  <c r="S32" i="6"/>
  <c r="R32" i="6"/>
  <c r="U32" i="6"/>
  <c r="T40" i="6"/>
  <c r="S40" i="6"/>
  <c r="R40" i="6"/>
  <c r="U40" i="6"/>
  <c r="T1" i="6"/>
  <c r="U1" i="6"/>
  <c r="S1" i="6"/>
  <c r="R1" i="6"/>
  <c r="S10" i="6"/>
  <c r="R10" i="6"/>
  <c r="U10" i="6"/>
  <c r="T10" i="6"/>
  <c r="T13" i="6"/>
  <c r="S13" i="6"/>
  <c r="U13" i="6"/>
  <c r="R13" i="6"/>
  <c r="T21" i="6"/>
  <c r="S21" i="6"/>
  <c r="U21" i="6"/>
  <c r="R21" i="6"/>
  <c r="S23" i="6"/>
  <c r="R23" i="6"/>
  <c r="T23" i="6"/>
  <c r="U23" i="6"/>
  <c r="T30" i="6"/>
  <c r="S30" i="6"/>
  <c r="U30" i="6"/>
  <c r="R30" i="6"/>
  <c r="T38" i="6"/>
  <c r="S38" i="6"/>
  <c r="R38" i="6"/>
  <c r="U38" i="6"/>
  <c r="R15" i="6"/>
  <c r="U15" i="6"/>
  <c r="T15" i="6"/>
  <c r="S15" i="6"/>
  <c r="R19" i="6"/>
  <c r="U19" i="6"/>
  <c r="T19" i="6"/>
  <c r="S19" i="6"/>
  <c r="R25" i="6"/>
  <c r="U25" i="6"/>
  <c r="T25" i="6"/>
  <c r="S25" i="6"/>
  <c r="R27" i="6"/>
  <c r="U27" i="6"/>
  <c r="T27" i="6"/>
  <c r="S27" i="6"/>
  <c r="R29" i="6"/>
  <c r="U29" i="6"/>
  <c r="S29" i="6"/>
  <c r="T29" i="6"/>
  <c r="R31" i="6"/>
  <c r="U31" i="6"/>
  <c r="S31" i="6"/>
  <c r="T31" i="6"/>
  <c r="R33" i="6"/>
  <c r="U33" i="6"/>
  <c r="T33" i="6"/>
  <c r="S33" i="6"/>
  <c r="R35" i="6"/>
  <c r="U35" i="6"/>
  <c r="T35" i="6"/>
  <c r="S35" i="6"/>
  <c r="R37" i="6"/>
  <c r="U37" i="6"/>
  <c r="T37" i="6"/>
  <c r="S37" i="6"/>
  <c r="R39" i="6"/>
  <c r="U39" i="6"/>
  <c r="S39" i="6"/>
  <c r="T39" i="6"/>
  <c r="R41" i="6"/>
  <c r="U41" i="6"/>
  <c r="T41" i="6"/>
  <c r="S41" i="6"/>
  <c r="R43" i="6"/>
  <c r="U43" i="6"/>
  <c r="T43" i="6"/>
  <c r="S43" i="6"/>
  <c r="U7" i="6"/>
  <c r="T7" i="6"/>
  <c r="S7" i="6"/>
  <c r="R7" i="6"/>
  <c r="U9" i="6"/>
  <c r="T9" i="6"/>
  <c r="R9" i="6"/>
  <c r="S9" i="6"/>
  <c r="U11" i="6"/>
  <c r="T11" i="6"/>
  <c r="R11" i="6"/>
  <c r="S11" i="6"/>
  <c r="U14" i="6"/>
  <c r="T14" i="6"/>
  <c r="S14" i="6"/>
  <c r="R14" i="6"/>
  <c r="U18" i="6"/>
  <c r="T18" i="6"/>
  <c r="S18" i="6"/>
  <c r="R18" i="6"/>
  <c r="U22" i="6"/>
  <c r="T22" i="6"/>
  <c r="S22" i="6"/>
  <c r="R22" i="6"/>
  <c r="F2" i="6"/>
  <c r="H2" i="6"/>
  <c r="C222" i="3"/>
  <c r="G2" i="6"/>
  <c r="C223" i="3"/>
  <c r="G25" i="6"/>
  <c r="F25" i="6"/>
  <c r="T3" i="6"/>
  <c r="O29" i="4"/>
  <c r="E20" i="4"/>
  <c r="P28" i="4"/>
  <c r="H8" i="4"/>
  <c r="F20" i="4"/>
  <c r="F11" i="4"/>
  <c r="H29" i="4"/>
  <c r="D6" i="4"/>
  <c r="E27" i="4"/>
  <c r="S4" i="6"/>
  <c r="O7" i="4"/>
  <c r="D13" i="4"/>
  <c r="I28" i="4"/>
  <c r="F7" i="4"/>
  <c r="E16" i="4"/>
  <c r="H28" i="4"/>
  <c r="J27" i="4"/>
  <c r="C17" i="4"/>
  <c r="E12" i="4"/>
  <c r="H25" i="4"/>
  <c r="S3" i="6"/>
  <c r="S5" i="6"/>
  <c r="O25" i="4"/>
  <c r="O12" i="4"/>
  <c r="I20" i="4"/>
  <c r="J17" i="4"/>
  <c r="E8" i="4"/>
  <c r="E17" i="4"/>
  <c r="P18" i="4"/>
  <c r="H27" i="4"/>
  <c r="O11" i="4"/>
  <c r="R2" i="6"/>
  <c r="P6" i="4"/>
  <c r="I9" i="4"/>
  <c r="I10" i="4"/>
  <c r="F13" i="4"/>
  <c r="H21" i="4"/>
  <c r="C28" i="4"/>
  <c r="P24" i="4"/>
  <c r="F26" i="4"/>
  <c r="O19" i="4"/>
  <c r="O10" i="4"/>
  <c r="P20" i="4"/>
  <c r="J28" i="4"/>
  <c r="E9" i="4"/>
  <c r="F28" i="4"/>
  <c r="F15" i="4"/>
  <c r="C29" i="4"/>
  <c r="D28" i="4"/>
  <c r="H16" i="4"/>
  <c r="I29" i="4"/>
  <c r="O23" i="4"/>
  <c r="H13" i="4"/>
  <c r="R3" i="6"/>
  <c r="O21" i="4"/>
  <c r="D20" i="4"/>
  <c r="E28" i="4"/>
  <c r="C10" i="4"/>
  <c r="F9" i="4"/>
  <c r="F19" i="4"/>
  <c r="F30" i="4"/>
  <c r="O9" i="4"/>
  <c r="O8" i="4"/>
  <c r="U5" i="6"/>
  <c r="J13" i="4"/>
  <c r="D17" i="4"/>
  <c r="E13" i="4"/>
  <c r="D24" i="4"/>
  <c r="E23" i="4"/>
  <c r="H10" i="4"/>
  <c r="C18" i="4"/>
  <c r="O17" i="4"/>
  <c r="U3" i="6"/>
  <c r="U2" i="6"/>
  <c r="C9" i="4"/>
  <c r="D9" i="4"/>
  <c r="J12" i="4"/>
  <c r="F17" i="4"/>
  <c r="C21" i="4"/>
  <c r="F22" i="4"/>
  <c r="H9" i="4"/>
  <c r="H20" i="4"/>
  <c r="O30" i="4"/>
  <c r="O16" i="4"/>
  <c r="J20" i="4"/>
  <c r="O22" i="4"/>
  <c r="S2" i="6"/>
  <c r="F6" i="4"/>
  <c r="I17" i="4"/>
  <c r="H12" i="4"/>
  <c r="I24" i="4"/>
  <c r="J23" i="4"/>
  <c r="T4" i="6"/>
  <c r="O14" i="4"/>
  <c r="I13" i="4"/>
  <c r="C20" i="4"/>
  <c r="H6" i="4"/>
  <c r="J16" i="4"/>
  <c r="C24" i="4"/>
  <c r="I25" i="4"/>
  <c r="C14" i="4"/>
  <c r="I21" i="4"/>
  <c r="O27" i="4"/>
  <c r="O15" i="4"/>
  <c r="T5" i="6"/>
  <c r="P13" i="4"/>
  <c r="H17" i="4"/>
  <c r="H14" i="4"/>
  <c r="E24" i="4"/>
  <c r="H23" i="4"/>
  <c r="J9" i="4"/>
  <c r="J8" i="4"/>
  <c r="F18" i="4"/>
  <c r="U4" i="6"/>
  <c r="T2" i="6"/>
  <c r="R4" i="6"/>
  <c r="O26" i="4"/>
  <c r="R5" i="6"/>
  <c r="C13" i="4"/>
  <c r="C6" i="4"/>
  <c r="I14" i="4"/>
  <c r="J24" i="4"/>
  <c r="C25" i="4"/>
  <c r="M30" i="4" l="1"/>
  <c r="N27" i="4"/>
  <c r="M25" i="4"/>
  <c r="M19" i="4"/>
  <c r="L18" i="4"/>
  <c r="N24" i="4"/>
  <c r="N12" i="4"/>
  <c r="M10" i="4"/>
  <c r="M8" i="4"/>
  <c r="M6" i="4"/>
  <c r="M13" i="4"/>
  <c r="N13" i="4"/>
  <c r="N25" i="4"/>
  <c r="N20" i="4"/>
  <c r="N16" i="4"/>
  <c r="M12" i="4"/>
  <c r="N9" i="4"/>
  <c r="M17" i="4"/>
  <c r="M22" i="4"/>
  <c r="M29" i="4"/>
  <c r="N23" i="4"/>
  <c r="M21" i="4"/>
  <c r="M15" i="4"/>
  <c r="N28" i="4"/>
  <c r="M16" i="4"/>
  <c r="N14" i="4"/>
  <c r="M7" i="4"/>
  <c r="N17" i="4"/>
  <c r="L13" i="4"/>
  <c r="M9" i="4"/>
  <c r="L20" i="4"/>
  <c r="M26" i="4"/>
  <c r="M27" i="4"/>
  <c r="M18" i="4"/>
  <c r="L24" i="4"/>
  <c r="M14" i="4"/>
  <c r="N10" i="4"/>
  <c r="M28" i="4"/>
  <c r="N29" i="4"/>
  <c r="M23" i="4"/>
  <c r="N21" i="4"/>
  <c r="M11" i="4"/>
  <c r="M24" i="4"/>
  <c r="N8" i="4"/>
  <c r="N6" i="4"/>
  <c r="L28" i="4"/>
  <c r="M20" i="4"/>
  <c r="L6" i="4"/>
  <c r="O20" i="4"/>
  <c r="O18" i="4"/>
  <c r="O24" i="4"/>
  <c r="O28" i="4"/>
  <c r="O13" i="4"/>
  <c r="O6" i="4"/>
</calcChain>
</file>

<file path=xl/sharedStrings.xml><?xml version="1.0" encoding="utf-8"?>
<sst xmlns="http://schemas.openxmlformats.org/spreadsheetml/2006/main" count="6216" uniqueCount="1258">
  <si>
    <t>Criterio de Seguridad</t>
  </si>
  <si>
    <t>Requisito</t>
  </si>
  <si>
    <t>Descripción</t>
  </si>
  <si>
    <t>Capa</t>
  </si>
  <si>
    <t>Activo de Información</t>
  </si>
  <si>
    <t>Alcance</t>
  </si>
  <si>
    <t>Fase</t>
  </si>
  <si>
    <t>Perfilamiento</t>
  </si>
  <si>
    <t>Prueba</t>
  </si>
  <si>
    <t>Verificado</t>
  </si>
  <si>
    <t>Detalles</t>
  </si>
  <si>
    <t>REQ.0001</t>
  </si>
  <si>
    <t>Los activos de información del sistema deben estar identificados y se conoce su uso.</t>
  </si>
  <si>
    <t>Capa de Recursos</t>
  </si>
  <si>
    <t>Activos de información</t>
  </si>
  <si>
    <t>Adherencia</t>
  </si>
  <si>
    <t>Análisis</t>
  </si>
  <si>
    <t>-</t>
  </si>
  <si>
    <t>REQ.0002</t>
  </si>
  <si>
    <t>Las dependencias o componentes con los que interopera un sistema de información deben estar identificados</t>
  </si>
  <si>
    <t>REQ.0003</t>
  </si>
  <si>
    <t>La arquitectura de un sistema debe estar definida</t>
  </si>
  <si>
    <t>REQ.0004</t>
  </si>
  <si>
    <t>Cada activo de información debe estar asociado con un responsable del activo.</t>
  </si>
  <si>
    <t>REQ.0005</t>
  </si>
  <si>
    <t>Cada activo de información debe estar valorado en términos monetarios.</t>
  </si>
  <si>
    <t>REQ.0006</t>
  </si>
  <si>
    <t>Las amenazas asociadas a un activo de información deben estar identificadas y documentadas.</t>
  </si>
  <si>
    <t>REQ.0007</t>
  </si>
  <si>
    <t>Los sistemas que interactúen con un activo de información deben tener identificadas las posibles vulnerabilidades que sobre ellos apliquen y que sean conocidas.</t>
  </si>
  <si>
    <t>REQ.0008</t>
  </si>
  <si>
    <t xml:space="preserve">La organización debe generar un modelo de amenazas para el sistema, donde se identifiquen las posibles amenazas y debe cubrir STRIDE (Spoofing, Tampering, Repudiation, Information Disclosure, Denial of Service, Elevation of Privilege) </t>
  </si>
  <si>
    <t>REQ.0009</t>
  </si>
  <si>
    <t>Cada amenaza sobre un activo de información debe ser medida en términos de su probabilidad de ocurrencia.</t>
  </si>
  <si>
    <t>REQ.0010</t>
  </si>
  <si>
    <t>Cada amenaza sobre un activo de información debe ser medida en términos de su impacto.</t>
  </si>
  <si>
    <t>REQ.0011</t>
  </si>
  <si>
    <t>Cada riesgo de seguridad de información, debe estar medido en función de su probabilidad e impacto.</t>
  </si>
  <si>
    <t>Capa de Negocio</t>
  </si>
  <si>
    <t>REQ.0012</t>
  </si>
  <si>
    <t>Los posibles atacantes del sistema deben estar identificados.</t>
  </si>
  <si>
    <t>Capa de Aplicación</t>
  </si>
  <si>
    <t>REQ.0013</t>
  </si>
  <si>
    <t>Debe estar definido el proceso para poder reclasificar los activos de información.</t>
  </si>
  <si>
    <t>Diseño</t>
  </si>
  <si>
    <t>REQ.0014</t>
  </si>
  <si>
    <t>Los activos de información deben estar clasificados de acuerdo a su nivel de confidencialidad y de criticidad.</t>
  </si>
  <si>
    <t>REQ.0015</t>
  </si>
  <si>
    <t>Las vulnerabilidades halladas en los activos de información deben estar priorizadas según la criticidad de cada vulnerabilidad.</t>
  </si>
  <si>
    <t>Pruebas</t>
  </si>
  <si>
    <t>REQ.0016</t>
  </si>
  <si>
    <t>La organización debe asegurar que cada una de las vulnerabilidades identificadas en los activos de información, sea corregida y comprobada su corrección.</t>
  </si>
  <si>
    <t>REQ.0017</t>
  </si>
  <si>
    <t>La organización debe garantizar un medio seguro de transporte para la información física.</t>
  </si>
  <si>
    <t>Responsabilidad</t>
  </si>
  <si>
    <t>Operación</t>
  </si>
  <si>
    <t>REQ.0018</t>
  </si>
  <si>
    <t>La organización debe tener un acuerdo de nivel de servicio de disponibilidad con todos los terceros con los cuales comparte información.</t>
  </si>
  <si>
    <t>Acuerdo de nivel de servicio</t>
  </si>
  <si>
    <t>REQ.0019</t>
  </si>
  <si>
    <t>La organización debe tener un acuerdo de nivel de servicio de confiabilidad con todos los terceros con los cuales comparte información.</t>
  </si>
  <si>
    <t>REQ.0020</t>
  </si>
  <si>
    <t>La organización debe definir penalizaciones para ser aplicadas por el incumplimiento en los acuerdos de niveles de servicio.</t>
  </si>
  <si>
    <t>REQ.0021</t>
  </si>
  <si>
    <t>Proveedores de la organización deben asegurar que sus terceras partes cumplen los requisitos definidos.</t>
  </si>
  <si>
    <t>REQ.0022</t>
  </si>
  <si>
    <t>Proveedores de la organización deben permitir auditorías de cliente en el alcance relacionado.</t>
  </si>
  <si>
    <t>REQ.0023</t>
  </si>
  <si>
    <t>El sistema debe cerrar una sesión si se presenta un tiempo de inactividad por parte del usuario, superior o igual a 5 minutos.</t>
  </si>
  <si>
    <t>Administración de sesiones</t>
  </si>
  <si>
    <t>REQ.0024</t>
  </si>
  <si>
    <t>Si el sistema debe transferir información entre páginas, debe realizarse a través de objetos de sesión.</t>
  </si>
  <si>
    <t>Interoperatividad</t>
  </si>
  <si>
    <t>Construcción</t>
  </si>
  <si>
    <t>REQ.0025</t>
  </si>
  <si>
    <t>Las sesiones concurrentes de un sistema se deben controlar o informar</t>
  </si>
  <si>
    <t>Integridad</t>
  </si>
  <si>
    <t>REQ.0026</t>
  </si>
  <si>
    <t>El sistema debe verificar la integridad y cifrar los estados de sesión que están al lado del cliente.</t>
  </si>
  <si>
    <t>REQ.0027</t>
  </si>
  <si>
    <t>El sistema debe proporcionar al usuario la capacidad de bloquear la sesión de forma manual, desde cualquier recurso protegido por autenticación.</t>
  </si>
  <si>
    <t>Confidencialidad</t>
  </si>
  <si>
    <t>REQ.0028</t>
  </si>
  <si>
    <t>El sistema debe permitir al usuario terminar la sesión de forma manual, desde cualquier recurso protegido por autenticación.</t>
  </si>
  <si>
    <t>REQ.0029</t>
  </si>
  <si>
    <t>Las cookies de sesión de aplicaciones Web deben tener atributos de seguridad (HttpOnly, Secure)</t>
  </si>
  <si>
    <t>REQ.0030</t>
  </si>
  <si>
    <t>Se debe controlar que un objeto (id de sesión, cookie, etc) que participe en el proceso de autenticación no pueda ser reutilizado.</t>
  </si>
  <si>
    <t>Autenticidad</t>
  </si>
  <si>
    <t>REQ.0031</t>
  </si>
  <si>
    <t>Al cerrarse la sesión de un usuario (automática o manual) se debe descartar los datos relacionados con la sesión del usuario.</t>
  </si>
  <si>
    <t>REQ.0032</t>
  </si>
  <si>
    <t>El sistema no debe exponer identificadores de sesión en URLs y mensajes presentados al usuario.</t>
  </si>
  <si>
    <t>REQ.0033</t>
  </si>
  <si>
    <t>Si el sistema posee un mecanismo de administración, este debe ser accesible sólo desde segmentos de red de gestión o administrativos.</t>
  </si>
  <si>
    <t>Administración del sistema</t>
  </si>
  <si>
    <t>REQ.0034</t>
  </si>
  <si>
    <t>El sistema debe permitir a un superusuario o usuario administrador del sistema, deshabilitar cuentas de usuarios.</t>
  </si>
  <si>
    <t>Autorización</t>
  </si>
  <si>
    <t>REQ.0035</t>
  </si>
  <si>
    <t>El sistema no debe permitir a un actor del sistema, aumentar los privilegios para él mismo.</t>
  </si>
  <si>
    <t>REQ.0036</t>
  </si>
  <si>
    <t>El sistema no debe desplegar archivos temporales en ambiente de producción.</t>
  </si>
  <si>
    <t>Archivos</t>
  </si>
  <si>
    <t>Despliegue</t>
  </si>
  <si>
    <t>REQ.0037</t>
  </si>
  <si>
    <t>El sistema no debe incluir en parámetros nombres de directorios o rutas de archivos.</t>
  </si>
  <si>
    <t>REQ.0038</t>
  </si>
  <si>
    <t>Los archivos del sistema deben ser referenciados mediante rutas absolutas.</t>
  </si>
  <si>
    <t>REQ.0039</t>
  </si>
  <si>
    <t>Los archivos operados en un sistema y los manipulados por los usuarios deben tener un tamaño máximo definido (5MB recomendado)</t>
  </si>
  <si>
    <t>Disponibilidad</t>
  </si>
  <si>
    <t>REQ.0040</t>
  </si>
  <si>
    <t>El sistema debe validar que el formato (estructura) de los archivos corresponda con su extensión.</t>
  </si>
  <si>
    <t>REQ.0041</t>
  </si>
  <si>
    <t>El sistema debe validar que el contenido de los archivos transferidos hacia el mismo sistema esté libre de código malicioso.</t>
  </si>
  <si>
    <t>Madurez</t>
  </si>
  <si>
    <t>REQ.0042</t>
  </si>
  <si>
    <t>El sistema sólo debe aceptar únicamente archivos cuyo formato (estructura) sea requerido por la operativa del negocio.</t>
  </si>
  <si>
    <t>REQ.0043</t>
  </si>
  <si>
    <t>Los archivos generados de forma dinámica por el sistema deben tener definido un Content-Type explícito.</t>
  </si>
  <si>
    <t>REQ.0044</t>
  </si>
  <si>
    <t>Los archivos generados de forma dinámica por el sistema deben tener definido un Character-Set explícito.</t>
  </si>
  <si>
    <t>REQ.0045</t>
  </si>
  <si>
    <t>Los metadatos de archivos deben ser eliminados antes de ser compartidos con un tercero o hacerlos públicos.</t>
  </si>
  <si>
    <t>REQ.0046</t>
  </si>
  <si>
    <t>El sistema debe verificar y reportar en bitácora cambios en integridad de los archivos críticos del sistema.</t>
  </si>
  <si>
    <t>REQ.0047</t>
  </si>
  <si>
    <t>Se debe establecer los archivos críticos para cada sistema sobre los que se debe ejercer monitoreo a su integridad.</t>
  </si>
  <si>
    <t>REQ.0048</t>
  </si>
  <si>
    <t>En el código fuente, un componente debe poseer el menor número de dependencias posible.</t>
  </si>
  <si>
    <t>Arquitectura de seguridad</t>
  </si>
  <si>
    <t>Mantenibilidad</t>
  </si>
  <si>
    <t>REQ.0049</t>
  </si>
  <si>
    <t>En el código fuente, los componentes deben utilizar interfaces en vez de implementaciones.</t>
  </si>
  <si>
    <t>REQ.0050</t>
  </si>
  <si>
    <t>La llamada a código interpretado (JavaScript, CSS) debe hacerse a dominios controlados por la organización.</t>
  </si>
  <si>
    <t>REQ.0051</t>
  </si>
  <si>
    <t>El código fuente debe estar almacenado en un repositorio central.</t>
  </si>
  <si>
    <t>REQ.0052</t>
  </si>
  <si>
    <t>Los componentes críticos para la seguridad deben identificarse (TCB).</t>
  </si>
  <si>
    <t>REQ.0053</t>
  </si>
  <si>
    <t>La organización debe identificar y documentar los casos de abuso que se relacionan con el sistema.</t>
  </si>
  <si>
    <t>REQ.0054</t>
  </si>
  <si>
    <t>Debe documentarse la relación de dependencia entre casos de abuso cuando ésta sea identificada.</t>
  </si>
  <si>
    <t>REQ.0055</t>
  </si>
  <si>
    <t>Los casos de seguridad del sistema deben estar documentados.</t>
  </si>
  <si>
    <t>REQ.0056</t>
  </si>
  <si>
    <t>Los casos de seguridad deben tener un caso de abuso de control.</t>
  </si>
  <si>
    <t>REQ.0057</t>
  </si>
  <si>
    <t>Cada caso de abuso debe estar relacionado al menos con un caso de uso.</t>
  </si>
  <si>
    <t>REQ.0058</t>
  </si>
  <si>
    <t>Los casos de uso deben tener documentados los eventos de seguridad del sistema.</t>
  </si>
  <si>
    <t>REQ.0059</t>
  </si>
  <si>
    <t>Los eventos de seguridad del sistema que deben ser monitoreados deben estar identificados.</t>
  </si>
  <si>
    <t>REQ.0060</t>
  </si>
  <si>
    <t>Los componentes de la superficie de ataque (puntos de entrada a los que se accede sin autenticación) deben identificarse.</t>
  </si>
  <si>
    <t>REQ.0061</t>
  </si>
  <si>
    <t>La documentación que soporta un sistema de información debe contener un capítulo de seguridad.</t>
  </si>
  <si>
    <t>REQ.0062</t>
  </si>
  <si>
    <t>Debe definirse configuraciones estándares que corrijan todas las vulnerabilidades conocidas y que sean consistentes con estándares de la industria (ej: líneas base).</t>
  </si>
  <si>
    <t>REQ.0063</t>
  </si>
  <si>
    <t>Los requisitos de seguridad definidos para un sistema deben ser comprobables (pruebas de caja blanca).</t>
  </si>
  <si>
    <t>REQ.0064</t>
  </si>
  <si>
    <t>Los requisitos de seguridad que serán probados (en pruebas de caja blanca) deben estar definidos.</t>
  </si>
  <si>
    <t>REQ.0065</t>
  </si>
  <si>
    <t>Los requisitos de seguridad efectivamente probados (en pruebas de caja blanca) deben estar identificados.</t>
  </si>
  <si>
    <t>REQ.0066</t>
  </si>
  <si>
    <t>Los componentes que pueden ser probados (en pruebas de caja blanca) deben estar definidos.</t>
  </si>
  <si>
    <t>REQ.0067</t>
  </si>
  <si>
    <t>Los componentes del sistema que serán probados (pruebas de caja blanca) deben estar definidos.</t>
  </si>
  <si>
    <t>REQ.0068</t>
  </si>
  <si>
    <t>Los componentes efectivamente probados (pruebas de caja blanca) deben haber sido identificados.</t>
  </si>
  <si>
    <t>REQ.0069</t>
  </si>
  <si>
    <t>La organización debe identificar y tratar los riesgos derivados de vulnerabilidades no corregidas.</t>
  </si>
  <si>
    <t>REQ.0070</t>
  </si>
  <si>
    <t>Debe haber una batería de pruebas de seguridad automatizadas que se ejecute como parte del proceso de despliegue (ej: unitarias, integración, funcionales).</t>
  </si>
  <si>
    <t>REQ.0071</t>
  </si>
  <si>
    <t>Cada vulnerabilidad detectada debe entrar en la batería de pruebas automatizadas con el fin de evitar regresiones.</t>
  </si>
  <si>
    <t>REQ.0072</t>
  </si>
  <si>
    <t>El tiempo de respuesta con la concurrencia máxima esperada debe ser de no más de 5 segundos.</t>
  </si>
  <si>
    <t>Rendimiento</t>
  </si>
  <si>
    <t>REQ.0073</t>
  </si>
  <si>
    <t>El porcentaje de errores con la concurrencia máxima esperada debe ser de 0%.</t>
  </si>
  <si>
    <t>Estabilidad</t>
  </si>
  <si>
    <t>REQ.0074</t>
  </si>
  <si>
    <t>Los sistemas críticos de la organización deben ser redundantes.</t>
  </si>
  <si>
    <t>REQ.0075</t>
  </si>
  <si>
    <t>El sistema debe registrar todos los eventos excepcionales y de seguridad en bitácoras.</t>
  </si>
  <si>
    <t>Bitácoras</t>
  </si>
  <si>
    <t>REQ.0076</t>
  </si>
  <si>
    <t>El sistema debe registrar el nivel de severidad para cada evento excepcional y de seguridad.</t>
  </si>
  <si>
    <t>Facilidad de análisis</t>
  </si>
  <si>
    <t>REQ.0077</t>
  </si>
  <si>
    <t>La aplicación no debe revelar detalles del sistema interno como stack traces, fragmentos de sentencias SQL y nombres de base de datos o tablas.</t>
  </si>
  <si>
    <t>REQ.0078</t>
  </si>
  <si>
    <t>Los eventos con severidad de depuración no deben estar habilitados en producción.</t>
  </si>
  <si>
    <t>REQ.0079</t>
  </si>
  <si>
    <t>El sistema debe registrar el momento exacto de ocurrencia (Fecha, hora, segundos, milisegundos y zona horaria) para cada evento excepcional y de seguridad.</t>
  </si>
  <si>
    <t>REQ.0080</t>
  </si>
  <si>
    <t>Las bitácoras de un sistema no deben ser modificables o alterables.</t>
  </si>
  <si>
    <t>REQ.0081</t>
  </si>
  <si>
    <t>La organización debe almacenar las bitácoras al menos durante 5 años desde la ocurrencia del evento en el sistema o lo que disponga la legislación vigente para dicho sistema.</t>
  </si>
  <si>
    <t>REQ.0082</t>
  </si>
  <si>
    <t>La gestión de bitácoras debe realizarse por el sistema operativo o un sistema externo a la aplicación.</t>
  </si>
  <si>
    <t>REQ.0083</t>
  </si>
  <si>
    <t>El sistema no debe registrar información sensible en un evento excepcional de una bitácora.</t>
  </si>
  <si>
    <t>REQ.0084</t>
  </si>
  <si>
    <t>El sistema debe permitir a los usuarios autorizados consultar el historial de transacciones realizadas por él mismo.</t>
  </si>
  <si>
    <t>REQ.0085</t>
  </si>
  <si>
    <t>El sistema debe permitir a los usuarios autorizados consultar el historial de sesiones establecidas por él mismo.</t>
  </si>
  <si>
    <t>REQ.0086</t>
  </si>
  <si>
    <t>El registro de un evento de seguridad sensible en bitácora debe generar una alarma.</t>
  </si>
  <si>
    <t>REQ.0087</t>
  </si>
  <si>
    <t>La organización debe garantizar que las llamadas realizadas por personal en operación desde líneas telefónicas en los lugares donde se manipulan activos de información, deben ser registradas en una bitácora con nombre de quién realiza la llamada, teléfono, fecha y hora.</t>
  </si>
  <si>
    <t>REQ.0088</t>
  </si>
  <si>
    <t>Un sistema con información crítica para el negocio debe requerir certificados digitales de cliente en el proceso de autenticación.</t>
  </si>
  <si>
    <t>Certificados digitales</t>
  </si>
  <si>
    <t>REQ.0089</t>
  </si>
  <si>
    <t>La organización no debe utilizar certificados digitales con una vigencia superior a un año.</t>
  </si>
  <si>
    <t>REQ.0090</t>
  </si>
  <si>
    <t>El sistema debe utilizar certificados digitales que no se encuentren vencidos.</t>
  </si>
  <si>
    <t>REQ.0091</t>
  </si>
  <si>
    <t>Debe utilizarse certificados firmados por entidades certificadoras internas válidas cuando estos sean para aplicaciones internas.</t>
  </si>
  <si>
    <t>REQ.0092</t>
  </si>
  <si>
    <t>Debe utilizarse certificados firmados por entidades certificadoras externas válidas cuando estos sean para aplicaciones externas.</t>
  </si>
  <si>
    <t>REQ.0093</t>
  </si>
  <si>
    <t>Debe utilizarse certificados con una identificación coherente con la organización (servicio, servidor, entre otros) a la cual se encuentra asociado.</t>
  </si>
  <si>
    <t>REQ.0094</t>
  </si>
  <si>
    <t>Debe preferirse especificar las reglas para control de acceso de modo declarativo en vez de modo programático.</t>
  </si>
  <si>
    <t>Control de acceso</t>
  </si>
  <si>
    <t>REQ.0095</t>
  </si>
  <si>
    <t>Los usuarios que accederán al sistema con cuentas de administrador o super administrador deben estar definidos.</t>
  </si>
  <si>
    <t>REQ.0096</t>
  </si>
  <si>
    <t>Los privilegios requeridos por los usuarios que accederán al sistema deben estar definidos.</t>
  </si>
  <si>
    <t>REQ.0097</t>
  </si>
  <si>
    <t>La organización debe definir un modelo de control de acceso a los sistemas.</t>
  </si>
  <si>
    <t>REQ.0098</t>
  </si>
  <si>
    <t>La organización debe contar con barreras físicas (puertas, rejas, muros, etc) requeridos para la custodia de los activos de información físicos y lógicos.</t>
  </si>
  <si>
    <t>Capa Física</t>
  </si>
  <si>
    <t>REQ.0099</t>
  </si>
  <si>
    <t>La organización debe llevar control de acceso de vehículos y personas en las zonas de parqueaderos.</t>
  </si>
  <si>
    <t>REQ.0100</t>
  </si>
  <si>
    <t>Las ventanas de lugares que contengan activos de información físicos o lógicos deben permanecer selladas.</t>
  </si>
  <si>
    <t>REQ.0101</t>
  </si>
  <si>
    <t>La organización debe garantizar que todo el personal que realiza actividades al interior de las instalaciones debe estar carnetizado y contar con las tarjetas del sistema de control de accesos correspondientes.</t>
  </si>
  <si>
    <t>REQ.0102</t>
  </si>
  <si>
    <t>La organización debe exigir que los carné de identificación deben estar visibles todo el tiempo.</t>
  </si>
  <si>
    <t>REQ.0103</t>
  </si>
  <si>
    <t>La organización debe contar con un proceso definido para la asignación, inventario, cambio, reasignación y retiro de tarjetas de acceso.</t>
  </si>
  <si>
    <t>REQ.0104</t>
  </si>
  <si>
    <t>La organización debe exigir que todos los operarios, para la manipulación de activos de información físicos, deben hacer uso de uniforme sin bolsillos.</t>
  </si>
  <si>
    <t>REQ.0105</t>
  </si>
  <si>
    <t>La organización no debe permitir el ingreso a las instalaciones de elementos que permitan la extracción de activos de información digitales o físicos.</t>
  </si>
  <si>
    <t>REQ.0106</t>
  </si>
  <si>
    <t>La organización debe garantizar que las líneas telefónicas habilitadas en los lugares donde se manipulan activos de información, debe estar asignada a una sola persona que se responsabilice de su uso.</t>
  </si>
  <si>
    <t>REQ.0107</t>
  </si>
  <si>
    <t>La organización debe exigir una requisa manual a cada uno de los empleados cada vez que salgan del área donde se manipulan activos de información.</t>
  </si>
  <si>
    <t>REQ.0108</t>
  </si>
  <si>
    <t>Los lugares donde se manipulan activos de información deberán disponer de lockers con llave para que el personal encargado de la operación y visitantes dejen sus objetos personales, maletines, maletas, cascos de moto, dispositivos electrónicos y demás elementos no relacionados al 100% con su labor.</t>
  </si>
  <si>
    <t>REQ.0109</t>
  </si>
  <si>
    <t>Las áreas restringidas deben contar con mecanismos de control de acceso físico detectivos (cámaras, vigilantes, sensores de calor, etc).</t>
  </si>
  <si>
    <t>REQ.0110</t>
  </si>
  <si>
    <t>Las áreas restringidas deben contar con mecanismos de control de acceso físico preventivos (cerraduras, puertas, vigilantes, etc).</t>
  </si>
  <si>
    <t>REQ.0111</t>
  </si>
  <si>
    <t>La organización debe contar con controles físicos detectivos y disuasivos en la periferia de las instalaciones (Iluminación, cámaras, vigilantes, etc).</t>
  </si>
  <si>
    <t>REQ.0112</t>
  </si>
  <si>
    <t>La organización debe ubicar bolardos alrededor de las edificaciones de la compañía en zonas que estén bajo el riesgo de ser impactadas por un automóvil.</t>
  </si>
  <si>
    <t>REQ.0113</t>
  </si>
  <si>
    <t>Las áreas restringidas deben tener un número pequeño y controlable de puntos de acceso.</t>
  </si>
  <si>
    <t>REQ.0114</t>
  </si>
  <si>
    <t>El sistema no debe permitir la autenticación exitosa de un usuario con credenciales expiradas, revocadas o bloqueadas.</t>
  </si>
  <si>
    <t>REQ.0115</t>
  </si>
  <si>
    <t>Los correos electrónicos de entradas y salida deben pasar por un filtro anti-spam.</t>
  </si>
  <si>
    <t>Correo electrónico</t>
  </si>
  <si>
    <t>REQ.0116</t>
  </si>
  <si>
    <t>El cliente de correo electrónico corporativo no debe mostrar de forma predeterminada imágenes cuyo origen sea desconocido.</t>
  </si>
  <si>
    <t>REQ.0117</t>
  </si>
  <si>
    <t>El cliente de correo electrónico corporativo no debe interpretar código HTML por defecto.</t>
  </si>
  <si>
    <t>REQ.0118</t>
  </si>
  <si>
    <t>Los archivos que se encuentran adjuntos en un correo electrónico deben ser analizados por una herramienta anti-malware.</t>
  </si>
  <si>
    <t>REQ.0119</t>
  </si>
  <si>
    <t>Se debe hacer uso del campo BCC en lugar de destinatario al momento de enviar correos masivos.</t>
  </si>
  <si>
    <t>REQ.0120</t>
  </si>
  <si>
    <t>Todos los correos electrónicos deben archivarse en un lugar central.</t>
  </si>
  <si>
    <t>Adaptabilidad</t>
  </si>
  <si>
    <t>REQ.0121</t>
  </si>
  <si>
    <t>Sistemas que empleen cuentas de correo para el registro de usuarios deben garantizar la unicidad de los correos, siguiendo el estándar de la estructura de dirección de correo RFC822.</t>
  </si>
  <si>
    <t>REQ.0122</t>
  </si>
  <si>
    <t>El sistema debe garantizar que el correo electrónico declarado realmente pertenece a la persona en cuestión.</t>
  </si>
  <si>
    <t>REQ.0123</t>
  </si>
  <si>
    <t>El sistema debe garantizar que la visualización de correos electrónicos expuestos sean vistos sólo por humanos.</t>
  </si>
  <si>
    <t>REQ.0124</t>
  </si>
  <si>
    <t>El sistema debe notificar a un usuario el vencimiento de su contraseña con una antelación de 7 días.</t>
  </si>
  <si>
    <t>Credenciales de acceso</t>
  </si>
  <si>
    <t>REQ.0125</t>
  </si>
  <si>
    <t>El sistema debe permitir a un usuario realizar un cambio de contraseña de forma autónoma hasta 5 días después del vencimiento de la misma.</t>
  </si>
  <si>
    <t>REQ.0126</t>
  </si>
  <si>
    <t>El sistema debe poseer un mecanismo para que un usuario pueda recordar o restaurar su contraseña.</t>
  </si>
  <si>
    <t>REQ.0127</t>
  </si>
  <si>
    <t>Las contraseñas deben almacenarse a través de resúmenes criptográficos.</t>
  </si>
  <si>
    <t>REQ.0128</t>
  </si>
  <si>
    <t>Las contraseñas deben estar almacenadas en una fuente de datos única.</t>
  </si>
  <si>
    <t>REQ.0129</t>
  </si>
  <si>
    <t>El sistema no debe permitir cambio de contraseña para un usuario, si la nueva contraseña es igual a alguna de las últimas 5 contraseñas de ese usuario.</t>
  </si>
  <si>
    <t>REQ.0130</t>
  </si>
  <si>
    <t>Las contraseñas deben tener una validez máxima de 30 días.</t>
  </si>
  <si>
    <t>REQ.0131</t>
  </si>
  <si>
    <t>La contraseña no debe poder cambiarse mas de una vez en un mismo día.</t>
  </si>
  <si>
    <t>REQ.0132</t>
  </si>
  <si>
    <t>Las contraseñas (tipo frase) deben tener al menos 3 palabras de longitud.</t>
  </si>
  <si>
    <t>REQ.0133</t>
  </si>
  <si>
    <t>La contraseñas de acceso de un sistema a otro sistema deben tener una longitud superior a 20 caracteres.</t>
  </si>
  <si>
    <t>REQ.0134</t>
  </si>
  <si>
    <t>El sistema debe almacenar las contraseñas con diferentes derivaciones de clave (Salt).</t>
  </si>
  <si>
    <t>REQ.0135</t>
  </si>
  <si>
    <t>Las derivaciones de clave (Salt), deben ser aleatorias y de mínimo 48 bits.</t>
  </si>
  <si>
    <t>REQ.0136</t>
  </si>
  <si>
    <t>El sistema debe forzar el cambio de contraseñas temporales generadas automáticamente después de su primer uso.</t>
  </si>
  <si>
    <t>REQ.0137</t>
  </si>
  <si>
    <t>El sistema debe forzar el cambio de contraseñas temporales generadas por un tercero después de su primer uso.</t>
  </si>
  <si>
    <t>REQ.0138</t>
  </si>
  <si>
    <t>Las contraseñas temporales que son generadas para ingreso inicial en un sistema deben tener una validez máxima de 120 minutos.</t>
  </si>
  <si>
    <t>REQ.0139</t>
  </si>
  <si>
    <t>Las claves de un sólo uso deben tener una longitud mínima de 6 caracteres.</t>
  </si>
  <si>
    <t>REQ.0140</t>
  </si>
  <si>
    <t>Las claves de un sólo uso deben tener un validez máxima de 60 segundos.</t>
  </si>
  <si>
    <t>REQ.0141</t>
  </si>
  <si>
    <t>El sistema debe forzar a un usuario a realizar nuevamente el proceso de autenticación o invalidar la sesión en el sistema una vez que haya ocurrido un cambio en el estado del usuario (cambio o restauración de su contraseña, bloqueo, borrado del usuario, deshabilitación del usuario, etc)</t>
  </si>
  <si>
    <t>REQ.0142</t>
  </si>
  <si>
    <t>La organización debe modificar todas las credenciales de acceso por defecto de sistemas empaquetados.</t>
  </si>
  <si>
    <t>REQ.0143</t>
  </si>
  <si>
    <t>Las credenciales de acceso al sistema deben ser únicas para cada actor.</t>
  </si>
  <si>
    <t>REQ.0144</t>
  </si>
  <si>
    <t>La organización debe depurar las cuentas de usuario de forma periódica</t>
  </si>
  <si>
    <t>REQ.0145</t>
  </si>
  <si>
    <t>Las llaves asimétricas privadas o simétricas del sistema deben estar protegidas y no deben ser expuestas.</t>
  </si>
  <si>
    <t>Criptografía</t>
  </si>
  <si>
    <t>REQ.0146</t>
  </si>
  <si>
    <t>Las llaves criptográficas deben permanecer en RAM máximo 5 segundos</t>
  </si>
  <si>
    <t>REQ.0147</t>
  </si>
  <si>
    <t>Las funciones de criptografía del sistema deben ser implementadas con mecanismos criptográficos pre-existentes y vigentes.</t>
  </si>
  <si>
    <t>REQ.0148</t>
  </si>
  <si>
    <t>Debe utilizarse como mecanismo de cifrado asimétrico un tamaño de clave mínimo de 2048 bits.</t>
  </si>
  <si>
    <t>REQ.0149</t>
  </si>
  <si>
    <t>Debe utilizarse como mecanismo de cifrado simétrico un tamaño de clave mínimo de 128 bits.</t>
  </si>
  <si>
    <t>REQ.0150</t>
  </si>
  <si>
    <t>Debe utilizarse funciones resumen con un tamaño mínimo de 256 bits.</t>
  </si>
  <si>
    <t>REQ.0151</t>
  </si>
  <si>
    <t>Debe utilizarse con la criptografía asimétrica pares de claves separados para cifrado y firmado.</t>
  </si>
  <si>
    <t>REQ.0152</t>
  </si>
  <si>
    <t>El sistema debe reutilizar las conexiones a la base de datos.</t>
  </si>
  <si>
    <t>Código fuente</t>
  </si>
  <si>
    <t>REQ.0153</t>
  </si>
  <si>
    <t>La transacción debe confirmarse fuera de banda (SMS, correo, entre otros).</t>
  </si>
  <si>
    <t>REQ.0154</t>
  </si>
  <si>
    <t>El código fuente de un sistema no debe realizar funciones diferentes a las que han sido especificadas en los requisitos funcionales (puertas traseras).</t>
  </si>
  <si>
    <t>REQ.0155</t>
  </si>
  <si>
    <t>El código de la aplicación debe estar libre de código malicioso.</t>
  </si>
  <si>
    <t>REQ.0156</t>
  </si>
  <si>
    <t>El código fuente no debe contener información sensible.</t>
  </si>
  <si>
    <t>REQ.0157</t>
  </si>
  <si>
    <t>El código debe compilarse o interpretarse de forma estricta.</t>
  </si>
  <si>
    <t>REQ.0158</t>
  </si>
  <si>
    <t>La codificación del sistema debe estar implementada en una versión de un lenguaje de programación estable, actualizada, probada y libre de vulnerabilidades conocidas.</t>
  </si>
  <si>
    <t>REQ.0159</t>
  </si>
  <si>
    <t>El código fuente debe estar ofuscado en ambiente de producción.</t>
  </si>
  <si>
    <t>REQ.0160</t>
  </si>
  <si>
    <t>La salida de información del sistema debe estar codificada en el lenguaje correspondiente (escaping).</t>
  </si>
  <si>
    <t>REQ.0161</t>
  </si>
  <si>
    <t>El código debe definir opciones por defecto seguras que garanticen fallos seguros en la aplicación. (try, catch/except; default en switches)</t>
  </si>
  <si>
    <t>REQ.0162</t>
  </si>
  <si>
    <t>El código fuente no debe tener funciones, métodos o clases repetidas.</t>
  </si>
  <si>
    <t>REQ.0163</t>
  </si>
  <si>
    <t>Las funciones, métodos o clases deben ser invocadas en algún escenario funcional del sistema.</t>
  </si>
  <si>
    <t>REQ.0164</t>
  </si>
  <si>
    <t>El código debe utilizar contenedores o estructuras de datos optimizadas.</t>
  </si>
  <si>
    <t>REQ.0166</t>
  </si>
  <si>
    <t>El código fuente debe contener funciones, métodos o fragmentos de código con una complejidad ciclomática (McCabe) inferior a 20.</t>
  </si>
  <si>
    <t>REQ.0167</t>
  </si>
  <si>
    <t>El código fuente debe estar implementado de tal forma que cierre cualquier recurso que se encuentre abierto y no esté siendo utilizando.</t>
  </si>
  <si>
    <t>REQ.0168</t>
  </si>
  <si>
    <t>Las variables del código fuente deben estar inicializadas de forma explícita.</t>
  </si>
  <si>
    <t>REQ.0169</t>
  </si>
  <si>
    <t>Debe usarse construcciones parametrizadas o procedimientos almacenados parametrizados para la creación dinámica de sentencias (ej: java.sql.PreparedStatement)</t>
  </si>
  <si>
    <t>REQ.0170</t>
  </si>
  <si>
    <t>El código fuente debe estar implementado de tal forma que todas las variables tengan un tipo de dato asociado.</t>
  </si>
  <si>
    <t>REQ.0171</t>
  </si>
  <si>
    <t>Los comentarios del código fuente en ambiente de producción deben ser removidos.</t>
  </si>
  <si>
    <t>REQ.0172</t>
  </si>
  <si>
    <t>Las cadenas de conexión a la base de datos deben de estar cifradas en un archivo de configuración separado del código fuente.</t>
  </si>
  <si>
    <t>REQ.0173</t>
  </si>
  <si>
    <t>El sistema debe descartar toda la información potencialmente insegura que sea recibida por entradas de datos.</t>
  </si>
  <si>
    <t>REQ.0174</t>
  </si>
  <si>
    <t>La aplicación debe garantizar que las peticiones que ejecuten transacciones no sigan un patrón discernible.</t>
  </si>
  <si>
    <t>REQ.0175</t>
  </si>
  <si>
    <t>Una página Web debe protegerse de ser embebida en sitios maliciosos (clickjacking).</t>
  </si>
  <si>
    <t>REQ.0176</t>
  </si>
  <si>
    <t>El sistema debe restringir el acceso a objetos del sistema que tengan contenido sensible. Sólo permitirá su acceso a usuarios autorizados.</t>
  </si>
  <si>
    <t>Datos</t>
  </si>
  <si>
    <t>REQ.0177</t>
  </si>
  <si>
    <t>El sistema no debe almacenar información sensible en archivos temporales o en memoria caché.</t>
  </si>
  <si>
    <t>REQ.0178</t>
  </si>
  <si>
    <t>Debe utilizarse firmas digitales para garantizar la autenticidad de información sensible.</t>
  </si>
  <si>
    <t>REQ.0179</t>
  </si>
  <si>
    <t>La organización debe definir el periodo de frecuencia para ejecutar el respaldo a cada sistema de información.</t>
  </si>
  <si>
    <t>Recuperabilidad</t>
  </si>
  <si>
    <t>REQ.0180</t>
  </si>
  <si>
    <t>Los datos de ambientes diferentes a producción deben estar enmascarados.</t>
  </si>
  <si>
    <t>REQ.0181</t>
  </si>
  <si>
    <t>La transmisión de información sensible o la ejecución de funciones sensibles debe hacerse a través de protocolos seguros.</t>
  </si>
  <si>
    <t>REQ.0182</t>
  </si>
  <si>
    <t>Los datos del sistema operativo y los datos de negocio deben estar almacenados en ubicaciones diferentes.</t>
  </si>
  <si>
    <t>REQ.0183</t>
  </si>
  <si>
    <t>El sistema debe soportar la eliminación segura de datos sensibles cuando estos ya no son requeridos, de tal forma que no puedan ser recuperados.</t>
  </si>
  <si>
    <t>REQ.0184</t>
  </si>
  <si>
    <t>Los datos deben estar distorsionados si la aplicación no está en foco.</t>
  </si>
  <si>
    <t>REQ.0185</t>
  </si>
  <si>
    <t>La información sensible almacenada debe estar cifrada.</t>
  </si>
  <si>
    <t>REQ.0186</t>
  </si>
  <si>
    <t>El sistema debe utilizar el mínimo nivel de privilegios cuando accede a otro sistema o a bases de datos.</t>
  </si>
  <si>
    <t>REQ.0187</t>
  </si>
  <si>
    <t>La recolección activa de datos personales debe ser autorizada por el usuario dueño de la información (OECD.7, ISACA.G31.1.)</t>
  </si>
  <si>
    <t>REQ.0188</t>
  </si>
  <si>
    <t>Los datos personales deben poder ser actualizados por el usuario. (OECD.8, ISACA.G31.2.)</t>
  </si>
  <si>
    <t>REQ.0189</t>
  </si>
  <si>
    <t>El sistema debe especificar el propósito de la recolección de datos personales. (OECD.9, ISACA.G31.3.)</t>
  </si>
  <si>
    <t>REQ.0190</t>
  </si>
  <si>
    <t>El sistema debe usar los datos personales sólo para el propósito indicado. (OECD.10, ISACA.G31.4.)</t>
  </si>
  <si>
    <t>REQ.0191</t>
  </si>
  <si>
    <t>Los datos personales deben protegerse con el máximo nivel de protección definido. (ISACA.G31.5)</t>
  </si>
  <si>
    <t>REQ.0192</t>
  </si>
  <si>
    <t>Los datos de respaldos deben almacenarse cifrados.</t>
  </si>
  <si>
    <t>REQ.0193</t>
  </si>
  <si>
    <t>Los datos de respaldos deben almacenarse fuera del sitio origen (sedes geográficamente distantes).</t>
  </si>
  <si>
    <t>REQ.0194</t>
  </si>
  <si>
    <t>La organización debe determinar qué tipo de dispositivos foráneos tienen permiso de consumir recursos internos.</t>
  </si>
  <si>
    <t>Dispositivos foráneos (BYOD)</t>
  </si>
  <si>
    <t>REQ.0195</t>
  </si>
  <si>
    <t>La organización debe determinar qué sistemas operativos de dispositivos foráneos tienen permiso de consumir recursos internos.</t>
  </si>
  <si>
    <t>REQ.0196</t>
  </si>
  <si>
    <t>La organización debe determinar qué aplicaciones deben estar instaladas en los dispositivos foráneos para consumir recursos internos.</t>
  </si>
  <si>
    <t>REQ.0197</t>
  </si>
  <si>
    <t>La organización debe determinar qué aplicaciones están prohibidas en los dispositivos foráneos para consumir recursos internos.</t>
  </si>
  <si>
    <t>REQ.0198</t>
  </si>
  <si>
    <t>La organización debe determinar qué personas (empleados de ciertos roles, visitantes, etc) pueden usar dispositivos foráneos.</t>
  </si>
  <si>
    <t>REQ.0199</t>
  </si>
  <si>
    <t>La organización debe determinar qué servicios, en qué momento y quién puede acceder con dispositivos foráneos.</t>
  </si>
  <si>
    <t>REQ.0200</t>
  </si>
  <si>
    <t>La organización debe llevar registro de las máquinas foráneas ingresadas y retiradas.</t>
  </si>
  <si>
    <t>REQ.0201</t>
  </si>
  <si>
    <t>El dispositivo debe tener la capacidad de demostrar si fue manipulado o abierto de forma no autorizada.</t>
  </si>
  <si>
    <t>Dispositivos físicos</t>
  </si>
  <si>
    <t>REQ.0202</t>
  </si>
  <si>
    <t>El dispositivo debe eliminar la información confidencial que contenga, ante el evento de apertura del mismo.</t>
  </si>
  <si>
    <t>REQ.0203</t>
  </si>
  <si>
    <t>El dispositivo debe impedir que el ingreso de información pueda ser observado por un tercero (cubierta).</t>
  </si>
  <si>
    <t>REQ.0204</t>
  </si>
  <si>
    <t>Las pantallas expuestas al usuario sólo deben permitir visualización perpendicular.</t>
  </si>
  <si>
    <t>REQ.0205</t>
  </si>
  <si>
    <t>Los dispositivos que se conectan a la red celular deben tener configurado un número de identificación personal (PIN) en la SIM Card.</t>
  </si>
  <si>
    <t>Dispositivos móviles</t>
  </si>
  <si>
    <t>REQ.0206</t>
  </si>
  <si>
    <t>Protocolos de comunicación de los dispositivos móviles que permiten intercambio de datos (Bluetooth, NFC, Tethering) deben permanecer ocultas, configurado con credenciales o permanecer apagadas.</t>
  </si>
  <si>
    <t>REQ.0207</t>
  </si>
  <si>
    <t>En dispositivos portátiles y móviles, el sistema debe permitir el cifrado de discos y particiones de discos.</t>
  </si>
  <si>
    <t>REQ.0208</t>
  </si>
  <si>
    <t>Los dispositivos que se conectan a la red celular deben tener el IMEI registrado ante el operador de telefonía móvil celular autorizado.</t>
  </si>
  <si>
    <t>REQ.0209</t>
  </si>
  <si>
    <t>Aplicaciones que se autentiquen fuera de línea, sólo deben almacenar una contraseña en el caché de autenticación.</t>
  </si>
  <si>
    <t>REQ.0210</t>
  </si>
  <si>
    <t>La información de los dispositivos móviles deberá ser eliminada después de 10 intentos fallidos de la autenticación.</t>
  </si>
  <si>
    <t>REQ.0211</t>
  </si>
  <si>
    <t>Los dispositivos móviles deben estar restringidos y limitados de forma centralizada por políticas de seguridad definidas por la organización.</t>
  </si>
  <si>
    <t>REQ.0212</t>
  </si>
  <si>
    <t>Las interfaces de comunicación de los dispositivos móviles que permiten acceso a Internet mediante un plan de datos, deben permanecer apagadas cuando el equipo esté conectado a la red de la organización.</t>
  </si>
  <si>
    <t>REQ.0213</t>
  </si>
  <si>
    <t>El dispositivo móvil debe permitir su ubicación geográfica de forma remota en caso de pérdida.</t>
  </si>
  <si>
    <t>REQ.0214</t>
  </si>
  <si>
    <t>El dispositivo móvil debe permitir la destrucción de sus datos de forma remota en caso de pérdida.</t>
  </si>
  <si>
    <t>REQ.0215</t>
  </si>
  <si>
    <t>No deben existir reglas de firewall redundantes u opuestas.</t>
  </si>
  <si>
    <t>Firewall</t>
  </si>
  <si>
    <t>REQ.0216</t>
  </si>
  <si>
    <t>Los objetos de red que no sean usados deben ser eliminados de la configuración de los equipos de firewall.</t>
  </si>
  <si>
    <t>REQ.0217</t>
  </si>
  <si>
    <t>Las reglas desactivadas no deben permanecer en la configuración del equipo de firewall.</t>
  </si>
  <si>
    <t>REQ.0218</t>
  </si>
  <si>
    <t>Si el hipervisor permite la revisión de memoria y registros de CPU entre máquinas virtuales, se debe controlar el acceso sólo a una máquina virtual de soporte de seguridad.</t>
  </si>
  <si>
    <t>Hipervisor</t>
  </si>
  <si>
    <t>REQ.0219</t>
  </si>
  <si>
    <t>El manejo de hipervisores en una granja de virtualización, se debe hacer a través de un software central de gestión.</t>
  </si>
  <si>
    <t>REQ.0220</t>
  </si>
  <si>
    <t>En una granja de virtualización, la aplicación de gestión de los hipervisores debe tener perfiles de máquina para monitorear posibles cambios no autorizados.</t>
  </si>
  <si>
    <t>REQ.0221</t>
  </si>
  <si>
    <t>Una máquina virtual no debe tener conectados dispositivos que no sean necesarios para su funcionamiento (Floppy, IDE, CD/DVD, USB, Serial).</t>
  </si>
  <si>
    <t>Máquina virtual</t>
  </si>
  <si>
    <t>REQ.0222</t>
  </si>
  <si>
    <t>Una máquina virtual no debe acceder a información de la máquina host.</t>
  </si>
  <si>
    <t>REQ.0223</t>
  </si>
  <si>
    <t>Los números aleatorios generados deben seguir una distribución uniforme.</t>
  </si>
  <si>
    <t>Números aleatorios</t>
  </si>
  <si>
    <t>REQ.0224</t>
  </si>
  <si>
    <t>Debe usarse el mecanismo criptográfico más seguro ofrecido por la plataforma (ej: java.security.SecureRandom) para la generación de números aleatorios usados en procesos críticos (ej: generación de ID, mapeo de códigos, llaves).</t>
  </si>
  <si>
    <t>REQ.0225</t>
  </si>
  <si>
    <t>Las respuestas del sistema a los fallos de autenticación no deben indicar cual parte de la autenticación fue incorrecta.</t>
  </si>
  <si>
    <t>Proceso de autenticación</t>
  </si>
  <si>
    <t>REQ.0226</t>
  </si>
  <si>
    <t>El sistema nunca debe bloquear una cuenta de un usuario ante uno o varios intentos fallidos de autenticación.</t>
  </si>
  <si>
    <t>REQ.0227</t>
  </si>
  <si>
    <t>El sistema debe notificar a cualquier actor que intenta autenticarse, que el acceso en el mismo sistema sólo está disponible para usuarios autorizados.</t>
  </si>
  <si>
    <t>REQ.0228</t>
  </si>
  <si>
    <t>El Proceso de Autenticación unificado (SSO: Single Sign On) debe implementarse mediante protocolos estándar (ej: SAML).</t>
  </si>
  <si>
    <t>REQ.0229</t>
  </si>
  <si>
    <t>El sistema debe solicitar a cualquier actor que intenta autenticarse, como mínimo un nombre de usuario y una contraseña.</t>
  </si>
  <si>
    <t>REQ.0230</t>
  </si>
  <si>
    <t>Un sistema con información crítica para el negocio debe requerir claves de un sólo uso en el proceso de autenticación.</t>
  </si>
  <si>
    <t>REQ.0231</t>
  </si>
  <si>
    <t>Un sistema con información crítica para el negocio debe tener un componente para verificación biométrica durante el proceso de autenticación.</t>
  </si>
  <si>
    <t>REQ.0232</t>
  </si>
  <si>
    <t>Un sistema con información crítica para el negocio debe requerir la identificación del equipo desde el cual se autentica un usuario o sistema.</t>
  </si>
  <si>
    <t>REQ.0233</t>
  </si>
  <si>
    <t>El sistema no debe imprimir contraseñas en pantalla o recursos visibles.</t>
  </si>
  <si>
    <t>REQ.0234</t>
  </si>
  <si>
    <t>Las credenciales para la autenticación a un sistema con información crítica para el negocio deben estar bajo la custodia de dos usuarios.</t>
  </si>
  <si>
    <t>REQ.0235</t>
  </si>
  <si>
    <t>El proceso de autenticación debe disponer de una interfaz separada para el ingreso de credenciales en pantalla (ingreso accidental en pantalla)</t>
  </si>
  <si>
    <t>REQ.0236</t>
  </si>
  <si>
    <t>El proceso de autenticación debe tener un tiempo límite establecido de 30 segundos.</t>
  </si>
  <si>
    <t>REQ.0237</t>
  </si>
  <si>
    <t>El sistema debe garantizar que quien realiza las acciones de registro, autenticación y restablecimiento de contraseña es un humano (usando CAPTCHA o retrasos incrementales)</t>
  </si>
  <si>
    <t>REQ.0238</t>
  </si>
  <si>
    <t>El sistema debe garantizar que la persona que realiza el proceso de restablecimiento de contraseña sea realmente el propietario.</t>
  </si>
  <si>
    <t>REQ.0239</t>
  </si>
  <si>
    <t>El criterio de seguridad de la organización debe incluir los requisitos legales específicos que aplican sobre la seguridad de información.</t>
  </si>
  <si>
    <t>Proceso de desarrollo</t>
  </si>
  <si>
    <t>REQ.0240</t>
  </si>
  <si>
    <t>La organización debe realizar revisiones de seguridad del código fuente a través de herramientas automatizadas.</t>
  </si>
  <si>
    <t>REQ.0241</t>
  </si>
  <si>
    <t>La organización debe definir los requisitos del criterio de seguridad de la información que aplican para el sistema.</t>
  </si>
  <si>
    <t>REQ.0242</t>
  </si>
  <si>
    <t>El soporte a las aplicaciones o sistemas debe realizarse sólo en ambientes diferentes a producción (desarrollo, pruebas o calidad, UAT)</t>
  </si>
  <si>
    <t>REQ.0243</t>
  </si>
  <si>
    <t>La organización debe definir y documentar un procedimiento para tratar los incidentes de seguridad.</t>
  </si>
  <si>
    <t>Procesos de negocio</t>
  </si>
  <si>
    <t>REQ.0244</t>
  </si>
  <si>
    <t>La organización debe definir y documentar un procedimiento para respaldar la información.</t>
  </si>
  <si>
    <t>REQ.0245</t>
  </si>
  <si>
    <t>La organización debe definir y documentar un procedimiento para control de cambios.</t>
  </si>
  <si>
    <t>REQ.0246</t>
  </si>
  <si>
    <t>La organización debe definir y documentar un procedimiento para la administración de cuentas de usuario. La administración debe incluir como mínimo: Creación de cuentas, modificación de cuentas, eliminación de cuentas, activación o desactivación de cuentas, asignación de privilegios.</t>
  </si>
  <si>
    <t>REQ.0247</t>
  </si>
  <si>
    <t>Las redes privadas deben tener deshabilitada la publicación del SSID (Service Set Identifier).</t>
  </si>
  <si>
    <t>Redes inalámbricas</t>
  </si>
  <si>
    <t>REQ.0248</t>
  </si>
  <si>
    <t>El nombre del SSID de la red inalámbrica no debe contener palabras de diccionario.</t>
  </si>
  <si>
    <t>REQ.0249</t>
  </si>
  <si>
    <t>Los puntos de acceso a la red deben estar ubicados en lugares que permitan que la señal se propague sólo en las instalaciones autorizadas.</t>
  </si>
  <si>
    <t>REQ.0250</t>
  </si>
  <si>
    <t>La administración del punto de acceso inalámbrico debe estar habilitada sólo en un puerto físico del equipo.</t>
  </si>
  <si>
    <t>REQ.0251</t>
  </si>
  <si>
    <t>Los puntos de acceso no deben usar la dirección IP configurada de fábrica.</t>
  </si>
  <si>
    <t>REQ.0252</t>
  </si>
  <si>
    <t>Se debe preferir el uso de los métodos de cifrado de clave WPA2 Personal o WPA2 Enterprise (802.1x).</t>
  </si>
  <si>
    <t>REQ.0253</t>
  </si>
  <si>
    <t>Las redes inalámbricas privadas deben filtrar el acceso por medio de credenciales y de una dirección MAC autorizada.</t>
  </si>
  <si>
    <t>REQ.0254</t>
  </si>
  <si>
    <t>La organización debe cambiar el nombre por defecto de fábrica del SSID de la red inalámbrica.</t>
  </si>
  <si>
    <t>REQ.0255</t>
  </si>
  <si>
    <t>Los segmentos de usuarios y servidores con aplicaciones o contenido deben permitir acceso sólo a los puertos necesarios.</t>
  </si>
  <si>
    <t>Redes lógicas</t>
  </si>
  <si>
    <t>REQ.0256</t>
  </si>
  <si>
    <t>Los servidores con aplicaciones o contenido sólo deben tener acceso a los puertos que les permitan cumplir su propósito.</t>
  </si>
  <si>
    <t>REQ.0257</t>
  </si>
  <si>
    <t>El acceso físico a la red para los usuarios debe asignarse con base en las credenciales del usuario en la organización - NAC (ej: 802.1x).</t>
  </si>
  <si>
    <t>REQ.0258</t>
  </si>
  <si>
    <t>La organización debe filtrar el contenido de sitios web accedidos desde una ubicación perteneciente a la misma entidad. (Proxy de salida)</t>
  </si>
  <si>
    <t>REQ.0259</t>
  </si>
  <si>
    <t>La red de la organización debe estar segmentada.</t>
  </si>
  <si>
    <t>REQ.0260</t>
  </si>
  <si>
    <t>Debe utilizarse correos diferentes al corporativo para registrar cuentas en redes sociales (aún en LinkedIn).</t>
  </si>
  <si>
    <t>Redes sociales</t>
  </si>
  <si>
    <t>REQ.0261</t>
  </si>
  <si>
    <t>En las cuentas personales de redes sociales no se debe exponer información corporativa.</t>
  </si>
  <si>
    <t>REQ.0262</t>
  </si>
  <si>
    <t>Los componentes provistos por terceros deben corresponder a versiones estables, probadas y actualizadas..</t>
  </si>
  <si>
    <t>Servicios y funciones</t>
  </si>
  <si>
    <t>REQ.0263</t>
  </si>
  <si>
    <t>El sistema debe tener mecanismos de protección contra robots que indexen información, landings o recursos.</t>
  </si>
  <si>
    <t>REQ.0264</t>
  </si>
  <si>
    <t>El sistema debe requerir autenticación para todos los recursos, excepto para la consulta o visualización de aquellos específicamente clasificados como públicos.</t>
  </si>
  <si>
    <t>REQ.0265</t>
  </si>
  <si>
    <t>El sistema debe restringir el acceso a funciones del sistema que ejecutan procesos críticos de negocio. sólo permitirá acceso a usuarios autorizados.</t>
  </si>
  <si>
    <t>REQ.0266</t>
  </si>
  <si>
    <t>La organización debe deshabilitar las funciones inseguras de un sistema. (hardening de sistemas)</t>
  </si>
  <si>
    <t>REQ.0267</t>
  </si>
  <si>
    <t>La organización debe deshabilitar las funciones innecesarias de un sistema. (hardening de sistemas)</t>
  </si>
  <si>
    <t>REQ.0268</t>
  </si>
  <si>
    <t>El software complementario (drivers, módulos de kernel, etc) debe utilizar firmas digitales emitidas por el fabricante para garantizar su autenticidad.</t>
  </si>
  <si>
    <t>Sistema operativo</t>
  </si>
  <si>
    <t>REQ.0269</t>
  </si>
  <si>
    <t>Los privilegios para objetos nuevos deben establecerse según el principio de mínimo privilegio (umask).</t>
  </si>
  <si>
    <t>REQ.0270</t>
  </si>
  <si>
    <t>La gestión administrativa del sistema debe realizarse a través de usuarios con privilegios de administración que permitan el registro de tareas a cada individuo.</t>
  </si>
  <si>
    <t>REQ.0271</t>
  </si>
  <si>
    <t>La organización debe restringir el uso de compiladores en sistemas de producción únicamente para las aplicaciones que lo requieran.</t>
  </si>
  <si>
    <t>REQ.0272</t>
  </si>
  <si>
    <t>El sistema debe diferenciar la gestión en modo privilegiado del modo no privilegiado (fondo rojo, prompt rojo).</t>
  </si>
  <si>
    <t>REQ.0273</t>
  </si>
  <si>
    <t>Todas las máquinas en producción deben tener una suite de seguridad no alterable por los usuarios (Antivirus, Antispyware, Host-Firewall, Host-IDS, Host-IPS)</t>
  </si>
  <si>
    <t>REQ.0274</t>
  </si>
  <si>
    <t>Un sistema debe pertenecer únicamente a uno de los ambientes definidos. (Desarrollo, Pruebas - QA, Producción)</t>
  </si>
  <si>
    <t>REQ.0275</t>
  </si>
  <si>
    <t>Las máquinas deben iniciar por defecto directamente por el disco duro. Si se requiere inicio por otro medio (CD, USB, Red) se debe requerir contraseña de administración.</t>
  </si>
  <si>
    <t>REQ.0276</t>
  </si>
  <si>
    <t>Las rutas de carga implícita (variables de sistema como PATH) deben utilizar las rutas de mayor confianza (directorios de sistema operativo) antes de las rutas configurables por el usuario.</t>
  </si>
  <si>
    <t>REQ.0277</t>
  </si>
  <si>
    <t>La información (nombre de producto, versión o configuración) de servicios expuestos no debe ser accesible. (Ej, versiones que se publican al conectarse a un servicio como SSH)</t>
  </si>
  <si>
    <t>REQ.0278</t>
  </si>
  <si>
    <t>La organización debe controlar que la configuración del BIOS en las máquinas sólo pueda pueda ser accesible por personal autorizado.</t>
  </si>
  <si>
    <t>REQ.0279</t>
  </si>
  <si>
    <t>La organización debe controlar que la configuración de inicialización del sistema operativo sólo pueda ser accesible por personal autorizado. (bootloader - sistemas UNIX/Linux, registry en Windows)</t>
  </si>
  <si>
    <t>REQ.0280</t>
  </si>
  <si>
    <t>El proceso del servicio debe tener como raíz un directorio con sólo los archivos necesarios (jaulas).</t>
  </si>
  <si>
    <t>REQ.0281</t>
  </si>
  <si>
    <t>Las variables de entorno del sistema operativo sólo pueden ser modificables por el administrador del sistema.</t>
  </si>
  <si>
    <t>REQ.0282</t>
  </si>
  <si>
    <t>Las funcionalidades de ejecución automática de aplicaciones en medios removibles debe estar deshabilitada. (Deshabilitar autorun)</t>
  </si>
  <si>
    <t>REQ.0283</t>
  </si>
  <si>
    <t>Se debe deshabilitar el acceso directo con usuarios genéricos administrativos (root en sistemas UNIX, Administrator/Administrador en sistemas Windows) de forma remota.</t>
  </si>
  <si>
    <t>REQ.0284</t>
  </si>
  <si>
    <t>Un puerto debe tener un límite máximo de conexiones por IP origen.</t>
  </si>
  <si>
    <t>REQ.0285</t>
  </si>
  <si>
    <t>Las conexiones incompletas, encontradas en los protocolos de transporte orientados a conexión (TCP), deben implicar el menor costo de procesamiento posible. (Ataques de SYNFLOOD)</t>
  </si>
  <si>
    <t>REQ.0286</t>
  </si>
  <si>
    <t>La organización debe definir umbrales del estado normal y anormal de cada recurso del sistema.</t>
  </si>
  <si>
    <t>REQ.0287</t>
  </si>
  <si>
    <t>El sistema operativo debe generar una alerta sobre el estado de un recurso cuando el recurso sobrepase los umbrales definidos.</t>
  </si>
  <si>
    <t>REQ.0288</t>
  </si>
  <si>
    <t>El sistema operativo no debe permitir escribir información en medios extraíbles.</t>
  </si>
  <si>
    <t>REQ.0289</t>
  </si>
  <si>
    <t>Los medios de instalación e imágenes pre-configuradas de sistemas operativos deben estar en un lugar físicamente seguro.</t>
  </si>
  <si>
    <t>REQ.0290</t>
  </si>
  <si>
    <t>La instalación de nuevos sistemas operativos debe partir de una imagen preconfigurada.</t>
  </si>
  <si>
    <t>REQ.0291</t>
  </si>
  <si>
    <t>El tiempo de los sistemas y equipos de la organización debe estar sincronizado con la hora oficial del país.</t>
  </si>
  <si>
    <t>Exactitud</t>
  </si>
  <si>
    <t>REQ.0292</t>
  </si>
  <si>
    <t>El sistema debe autorizar explícitamente los periféricos de entrada (teclado, mouse, etc)</t>
  </si>
  <si>
    <t>REQ.0293</t>
  </si>
  <si>
    <t>El sistema operativo debe usar técnicas para evitar ejecución de código en stack (ASLR, PaX, canaries, deshabilitar bit de ejecución, etc).</t>
  </si>
  <si>
    <t>REQ.0294</t>
  </si>
  <si>
    <t>La organización debe garantizar que los sistemas no tengan instalado software no licenciado o pirata.</t>
  </si>
  <si>
    <t>REQ.0295</t>
  </si>
  <si>
    <t>La organización debe garantizar que los sistemas no tengan archivos ilegales con propiedad intelectual protegida.</t>
  </si>
  <si>
    <t>REQ.0296</t>
  </si>
  <si>
    <t>La organización debe contar con sistema de alarmas de intrusión física.</t>
  </si>
  <si>
    <t>Sistemas de control</t>
  </si>
  <si>
    <t>REQ.0297</t>
  </si>
  <si>
    <t>La organización debe contar con sensores de temperatura y humedad en áreas donde se almacene activos de información físicos o digitales.</t>
  </si>
  <si>
    <t>REQ.0298</t>
  </si>
  <si>
    <t>La organización debe probar el sistema de extinción de incendios mínimo 2 veces al año.</t>
  </si>
  <si>
    <t>REQ.0299</t>
  </si>
  <si>
    <t>La organización debe garantizar que el sistema de extinción de incendios debe ser basado en gases inertes (nunca en polvo químico ni mucho menos en agua).</t>
  </si>
  <si>
    <t>REQ.0300</t>
  </si>
  <si>
    <t>Los datos sensibles de negocio (número de tarjeta de crédito, CVV, etc) deben estar enmascarados.</t>
  </si>
  <si>
    <t>REQ.0301</t>
  </si>
  <si>
    <t>El sistema debe notificar al usuario cuando se realizan modificaciones sobre sus mecanismos de autenticación u otras configuraciones de seguridad.</t>
  </si>
  <si>
    <t>REQ.0302</t>
  </si>
  <si>
    <t>Las dependencias (software de terceros/librerías) deben ser declaradas explicitamente (nombre y versión) en un archivo dentro del código fuente.</t>
  </si>
  <si>
    <t>REQ.0303</t>
  </si>
  <si>
    <t>El despliegue de las aplicaciones debe hacerse en tiendas virtuales (marketplace) oficiales y confiables.</t>
  </si>
  <si>
    <t>REQ.0304</t>
  </si>
  <si>
    <t>La publicación de las aplicaciones en las tiendas virtuales, debe hacerse con el nombre oficial definido por la organización para este propósito</t>
  </si>
  <si>
    <t>REQ.0305</t>
  </si>
  <si>
    <t>Los sistemas relacionados con tarjeta de crédito deben hacer uso de tokenización en vez de almacenar los datos de la tarjeta</t>
  </si>
  <si>
    <t>REQ.0306</t>
  </si>
  <si>
    <t>No se deben usar mensajes de texto (SMS, MMS) para el envío de información confidencial desde la aplicación.</t>
  </si>
  <si>
    <t>REQ.0307</t>
  </si>
  <si>
    <t>El contrato de adquisición de una solución o servicio debe contar con clausulas de confidencialidad</t>
  </si>
  <si>
    <t>REQ.0308</t>
  </si>
  <si>
    <t>El contrato de un servicio debe contar con clausulas de responsabilidad ante eventos de seguridad o fraude</t>
  </si>
  <si>
    <t>REQ.0309</t>
  </si>
  <si>
    <t>Los desarrollos que se realicen a través de terceros deben estar amparados por requisitos contractuales de propiedad del código, propiedad intelectual, auditoria de calidad y pruebas antes de la implantación para detectar código malicioso.</t>
  </si>
  <si>
    <t>RIGUROSIDAD</t>
  </si>
  <si>
    <t>Req. Sí</t>
  </si>
  <si>
    <t>Req. No</t>
  </si>
  <si>
    <t>Rigurosidad del Perfilamiento</t>
  </si>
  <si>
    <t>Rigurosidad de la Prueba (Planeada)</t>
  </si>
  <si>
    <t>Rigurosidad Efectiva</t>
  </si>
  <si>
    <t>Hallazgos</t>
  </si>
  <si>
    <t>#</t>
  </si>
  <si>
    <t>Título</t>
  </si>
  <si>
    <t>Debilidad</t>
  </si>
  <si>
    <t>Dónde</t>
  </si>
  <si>
    <t>Donde Registros Comprometidos</t>
  </si>
  <si>
    <t>Requisitos</t>
  </si>
  <si>
    <t>Métricas CVSSv3</t>
  </si>
  <si>
    <t>Criticidad</t>
  </si>
  <si>
    <t>Vulnerabilidades</t>
  </si>
  <si>
    <t>Cantidad de Registros afectados</t>
  </si>
  <si>
    <t>Evidencia</t>
  </si>
  <si>
    <t>Solución efectos</t>
  </si>
  <si>
    <t>Instructivo de Solución</t>
  </si>
  <si>
    <t>REQ.XXXX</t>
  </si>
  <si>
    <t>Vulnerabilidad 1</t>
  </si>
  <si>
    <t>Red</t>
  </si>
  <si>
    <t>URL KB</t>
  </si>
  <si>
    <t>.*(xxxx|yyyy)</t>
  </si>
  <si>
    <t>Alta</t>
  </si>
  <si>
    <t>Ninguno</t>
  </si>
  <si>
    <t>Ninguna</t>
  </si>
  <si>
    <t>Cambió</t>
  </si>
  <si>
    <t>Alto</t>
  </si>
  <si>
    <t>Inexistente</t>
  </si>
  <si>
    <t>Confirmado</t>
  </si>
  <si>
    <t>Vulnerabilidad 3</t>
  </si>
  <si>
    <t>Vulnerabilidad 4</t>
  </si>
  <si>
    <t>Vulnerabilidad 5</t>
  </si>
  <si>
    <t>Vulnerabilidad 6</t>
  </si>
  <si>
    <t>Vulnerabilidad 7</t>
  </si>
  <si>
    <t>Vulnerabilidad 8</t>
  </si>
  <si>
    <t>Vulnerabilidad 9</t>
  </si>
  <si>
    <t>Vulnerabilidad 10</t>
  </si>
  <si>
    <t>Vulnerabilidad 11</t>
  </si>
  <si>
    <t>Vulnerabilidad 12</t>
  </si>
  <si>
    <t>Vulnerabilidad 13</t>
  </si>
  <si>
    <t>Vulnerabilidad 14</t>
  </si>
  <si>
    <t>Vulnerabilidad 15</t>
  </si>
  <si>
    <t>Vulnerabilidad 16</t>
  </si>
  <si>
    <t>Vulnerabilidad 17</t>
  </si>
  <si>
    <t>Vulnerabilidad 18</t>
  </si>
  <si>
    <t>Vulnerabilidad 19</t>
  </si>
  <si>
    <t>Vulnerabilidad 20</t>
  </si>
  <si>
    <t>Vulnerabilidad 21</t>
  </si>
  <si>
    <t>Vulnerabilidad 22</t>
  </si>
  <si>
    <t>Vulnerabilidad 23</t>
  </si>
  <si>
    <t>Vulnerabilidad 24</t>
  </si>
  <si>
    <t>Vulnerabilidad 25</t>
  </si>
  <si>
    <t>Vulnerabilidad 26</t>
  </si>
  <si>
    <t>Vulnerabilidad 27</t>
  </si>
  <si>
    <t>Vulnerabilidad 28</t>
  </si>
  <si>
    <t>Vulnerabilidad 29</t>
  </si>
  <si>
    <t>Vulnerabilidad 30</t>
  </si>
  <si>
    <t>Vulnerabilidad 31</t>
  </si>
  <si>
    <t>Vulnerabilidad 32</t>
  </si>
  <si>
    <t>Vulnerabilidad 33</t>
  </si>
  <si>
    <t>Vulnerabilidad 34</t>
  </si>
  <si>
    <t>Vulnerabilidad 35</t>
  </si>
  <si>
    <t>Vulnerabilidad 36</t>
  </si>
  <si>
    <t>Vulnerabilidad 37</t>
  </si>
  <si>
    <t>Vulnerabilidad 38</t>
  </si>
  <si>
    <t>Vulnerabilidad 39</t>
  </si>
  <si>
    <t>Vulnerabilidad 40</t>
  </si>
  <si>
    <t>Vulnerabilidad 41</t>
  </si>
  <si>
    <t>Vulnerabilidad 42</t>
  </si>
  <si>
    <t>Vulnerabilidad 43</t>
  </si>
  <si>
    <t>Vulnerabilidad 44</t>
  </si>
  <si>
    <t>Vulnerabilidad 45</t>
  </si>
  <si>
    <t>Vulnerabilidad 46</t>
  </si>
  <si>
    <t>Vulnerabilidad 47</t>
  </si>
  <si>
    <t>Vulnerabilidad 48</t>
  </si>
  <si>
    <t>Vulnerabilidad 49</t>
  </si>
  <si>
    <t>Vulnerabilidad 50</t>
  </si>
  <si>
    <t>Criterio de Seguridad Bancolombia</t>
  </si>
  <si>
    <t>Código</t>
  </si>
  <si>
    <t>Activo de información</t>
  </si>
  <si>
    <t>Alineación</t>
  </si>
  <si>
    <t>El mecanismo de administración de un sistema, debe ser accesible solo desde segmentos de red de gestión o administrativos.</t>
  </si>
  <si>
    <t>Los activos de información del sistema deben estar identificados.</t>
  </si>
  <si>
    <t>Cada activo de información debe estar asociado como mínimo a un propietario.</t>
  </si>
  <si>
    <t>Los sistemas que interactúen con un activo de información deben tener identificadas las  vulnerabilidades que apliquen  sobre ellos y que sean conocidas.</t>
  </si>
  <si>
    <t>El criterio de seguridad de la organización debe incluir los requisitos legales que aplican sobre la seguridad de la información.</t>
  </si>
  <si>
    <t>Criterio de seguridad</t>
  </si>
  <si>
    <t>El sistema no debe desplegar archivos temporales al ambiente de producción.</t>
  </si>
  <si>
    <t>El sistema no debe incluir nombres de directorios o rutas de archivos en parámetros.</t>
  </si>
  <si>
    <t>El proceso de autenticación debe implementar restricciones adicionales en el escenario de credenciales erróneas.</t>
  </si>
  <si>
    <t>El sistema solo debe aceptar  archivos cuyo formato (estructura) sea requerido por la operativa del negocio.</t>
  </si>
  <si>
    <t>El sistema de autenticación debe tener un retraso incremental de 5 segundos cuando se ingresen credenciales de autenticación erróneas, hasta llegar a un máximo de 30 segundos.</t>
  </si>
  <si>
    <t>El sistema debe bloquear una cuenta de un usuario después de varios intentos de autenticación fallidos.</t>
  </si>
  <si>
    <t>El sistema debe notificar a cualquier actor que intenta autenticarse, que el acceso en el mismo sistema solo está disponible para usuarios autorizados.</t>
  </si>
  <si>
    <t>El sistema debe solicitar como mínimo un nombre de usuario y una contraseña a cualquier actor que intenta autenticarse.</t>
  </si>
  <si>
    <t>Un sistema con información crítica para el negocio debe requerir claves de un solo uso en el proceso de autenticación.</t>
  </si>
  <si>
    <t>El sistema debe notificar al usuario el vencimiento de su contraseña con una antelación de 14 días.</t>
  </si>
  <si>
    <t>Contraseñas</t>
  </si>
  <si>
    <t>El sistema no debe imprimir las credenciales personales (usuario y contraseña) en pantalla, bajo ninguna circunstancia.</t>
  </si>
  <si>
    <t>Un sistema con información crítica para el negocio debe requerir la autenticación de 2 o más usuarios.</t>
  </si>
  <si>
    <t>Debe validarse que el sujeto que realiza las acciones de registro, autenticación y restablecimiento de contraseña es un humano.</t>
  </si>
  <si>
    <t>El sistema debe permitir la opción de deshabilitar cuentas de usuarios a un superusuario o  administrador del sistema.</t>
  </si>
  <si>
    <t>El sistema debe requerir autenticación para todos los recursos, excepto para aquellos específicamente clasificados como públicos.</t>
  </si>
  <si>
    <t>Recursos del sistema</t>
  </si>
  <si>
    <t>Los privilegios para objetos nuevos deben establecerse según el principio de mínimo privilegio (umask)</t>
  </si>
  <si>
    <t>El sistema debe restringir el acceso a objetos del sistema que tengan contenido sensible y sólo permitir acceso a usuarios autorizados.</t>
  </si>
  <si>
    <t>El sistema debe restringir el acceso a funciones del sistema que ejecutan procesos críticos de negocio. Solo permitirá acceso a usuarios autorizados.</t>
  </si>
  <si>
    <t>Funciones del sistema</t>
  </si>
  <si>
    <t>El sistema debe registrar todos los eventos excepcionales y de seguridad en una o varias bitácoras.</t>
  </si>
  <si>
    <t>La organización debe almacenar las bitácoras durante el tiempo establecido por los requisitos específicos.</t>
  </si>
  <si>
    <t>El código fuente de un sistema no debe realizar funciones diferentes a las que han sido especificadas en los requisitos funcionales.</t>
  </si>
  <si>
    <t>El código debe definir opciones seguras por defecto (ej: default en switches).</t>
  </si>
  <si>
    <t>Los archivos generados de forma dinámica por el sistema, deben tener definido un Content-Type explícito.</t>
  </si>
  <si>
    <t>El sistema debe comprimir todo código que vaya a ser transferido entre sistemas o cliente.</t>
  </si>
  <si>
    <t>El código fuente debe estar implementado de tal forma que cierre los recursos que se abiertos que no estén en uso utilizando.</t>
  </si>
  <si>
    <t>El código fuente debe estar implementado de tal forma que todas la variables del código deben tener asociado un tipo de dato.</t>
  </si>
  <si>
    <t>Sistema crítico</t>
  </si>
  <si>
    <t>El cliente de correo electrónico corporativo no debe mostrar imágenes.</t>
  </si>
  <si>
    <t>El cliente de correo electrónico corporativo no debe interpretar código HTML.</t>
  </si>
  <si>
    <t>Se debe hacer uso del campo copia oculta en lugar de destinatario para enviar correos masivos.</t>
  </si>
  <si>
    <t>El sistema no debe permitir cambio de contraseña para un usuario, si la nueva contraseña es igual a una de las últimas 12 contraseñas de ese usuario.</t>
  </si>
  <si>
    <t>Las contraseñas deben tener una validez máxima de 60 días.</t>
  </si>
  <si>
    <t>Las contraseñas deben tener una validez mínima de 1 día.</t>
  </si>
  <si>
    <t>Las contraseñas (tipo palabra) deben tener al menos 8 caracteres de longitud.</t>
  </si>
  <si>
    <t>Las contraseñas (tipo palabra) deben tener al menos 1 letra minúscula.</t>
  </si>
  <si>
    <t>Las contraseñas (tipo palabra) deben tener al menos 1 letra mayúscula.</t>
  </si>
  <si>
    <t>Las contraseñas (tipo palabra) deben tener al menos 1 dígito numérico.</t>
  </si>
  <si>
    <t>Las contraseñas (tipo palabra) deben tener al menos 1 carácter especial.</t>
  </si>
  <si>
    <t>Las contraseñas por defecto de los sistemas pre-construidos deben ser eliminadas, modificadas o inactivadas.</t>
  </si>
  <si>
    <t>Las derivaciones de clave (Salt), deben ser aleatorias y de 48 bits como mínimo.</t>
  </si>
  <si>
    <t>El sistema debe tener la capacidad de validar que las contraseñas no contengan palabras de diccionario.</t>
  </si>
  <si>
    <t>Las contraseñas temporales que son generadas para ingreso inicial en un sistema deben tener una validez máxima de 24 horas.</t>
  </si>
  <si>
    <t>Las claves de un solo uso deben tener una longitud mínima de 6 caracteres.</t>
  </si>
  <si>
    <t>Las claves de un solo uso deben tener un validez máxima de 60 segundos.</t>
  </si>
  <si>
    <t>El sistema debe forzar a un usuario a realizar nuevamente el proceso de autenticación en el sistema una vez haya realizado  cambio o restauración de  contraseña.</t>
  </si>
  <si>
    <t>Las funciones de criptografía del sistema deben ser implementadas con mecanismos criptográficos aceptados por el medio y avalados por Bancolombia.</t>
  </si>
  <si>
    <t>La organización no debe utilizar certificados con periodo de vencimiento no mayor a 2 años siempre y cuando la longitud de llave sea mínimo de 2048 bits.</t>
  </si>
  <si>
    <t>Debe utilizarse certificados firmados por entidades certificadoras internas válidas cuando sean para aplicaciones internas.</t>
  </si>
  <si>
    <t>Debe utilizarse certificados firmados por entidades certificadoras externas válidas cuando sean para aplicaciones externas.</t>
  </si>
  <si>
    <t>Debe utilizarse certificados con una identificación coherente con la entidad (servicio, servidor, entre otros) a la cual se encuentra asociado.</t>
  </si>
  <si>
    <t>Debe utilizarse como mecanismo de cifrado simétrico un tamaño de clave mínimo de 128 bits para AES o 192 bits para 3DES.</t>
  </si>
  <si>
    <t>Debe utilizarse funciones resumen (hash) con un tamaño mínimo de 256 bits.</t>
  </si>
  <si>
    <t>Los respaldos de información sensible deben almacenarse cifrados.</t>
  </si>
  <si>
    <t>Respaldos</t>
  </si>
  <si>
    <t>Los datos de respaldos deben almacenarse fuera del sitio origen.</t>
  </si>
  <si>
    <t>Los datos de respaldos deben realizarse según la frecuencia definida en el diseño del sistema.</t>
  </si>
  <si>
    <t>Los datos confidenciales que sean trasladados a ambientes diferentes de producción deben ir enmascarados.</t>
  </si>
  <si>
    <t>La información sensible debe ser transportada a través de un canal seguro.</t>
  </si>
  <si>
    <t>Los componentes de un sistema que son suministrados por terceros deben corresponder a versiones estables, probadas y actualizadas.</t>
  </si>
  <si>
    <t>Componentes externos</t>
  </si>
  <si>
    <t>La organización debe inspeccionar minuciosamente el código de terceras partes para asegurar que no se encuentre afectado por código malicioso.</t>
  </si>
  <si>
    <t>La organización debe definir los ambientes en los cuales se configurarán las versiones del sistema. Como mínimo ambientes de Desarrollo, Pruebas y Producción.</t>
  </si>
  <si>
    <t>Los roles técnicos que accederán al sistema deben estar definidos.</t>
  </si>
  <si>
    <t>Los privilegios que requieren los roles técnicos deben estar definidos.</t>
  </si>
  <si>
    <t>La organización debe identificar y documentar los casos de abuso que aplican en el sistema.</t>
  </si>
  <si>
    <t>Los casos de abuso del sistema deben estar relacionados entre sí.</t>
  </si>
  <si>
    <t>Todo caso de seguridad debe estar relacionado como mínimo a un caso de abuso.</t>
  </si>
  <si>
    <t>Todo caso de abuso debe debe estar relacionado como mínimo a un caso de uso o a un escenario de amenaza.</t>
  </si>
  <si>
    <t xml:space="preserve">Los eventos de seguridad del sistema deben estar documentados en los casos de uso
</t>
  </si>
  <si>
    <t>Dispositivos de hardware</t>
  </si>
  <si>
    <t>El dispositivo debe impedir que el ingreso de información pueda ser observado por un tercero.</t>
  </si>
  <si>
    <t>Los puntos de acceso a la red deben estar ubicados en lugares que permitan que la señal se propague solo en las instalaciones autorizadas.</t>
  </si>
  <si>
    <t>La administración remota del punto de acceso inalámbrico debe estar habilitada solo en un puerto físico de gestión.</t>
  </si>
  <si>
    <t>Las redes inalámbricas privadas deben filtrar el acceso por medio de credenciales de usuario y de dirección MAC autorizada.</t>
  </si>
  <si>
    <t>REQ.0165</t>
  </si>
  <si>
    <t>Los dispositivos GSM deben tener configurado un número de identificación personal (PIN) en la SIM Card.</t>
  </si>
  <si>
    <t>La organización debe asegurar que el sistema bluetooth de los dispositivos móviles se encuentre siempre en estado apagado.</t>
  </si>
  <si>
    <t>La conexión a redes desde el dispositivo debe realizarse por interacción humana.</t>
  </si>
  <si>
    <t>Los dispositivos móviles deben configurarse de forma centralizada según las políticas de seguridad definidas por la organización.</t>
  </si>
  <si>
    <t>Las interfaces de red de los dispositivos móviles deben estar apagadas por defecto.</t>
  </si>
  <si>
    <t>La organización debe definir y documentar un procedimiento para tratar los errores de seguridad.</t>
  </si>
  <si>
    <t>La organización debe definir y documentar un procedimiento para la administración de cuentas de usuario (Creación , modificación, eliminación, activación, desactivación y asignación de privilegios)</t>
  </si>
  <si>
    <t>En las redes sociales no se debe exponer información corporativa.</t>
  </si>
  <si>
    <t>Los segmentos de usuarios y servidores con aplicaciones o contenido deben permitir acceso solo a los puertos necesarios.</t>
  </si>
  <si>
    <t>Los servidores con aplicaciones o contenido solo deben tener acceso a los puertos que les permitan cumplir su propósito.</t>
  </si>
  <si>
    <t>El acceso físico a la red para los usuarios debe asignarse con base en las credenciales del usuario en la organización (ej: 802.1x).</t>
  </si>
  <si>
    <t>La organización debe filtrar el contenido de sitios web accedidos en internet.</t>
  </si>
  <si>
    <t>La red relacionada con el requerimiento debe estar segmentada.</t>
  </si>
  <si>
    <t>La organización debe deshabilitar las funciones inseguras de un servicio.</t>
  </si>
  <si>
    <t>Servicios</t>
  </si>
  <si>
    <t>La organización debe deshabilitar las funciones innecesarias de un servicio.</t>
  </si>
  <si>
    <t>El sistema debe cerrar una sesión si se presenta inactividad superior o igual a 5 minutos por parte del usuario.</t>
  </si>
  <si>
    <t>Si el sistema usa la transferencia de información entre páginas, debe realizarse a través de objetos de sesión.</t>
  </si>
  <si>
    <t>El número de sesiones simultáneas que un usuario puede tener en un sistema depende de las funciones que este realice.</t>
  </si>
  <si>
    <t>El estado de la sesión en aplicaciones web del lado del cliente, debe estar cifrada y con protección de integridad.</t>
  </si>
  <si>
    <t>El sistema debe proporcionar al usuario la capacidad de bloquear la sesión de forma manual desde cualquier página protegida por autenticación.</t>
  </si>
  <si>
    <t>El sistema debe proporcionar al usuario la capacidad de cerrar la sesión de forma manual.</t>
  </si>
  <si>
    <t>El sistema debe permitir a los usuarios autorizados la consulta del historial de sesiones establecidas por ellos.</t>
  </si>
  <si>
    <t>Las cookies de sesión del sistema deben tener el atributo HttpOnly.</t>
  </si>
  <si>
    <t>Se debe limitar la forma en la que un objeto puede ser reutilizado para propósito de hacerse pasar por alguien (impersonate) sin pasar por el proceso de autenticación (ej: tokens de sesión, claves o números de un solo uso, marcado de tiempo sobre mensajes)</t>
  </si>
  <si>
    <t>La gestión administrativa del sistema debe realizarse a través de intermediarios privilegiados que permitan la contabilidad a cada individuo.</t>
  </si>
  <si>
    <t>El sistema debe verificar y reportar periódicamente el estado de la integridad de los archivos del sistema.</t>
  </si>
  <si>
    <t>Un sistema debe pertenecer únicamente a uno de los ambientes definidos.</t>
  </si>
  <si>
    <t>La secuencia de inicio siempre debe preferir los medios de almacenamiento de mayor confianza.</t>
  </si>
  <si>
    <t>Las rutas de carga implícita deben preferir las rutas de mayor confianza.</t>
  </si>
  <si>
    <t>El sistema debe controlar que la información del producto solo pueda ser accesible por los administradores del sistema.</t>
  </si>
  <si>
    <t>La organización debe controlar que la configuración del BIOS en las máquinas solo pueda pueda ser accesible por personal autorizado.</t>
  </si>
  <si>
    <t>La organización debe controlar que la configuración del gestor de arranque en las máquinas solo pueda ser accesible por personal autorizado.</t>
  </si>
  <si>
    <t>Las variables de entorno del sistema operativo solo pueden ser modificables por el administrador del sistema.</t>
  </si>
  <si>
    <t>El sistema deberá ejecutarse únicamente cuando un usuario ejecute una acción explícita.</t>
  </si>
  <si>
    <t>Las credenciales del administrador solo debe poder usarse mediante una sesión de consola física (noroot).</t>
  </si>
  <si>
    <t>Las conexiones incompletas, encontradas en los protocolos de transporte orientados a conexión, deben implicar el menor costo de procesamiento posible.</t>
  </si>
  <si>
    <t>El sistema operativo debe generar una alerta sobre el estado de un recurso cuando este sobrepase los umbrales definidos.</t>
  </si>
  <si>
    <t>El sistema operativo debe poseer la capacidad para el cifrado de discos y particiones de disco.</t>
  </si>
  <si>
    <t>Se debe restringir la copia de información en medios extraíbles.</t>
  </si>
  <si>
    <t>La instalación de nuevos sistemas operativos debe partir de una imagen pre-configurada.</t>
  </si>
  <si>
    <t>El tercero debe permitir auditorías de cliente en el alcance relacionado.</t>
  </si>
  <si>
    <t>El tiempo del sistema debe estar sincronizado con el tiempo oficial del país.</t>
  </si>
  <si>
    <t>El tiempo del sistema debe estar sincronizado con el tiempo de los demás sistemas de la organización.</t>
  </si>
  <si>
    <t>El sistema debe garantizar la unicidad de los correos electrónicos.</t>
  </si>
  <si>
    <t>El sistema debe garantizar que la visualización de correos electrónicos expuestos sean vistos por humanos.</t>
  </si>
  <si>
    <t>La aplicación debe garantizar que las peticiones que reciba a recursos no sigan un patrón discernible.</t>
  </si>
  <si>
    <t>El sistema debe usar los datos personales solo para el propósito indicado. (OECD.10, ISACA.G31.4.)</t>
  </si>
  <si>
    <t>ALINEACIÓN</t>
  </si>
  <si>
    <t>TOTAL</t>
  </si>
  <si>
    <t>En diseño y perfil [DP]</t>
  </si>
  <si>
    <t>Solo en perfil [SP]</t>
  </si>
  <si>
    <t>Solo en diseño [SD]</t>
  </si>
  <si>
    <t>%</t>
  </si>
  <si>
    <t>Constantes</t>
  </si>
  <si>
    <t>Subir imagen</t>
  </si>
  <si>
    <t>Transparencia</t>
  </si>
  <si>
    <t>#FFFFFF</t>
  </si>
  <si>
    <t>Encabezado</t>
  </si>
  <si>
    <t>FilasPorSit</t>
  </si>
  <si>
    <t>Cardinalidad X</t>
  </si>
  <si>
    <t>Impacto</t>
  </si>
  <si>
    <t>Probabilidad</t>
  </si>
  <si>
    <t>Nombre</t>
  </si>
  <si>
    <t>Cardinalidad</t>
  </si>
  <si>
    <t>.</t>
  </si>
  <si>
    <t>Referencia</t>
  </si>
  <si>
    <t>Situación</t>
  </si>
  <si>
    <t>Fila</t>
  </si>
  <si>
    <t>Situaciones</t>
  </si>
  <si>
    <t>Cantidad</t>
  </si>
  <si>
    <t>Altas</t>
  </si>
  <si>
    <t>Medias</t>
  </si>
  <si>
    <t>Bajas</t>
  </si>
  <si>
    <t>Alcance (Característica)</t>
  </si>
  <si>
    <t>IMPACTOS</t>
  </si>
  <si>
    <t>MaxCri</t>
  </si>
  <si>
    <t>Rojo</t>
  </si>
  <si>
    <t>Naranja</t>
  </si>
  <si>
    <t>Amarillo</t>
  </si>
  <si>
    <t>CriterioFluid</t>
  </si>
  <si>
    <t>REQ.0002 Los activos de información del sistema deben estar identificados.</t>
  </si>
  <si>
    <t>REQ.0050 Los eventos con severidad de depuración no deben estar habilitados en producción.</t>
  </si>
  <si>
    <t>REQ.0250 La aplicación debe garantizar que las peticiones que reciba a recursos no sigan un patrón discernible.</t>
  </si>
  <si>
    <t>REQ.0040 El sistema debe requerir autenticación para todos los recursos, excepto para aquellos específicamente clasificados como públicos.</t>
  </si>
  <si>
    <t>Activos de Información</t>
  </si>
  <si>
    <t>Hoja de referencia para el cálculo de criticidad</t>
  </si>
  <si>
    <t>Métrica</t>
  </si>
  <si>
    <t>Vector</t>
  </si>
  <si>
    <t>Opciones</t>
  </si>
  <si>
    <t>AV</t>
  </si>
  <si>
    <t>Local</t>
  </si>
  <si>
    <t>Red adyacente</t>
  </si>
  <si>
    <t>AC</t>
  </si>
  <si>
    <t>Baja</t>
  </si>
  <si>
    <t>Impacto a la confidencialidad:</t>
  </si>
  <si>
    <t>C</t>
  </si>
  <si>
    <t>Impacto a la integridad:</t>
  </si>
  <si>
    <t>I</t>
  </si>
  <si>
    <t>Impacto a la disponibilidad:</t>
  </si>
  <si>
    <t>A</t>
  </si>
  <si>
    <t>Explotabilidad:</t>
  </si>
  <si>
    <t>E</t>
  </si>
  <si>
    <t>Funcional</t>
  </si>
  <si>
    <t>Nivel de resolución:</t>
  </si>
  <si>
    <t>RL</t>
  </si>
  <si>
    <t>Oficial</t>
  </si>
  <si>
    <t>Temporal</t>
  </si>
  <si>
    <t>Paliativa</t>
  </si>
  <si>
    <t>RC</t>
  </si>
  <si>
    <t>Exploitability</t>
  </si>
  <si>
    <t>Remediation Level</t>
  </si>
  <si>
    <t>Report Confidence</t>
  </si>
  <si>
    <t>L</t>
  </si>
  <si>
    <t>N</t>
  </si>
  <si>
    <t>H</t>
  </si>
  <si>
    <t>S</t>
  </si>
  <si>
    <t>P</t>
  </si>
  <si>
    <t>U</t>
  </si>
  <si>
    <t>F</t>
  </si>
  <si>
    <t>T</t>
  </si>
  <si>
    <t>W</t>
  </si>
  <si>
    <t>Línea de negocio</t>
  </si>
  <si>
    <t>Dominio</t>
  </si>
  <si>
    <t>Subdominio</t>
  </si>
  <si>
    <t>Tipo de prueba</t>
  </si>
  <si>
    <t>Gerencia responsable</t>
  </si>
  <si>
    <t>Detectado en ciclo</t>
  </si>
  <si>
    <t>Escenario</t>
  </si>
  <si>
    <t>Ámbito</t>
  </si>
  <si>
    <t>Categorias Bancolombia</t>
  </si>
  <si>
    <t>Tipo de reporte</t>
  </si>
  <si>
    <t>Severidad</t>
  </si>
  <si>
    <t>Estado</t>
  </si>
  <si>
    <t>Naturaleza</t>
  </si>
  <si>
    <t>Mes</t>
  </si>
  <si>
    <t>Proveedor</t>
  </si>
  <si>
    <t>Responsable en PE</t>
  </si>
  <si>
    <t>Fábrica</t>
  </si>
  <si>
    <t>Banca Inversión</t>
  </si>
  <si>
    <t>Aplicaciones Corporativas</t>
  </si>
  <si>
    <t>A distancia</t>
  </si>
  <si>
    <t>Aplicación</t>
  </si>
  <si>
    <t>Gcia Dllo Canales</t>
  </si>
  <si>
    <t>Búsqueda</t>
  </si>
  <si>
    <t>Anónimo desde internet</t>
  </si>
  <si>
    <t>Aplicaciones</t>
  </si>
  <si>
    <t>Actualizar y configurar las líneas base de seguridad de los componentes</t>
  </si>
  <si>
    <t>Error</t>
  </si>
  <si>
    <t>25% Difícil de vulnerar</t>
  </si>
  <si>
    <t>Abierta</t>
  </si>
  <si>
    <t>Ambiente</t>
  </si>
  <si>
    <t>Enero</t>
  </si>
  <si>
    <t>ABITS</t>
  </si>
  <si>
    <t>cesospin</t>
  </si>
  <si>
    <t>Fluid</t>
  </si>
  <si>
    <t>Bancolombia</t>
  </si>
  <si>
    <t>Integración y BPM</t>
  </si>
  <si>
    <t>Analítica y Minería</t>
  </si>
  <si>
    <t>Gcia Dllo Aplicaciones Corp</t>
  </si>
  <si>
    <t>Cierre 1</t>
  </si>
  <si>
    <t>Anónimo desde intranet</t>
  </si>
  <si>
    <t>Bases de Datos</t>
  </si>
  <si>
    <t>Definir el modelo de autorización considerando el principio de mínimo privilegio</t>
  </si>
  <si>
    <t>Hallazgo</t>
  </si>
  <si>
    <t>50% Posible de vulnerar</t>
  </si>
  <si>
    <t>Corregida</t>
  </si>
  <si>
    <t>Conocimiento</t>
  </si>
  <si>
    <t>Febrero</t>
  </si>
  <si>
    <t>ACCENTURE</t>
  </si>
  <si>
    <t>jucuarta</t>
  </si>
  <si>
    <t>Factoring</t>
  </si>
  <si>
    <t>Mercado de Capitales</t>
  </si>
  <si>
    <t>Aplicaciones TI</t>
  </si>
  <si>
    <t>Escaneo(Infraestructura)</t>
  </si>
  <si>
    <t>Gcia Dllo de Clientes y ERP</t>
  </si>
  <si>
    <t>Cierre 2</t>
  </si>
  <si>
    <t>Escaneo de Infraestructura</t>
  </si>
  <si>
    <t>Desempeño</t>
  </si>
  <si>
    <t>Sugerencia</t>
  </si>
  <si>
    <t>75% Fácil de vulnerar</t>
  </si>
  <si>
    <t>Entregada a Metricas</t>
  </si>
  <si>
    <t>Marzo</t>
  </si>
  <si>
    <t>ACCENTURE - SOFTWARE</t>
  </si>
  <si>
    <t>lueospin</t>
  </si>
  <si>
    <t>Fiduciaria</t>
  </si>
  <si>
    <t>Negocios del activo</t>
  </si>
  <si>
    <t>Banca Electrónica</t>
  </si>
  <si>
    <t>Evidencia de Seguridad</t>
  </si>
  <si>
    <t>Gcia Dllo Medios de Pago</t>
  </si>
  <si>
    <t>Cierre 3</t>
  </si>
  <si>
    <t>Eventualidad</t>
  </si>
  <si>
    <t>Infraestructura</t>
  </si>
  <si>
    <t>100% Vulnerado Anteriormente</t>
  </si>
  <si>
    <t>ERO</t>
  </si>
  <si>
    <t>Desarrollo</t>
  </si>
  <si>
    <t>Abril</t>
  </si>
  <si>
    <t>ACCION FIDUCIARIA</t>
  </si>
  <si>
    <t>jodperez</t>
  </si>
  <si>
    <t>Leasing</t>
  </si>
  <si>
    <t>Canales CORE</t>
  </si>
  <si>
    <t>Gcia Dllo Mercado de Capitales</t>
  </si>
  <si>
    <t>Cierre 4</t>
  </si>
  <si>
    <t>Extranet asuario no autorizado</t>
  </si>
  <si>
    <t>protección de Servicios de Integración</t>
  </si>
  <si>
    <t>Evitar exponer la información técnica de la aplicación, servidores y plataformas</t>
  </si>
  <si>
    <t>Mayo</t>
  </si>
  <si>
    <t>ALCUADRADO</t>
  </si>
  <si>
    <t>fhidalgo</t>
  </si>
  <si>
    <t>MIami</t>
  </si>
  <si>
    <t>Negocios del pasivo y especializados</t>
  </si>
  <si>
    <t>Cartera Comercial y de Consumo</t>
  </si>
  <si>
    <t>Desarrollo Negocios del Activo</t>
  </si>
  <si>
    <t>Extranet usuario autorizado</t>
  </si>
  <si>
    <t>Excluir datos sensibles del código fuente y del registro de eventos</t>
  </si>
  <si>
    <t>Observación</t>
  </si>
  <si>
    <t>Documentación</t>
  </si>
  <si>
    <t>Junio</t>
  </si>
  <si>
    <t>ALFA GL</t>
  </si>
  <si>
    <t>ejmarin</t>
  </si>
  <si>
    <t>Panamá</t>
  </si>
  <si>
    <t>Canales</t>
  </si>
  <si>
    <t>Clientes CRM</t>
  </si>
  <si>
    <t>Gcia Dllo Negocios del pasivo</t>
  </si>
  <si>
    <t>Internet usuario autorizado</t>
  </si>
  <si>
    <t>Fortalecer controles en autenticación y manejo de sesión</t>
  </si>
  <si>
    <t>Ejecución</t>
  </si>
  <si>
    <t>Julio</t>
  </si>
  <si>
    <t>ALLIANCE ENTERPRISE</t>
  </si>
  <si>
    <t>jcgalleg</t>
  </si>
  <si>
    <t>Puerto Rico</t>
  </si>
  <si>
    <t>Servicios de Información</t>
  </si>
  <si>
    <t>Clientes Legados</t>
  </si>
  <si>
    <t>Gcia Dllo Servicios de Información</t>
  </si>
  <si>
    <t>Internet usuario no autorizado</t>
  </si>
  <si>
    <t>Fortalecer controles en el procesamiento de archivos</t>
  </si>
  <si>
    <t>Hardware</t>
  </si>
  <si>
    <t>Agosto</t>
  </si>
  <si>
    <t>AMAZING GLOBAL TECNOLOGIES</t>
  </si>
  <si>
    <t>jucaross</t>
  </si>
  <si>
    <t>Sufi</t>
  </si>
  <si>
    <t>Medios de Pago</t>
  </si>
  <si>
    <t>Comercio Exterior</t>
  </si>
  <si>
    <t>Gcia Dllo de Integración BPM</t>
  </si>
  <si>
    <t>Intranet usuario autorizado</t>
  </si>
  <si>
    <t>Fortalecer la protección de datos almacenados relacionados con contraseñas o llaves criptográficas</t>
  </si>
  <si>
    <t>Instalación</t>
  </si>
  <si>
    <t>Septiembre</t>
  </si>
  <si>
    <t>APLICACIONES LTDA</t>
  </si>
  <si>
    <t>djcatano</t>
  </si>
  <si>
    <t>Valores Bancolombia</t>
  </si>
  <si>
    <t>Corretaje y APT</t>
  </si>
  <si>
    <t>Gcia Base de Datos</t>
  </si>
  <si>
    <t>Intranet usuario no autorizado</t>
  </si>
  <si>
    <t>Implementar controles para validar datos de entrada</t>
  </si>
  <si>
    <t>Octubre</t>
  </si>
  <si>
    <t>ASISA LTDA</t>
  </si>
  <si>
    <t>Clientes y ERP</t>
  </si>
  <si>
    <t>Credito Hipotecario</t>
  </si>
  <si>
    <t>Gcia de Plataformas Centrales</t>
  </si>
  <si>
    <t>Parametrización</t>
  </si>
  <si>
    <t>Noviembre</t>
  </si>
  <si>
    <t>ASNET - AS/NET</t>
  </si>
  <si>
    <t>Integración e Informacion</t>
  </si>
  <si>
    <t>Datos Maestros y Operacionales</t>
  </si>
  <si>
    <t>Gcia de Plataformas Distribuidas</t>
  </si>
  <si>
    <t>Registrar eventos para trazabilidad y auditoría</t>
  </si>
  <si>
    <t>Performance</t>
  </si>
  <si>
    <t>Diciembre</t>
  </si>
  <si>
    <t>ASOBANCARIA</t>
  </si>
  <si>
    <t>Gcia de Telecomunicaciones</t>
  </si>
  <si>
    <t>Utilizar protocolos de comunicación seguros</t>
  </si>
  <si>
    <t>ASSENDA</t>
  </si>
  <si>
    <t>Filiales del Exterior</t>
  </si>
  <si>
    <t>Gcia de Diseño e Implementacion</t>
  </si>
  <si>
    <t>Validar la integridad de las transacciones en peticiones HTTP</t>
  </si>
  <si>
    <t>Seguridad</t>
  </si>
  <si>
    <t>ASSIS</t>
  </si>
  <si>
    <t>Financiero y Contabilidad</t>
  </si>
  <si>
    <t>Software</t>
  </si>
  <si>
    <t>AUDIT SOFTWARE</t>
  </si>
  <si>
    <t>Físicos</t>
  </si>
  <si>
    <t>AVANSOFT</t>
  </si>
  <si>
    <t>Herramienta de Integración</t>
  </si>
  <si>
    <t>BANCOLOMBIA</t>
  </si>
  <si>
    <t>Herramientas de Colaboración</t>
  </si>
  <si>
    <t>BANCOLOMBIA - ARQUITECTURA</t>
  </si>
  <si>
    <t>BANCOLOBMIA - CERTIFICACION</t>
  </si>
  <si>
    <t>Internet</t>
  </si>
  <si>
    <t>BANCOLOMBIA - DESARROLLO</t>
  </si>
  <si>
    <t>BANCOLOMBIA - GESTION DEL DESARROLLO PARA EL NEGOCIO</t>
  </si>
  <si>
    <t>MIT</t>
  </si>
  <si>
    <t>BANCOLOMBIA - INFRAESTRUCTURA</t>
  </si>
  <si>
    <t>Negocios Fiduciarios y Fondos de Inversión</t>
  </si>
  <si>
    <t>BANKVISION</t>
  </si>
  <si>
    <t>Pasivos</t>
  </si>
  <si>
    <t>BPR ASOCIADOS</t>
  </si>
  <si>
    <t>Pic y Crédito Hipotecario</t>
  </si>
  <si>
    <t>CA SOFTWARE DE COLOMBIA</t>
  </si>
  <si>
    <t>Riesgos</t>
  </si>
  <si>
    <t>CADENA</t>
  </si>
  <si>
    <t>CERTIFICACION</t>
  </si>
  <si>
    <t>Servicios Administrativos y Gestión Humana</t>
  </si>
  <si>
    <t>CHOUCAIR TESTING</t>
  </si>
  <si>
    <t>Servicios de Canales</t>
  </si>
  <si>
    <t>CM.COM E.U</t>
  </si>
  <si>
    <t>Servicios Integración</t>
  </si>
  <si>
    <t>COMPONENTES ELECTRONICAS LTDA</t>
  </si>
  <si>
    <t>SUFI</t>
  </si>
  <si>
    <t>COMPUHORAS S.A.S</t>
  </si>
  <si>
    <t>Tarjeta de Crédito</t>
  </si>
  <si>
    <t>CYBERTECH COLOMBIA</t>
  </si>
  <si>
    <t>Tarjeta de Débito</t>
  </si>
  <si>
    <t>DATAPRO</t>
  </si>
  <si>
    <t>Tesorería</t>
  </si>
  <si>
    <t>DELOITTE</t>
  </si>
  <si>
    <t>Transversales de SAP</t>
  </si>
  <si>
    <t>DIEBOLD</t>
  </si>
  <si>
    <t>Visualización y Entrega</t>
  </si>
  <si>
    <t>DIGIDATA DE COLOMBIA LTDA</t>
  </si>
  <si>
    <t>E-DEAS</t>
  </si>
  <si>
    <t>ENLACE OPERATIVO</t>
  </si>
  <si>
    <t>EXCELEC</t>
  </si>
  <si>
    <t>FARBIARZ Y ALVAREZ S.A.</t>
  </si>
  <si>
    <t>FINAC</t>
  </si>
  <si>
    <t>FISERV</t>
  </si>
  <si>
    <t>GESTOR INC SA</t>
  </si>
  <si>
    <t>HEINSOHN</t>
  </si>
  <si>
    <t>HEWLETT PACKARD COLOMBIA</t>
  </si>
  <si>
    <t>Honeywell</t>
  </si>
  <si>
    <t>IAS</t>
  </si>
  <si>
    <t>IBM</t>
  </si>
  <si>
    <t>IG SOFTWARE HOUSE S.A.</t>
  </si>
  <si>
    <t>IG WEBSERVICES S.A.</t>
  </si>
  <si>
    <t>INALTEC</t>
  </si>
  <si>
    <t>INFORMACION GERENCIAL</t>
  </si>
  <si>
    <t>INFORMESE LTDA</t>
  </si>
  <si>
    <t>INTENT</t>
  </si>
  <si>
    <t>INTERGRUPO</t>
  </si>
  <si>
    <t>INVAMER</t>
  </si>
  <si>
    <t>ITIS SUPPORT</t>
  </si>
  <si>
    <t>LASC</t>
  </si>
  <si>
    <t>MAKRO POINT</t>
  </si>
  <si>
    <t>MCKINSEY</t>
  </si>
  <si>
    <t>NASE LTDA</t>
  </si>
  <si>
    <t>NCR COLOMBIA LTDA</t>
  </si>
  <si>
    <t>NEXOS</t>
  </si>
  <si>
    <t>OCEAN SYSTEMS</t>
  </si>
  <si>
    <t>OCEANOS AZULES</t>
  </si>
  <si>
    <t>OPENCARD</t>
  </si>
  <si>
    <t>ORACLE</t>
  </si>
  <si>
    <t>PARADIGMA LTDA</t>
  </si>
  <si>
    <t>PARADIGMA SOLUTION</t>
  </si>
  <si>
    <t>PERCEPTIO</t>
  </si>
  <si>
    <t>PERSONAL SOFT</t>
  </si>
  <si>
    <t>PRAGMA</t>
  </si>
  <si>
    <t>PREDISOFT</t>
  </si>
  <si>
    <t>PROCALIDAD LTDA</t>
  </si>
  <si>
    <t>PROCIBERNETICA</t>
  </si>
  <si>
    <t>PSL</t>
  </si>
  <si>
    <t>PTESA</t>
  </si>
  <si>
    <t>SAS</t>
  </si>
  <si>
    <t>SASIF LTDA</t>
  </si>
  <si>
    <t>SERVINFORMACION</t>
  </si>
  <si>
    <t>SISTEMAS CORPORATIVOS S.A.</t>
  </si>
  <si>
    <t>SISTEMAS GYG LTDA</t>
  </si>
  <si>
    <t>SMARTSTREAM</t>
  </si>
  <si>
    <t>SOLATI</t>
  </si>
  <si>
    <t>SQA</t>
  </si>
  <si>
    <t>S-SQUARE</t>
  </si>
  <si>
    <t>TCS - SOFTWARE</t>
  </si>
  <si>
    <t>TCS SOLUTION CENTER</t>
  </si>
  <si>
    <t>THE ENIAC CORPORATION</t>
  </si>
  <si>
    <t>TLM</t>
  </si>
  <si>
    <t>TODO 1 COLOMBIA S.A.</t>
  </si>
  <si>
    <t>TODO 1 SERVICES INC</t>
  </si>
  <si>
    <t>VERTICE</t>
  </si>
  <si>
    <t>VISION SOFTWARE</t>
  </si>
  <si>
    <t>WEBSYS</t>
  </si>
  <si>
    <t>WM WIRELESS MOBILE LTDA</t>
  </si>
  <si>
    <t>Vector de ataque:</t>
  </si>
  <si>
    <t>Físico</t>
  </si>
  <si>
    <t>Complejidad de ataque:</t>
  </si>
  <si>
    <t>Privilegios requeridos:</t>
  </si>
  <si>
    <t>PR</t>
  </si>
  <si>
    <t>Bajo</t>
  </si>
  <si>
    <t>Interacción del usuario:</t>
  </si>
  <si>
    <t>UI</t>
  </si>
  <si>
    <t>Requerida</t>
  </si>
  <si>
    <t>Alcance:</t>
  </si>
  <si>
    <t>No Cambió</t>
  </si>
  <si>
    <t>Prueba de Concepto</t>
  </si>
  <si>
    <t>No probada</t>
  </si>
  <si>
    <t>Nivel de confianza</t>
  </si>
  <si>
    <t>Razonable</t>
  </si>
  <si>
    <t>Desconocido</t>
  </si>
  <si>
    <t>Attack Vector</t>
  </si>
  <si>
    <t>Attack Complexity</t>
  </si>
  <si>
    <t>Privileges Required</t>
  </si>
  <si>
    <t>User Interaction</t>
  </si>
  <si>
    <t>Scope</t>
  </si>
  <si>
    <t>Confidentiality Impact</t>
  </si>
  <si>
    <t>Integrity Impact</t>
  </si>
  <si>
    <t>Availability Impact</t>
  </si>
  <si>
    <t>R</t>
  </si>
  <si>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</sst>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2"/>
      <name val="Times New Roman"/>
      <family val="1"/>
      <charset val="1"/>
    </font>
    <font>
      <b/>
      <sz val="14"/>
      <name val="Arial"/>
      <family val="2"/>
      <charset val="1"/>
    </font>
    <font>
      <sz val="11"/>
      <name val="Arial"/>
      <family val="2"/>
      <charset val="1"/>
    </font>
    <font>
      <b/>
      <sz val="11"/>
      <name val="Arial"/>
      <family val="2"/>
      <charset val="1"/>
    </font>
    <font>
      <b/>
      <sz val="18"/>
      <name val="Cambria"/>
      <family val="1"/>
      <charset val="1"/>
    </font>
    <font>
      <b/>
      <sz val="14"/>
      <name val="Cambria"/>
      <family val="1"/>
      <charset val="1"/>
    </font>
    <font>
      <sz val="11"/>
      <name val="Cambria"/>
      <family val="1"/>
      <charset val="1"/>
    </font>
    <font>
      <b/>
      <sz val="10"/>
      <name val="Cambria"/>
      <family val="1"/>
      <charset val="1"/>
    </font>
    <font>
      <sz val="10"/>
      <color rgb="FF000000"/>
      <name val="Cambria"/>
      <family val="1"/>
      <charset val="1"/>
    </font>
    <font>
      <sz val="10"/>
      <color rgb="FF000000"/>
      <name val="Arial"/>
      <family val="2"/>
      <charset val="1"/>
    </font>
    <font>
      <u/>
      <sz val="11"/>
      <color rgb="FF0000FF"/>
      <name val="Cambria"/>
      <family val="1"/>
      <charset val="1"/>
    </font>
    <font>
      <sz val="6"/>
      <name val="Cambria"/>
      <family val="1"/>
      <charset val="1"/>
    </font>
    <font>
      <sz val="10"/>
      <name val="Cambria"/>
      <family val="1"/>
      <charset val="1"/>
    </font>
    <font>
      <sz val="8"/>
      <name val="Cambria"/>
      <family val="1"/>
      <charset val="1"/>
    </font>
    <font>
      <sz val="6"/>
      <color rgb="FF000000"/>
      <name val="Cambria"/>
      <family val="1"/>
      <charset val="1"/>
    </font>
    <font>
      <b/>
      <sz val="8"/>
      <name val="Cambria"/>
      <family val="1"/>
      <charset val="1"/>
    </font>
    <font>
      <sz val="11"/>
      <color rgb="FF000000"/>
      <name val="Cambria"/>
      <family val="1"/>
      <charset val="1"/>
    </font>
    <font>
      <sz val="11"/>
      <color rgb="FF000000"/>
      <name val="CAMBRIA"/>
      <family val="1"/>
      <charset val="1"/>
    </font>
    <font>
      <sz val="11"/>
      <color rgb="FF000000"/>
      <name val="Arial"/>
      <family val="2"/>
      <charset val="1"/>
    </font>
  </fonts>
  <fills count="9">
    <fill>
      <patternFill patternType="none"/>
    </fill>
    <fill>
      <patternFill patternType="gray125"/>
    </fill>
    <fill>
      <patternFill patternType="solid">
        <fgColor rgb="FFFFFFFF"/>
        <bgColor rgb="FFF3F3F3"/>
      </patternFill>
    </fill>
    <fill>
      <patternFill patternType="solid">
        <fgColor rgb="FFCCCCCC"/>
        <bgColor rgb="FFC0C0C0"/>
      </patternFill>
    </fill>
    <fill>
      <patternFill patternType="solid">
        <fgColor rgb="FFC0C0C0"/>
        <bgColor rgb="FFB7B7B7"/>
      </patternFill>
    </fill>
    <fill>
      <patternFill patternType="solid">
        <fgColor rgb="FFB7B7B7"/>
        <bgColor rgb="FFC0C0C0"/>
      </patternFill>
    </fill>
    <fill>
      <patternFill patternType="solid">
        <fgColor rgb="FFCFE2F3"/>
        <bgColor rgb="FFD9D9D9"/>
      </patternFill>
    </fill>
    <fill>
      <patternFill patternType="solid">
        <fgColor rgb="FF4A86E8"/>
        <bgColor rgb="FF666699"/>
      </patternFill>
    </fill>
    <fill>
      <patternFill patternType="solid">
        <fgColor theme="2" tint="-0.249977111117893"/>
        <bgColor rgb="FFB7B7B7"/>
      </patternFill>
    </fill>
  </fills>
  <borders count="13">
    <border>
      <left/>
      <right/>
      <top/>
      <bottom/>
      <diagonal/>
    </border>
    <border>
      <left/>
      <right/>
      <top/>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s>
  <cellStyleXfs count="1">
    <xf numFmtId="164" fontId="0" fillId="2" borderId="0">
      <alignment horizontal="center" vertical="center" wrapText="1"/>
    </xf>
  </cellStyleXfs>
  <cellXfs count="94">
    <xf numFmtId="164" fontId="0" fillId="2" borderId="0" xfId="0">
      <alignment horizontal="center" vertical="center" wrapText="1"/>
    </xf>
    <xf numFmtId="164" fontId="1" fillId="2" borderId="2" xfId="0" applyFont="1" applyBorder="1" applyAlignment="1"/>
    <xf numFmtId="164" fontId="2" fillId="2" borderId="2" xfId="0" applyFont="1" applyBorder="1" applyAlignment="1"/>
    <xf numFmtId="164" fontId="2" fillId="2" borderId="0" xfId="0" applyFont="1" applyAlignment="1"/>
    <xf numFmtId="164" fontId="3" fillId="3" borderId="3" xfId="0" applyFont="1" applyFill="1" applyBorder="1" applyAlignment="1">
      <alignment horizontal="center"/>
    </xf>
    <xf numFmtId="164" fontId="3" fillId="3" borderId="4" xfId="0" applyFont="1" applyFill="1" applyBorder="1" applyAlignment="1">
      <alignment horizontal="center"/>
    </xf>
    <xf numFmtId="164" fontId="3" fillId="4" borderId="4" xfId="0" applyFont="1" applyFill="1" applyBorder="1" applyAlignment="1">
      <alignment horizontal="center"/>
    </xf>
    <xf numFmtId="164" fontId="3" fillId="2" borderId="0" xfId="0" applyFont="1" applyBorder="1" applyAlignment="1">
      <alignment horizontal="center"/>
    </xf>
    <xf numFmtId="164" fontId="2" fillId="2" borderId="0" xfId="0" applyFont="1" applyBorder="1" applyAlignment="1"/>
    <xf numFmtId="164" fontId="2" fillId="2" borderId="0" xfId="0" applyFont="1" applyBorder="1" applyAlignment="1">
      <alignment horizontal="center"/>
    </xf>
    <xf numFmtId="164" fontId="2" fillId="2" borderId="4" xfId="0" applyFont="1" applyBorder="1" applyAlignment="1">
      <alignment horizontal="center"/>
    </xf>
    <xf numFmtId="164" fontId="2" fillId="2" borderId="4" xfId="0" applyFont="1" applyBorder="1" applyAlignment="1"/>
    <xf numFmtId="164" fontId="2" fillId="2" borderId="0" xfId="0" applyFont="1" applyBorder="1">
      <alignment horizontal="center" vertical="center" wrapText="1"/>
    </xf>
    <xf numFmtId="164" fontId="3" fillId="2" borderId="0" xfId="0" applyFont="1" applyAlignment="1">
      <alignment horizontal="center"/>
    </xf>
    <xf numFmtId="164" fontId="2" fillId="2" borderId="0" xfId="0" applyFont="1" applyAlignment="1">
      <alignment horizontal="center"/>
    </xf>
    <xf numFmtId="164" fontId="3" fillId="5" borderId="0" xfId="0" applyFont="1" applyFill="1" applyBorder="1" applyAlignment="1">
      <alignment horizontal="right"/>
    </xf>
    <xf numFmtId="164" fontId="3" fillId="5" borderId="5" xfId="0" applyFont="1" applyFill="1" applyBorder="1" applyAlignment="1">
      <alignment horizontal="center"/>
    </xf>
    <xf numFmtId="164" fontId="3" fillId="2" borderId="3" xfId="0" applyFont="1" applyBorder="1" applyAlignment="1">
      <alignment horizontal="right"/>
    </xf>
    <xf numFmtId="164" fontId="7" fillId="4" borderId="0" xfId="0" applyFont="1" applyFill="1" applyBorder="1" applyAlignment="1">
      <alignment horizontal="center" vertical="center"/>
    </xf>
    <xf numFmtId="164" fontId="7" fillId="4" borderId="0" xfId="0" applyFont="1" applyFill="1" applyBorder="1" applyAlignment="1">
      <alignment horizontal="center" vertical="center" wrapText="1"/>
    </xf>
    <xf numFmtId="164" fontId="4" fillId="2" borderId="2" xfId="0" applyFont="1" applyBorder="1" applyAlignment="1"/>
    <xf numFmtId="164" fontId="6" fillId="2" borderId="2" xfId="0" applyFont="1" applyBorder="1" applyAlignment="1"/>
    <xf numFmtId="164" fontId="6" fillId="2" borderId="0" xfId="0" applyFont="1" applyBorder="1" applyAlignment="1">
      <alignment vertical="center"/>
    </xf>
    <xf numFmtId="164" fontId="8" fillId="2" borderId="0" xfId="0" applyFont="1" applyBorder="1" applyAlignment="1">
      <alignment vertical="center" wrapText="1"/>
    </xf>
    <xf numFmtId="164" fontId="8" fillId="2" borderId="0" xfId="0" applyFont="1" applyBorder="1" applyAlignment="1">
      <alignment horizontal="center" vertical="center" wrapText="1"/>
    </xf>
    <xf numFmtId="164" fontId="6" fillId="2" borderId="0" xfId="0" applyFont="1" applyBorder="1" applyAlignment="1">
      <alignment horizontal="center" vertical="center" wrapText="1"/>
    </xf>
    <xf numFmtId="164" fontId="6" fillId="2" borderId="0" xfId="0" applyFont="1" applyBorder="1" applyAlignment="1">
      <alignment horizontal="center" vertical="center"/>
    </xf>
    <xf numFmtId="164" fontId="8" fillId="2" borderId="0" xfId="0" applyFont="1" applyBorder="1" applyAlignment="1">
      <alignment horizontal="left" vertical="center" wrapText="1"/>
    </xf>
    <xf numFmtId="164" fontId="6" fillId="2" borderId="0" xfId="0" applyFont="1" applyBorder="1" applyAlignment="1">
      <alignment vertical="center" wrapText="1"/>
    </xf>
    <xf numFmtId="164" fontId="6" fillId="2" borderId="8" xfId="0" applyFont="1" applyBorder="1" applyAlignment="1"/>
    <xf numFmtId="164" fontId="6" fillId="2" borderId="9" xfId="0" applyFont="1" applyBorder="1" applyAlignment="1"/>
    <xf numFmtId="164" fontId="6" fillId="2" borderId="8" xfId="0" applyFont="1" applyBorder="1" applyAlignment="1">
      <alignment horizontal="center"/>
    </xf>
    <xf numFmtId="164" fontId="6" fillId="2" borderId="8" xfId="0" applyFont="1" applyBorder="1" applyAlignment="1">
      <alignment vertical="center"/>
    </xf>
    <xf numFmtId="164" fontId="6" fillId="2" borderId="7" xfId="0" applyFont="1" applyBorder="1" applyAlignment="1"/>
    <xf numFmtId="164" fontId="7" fillId="5" borderId="0" xfId="0" applyFont="1" applyFill="1" applyBorder="1" applyAlignment="1">
      <alignment horizontal="right"/>
    </xf>
    <xf numFmtId="164" fontId="7" fillId="5" borderId="0" xfId="0" applyFont="1" applyFill="1" applyBorder="1" applyAlignment="1">
      <alignment horizontal="center"/>
    </xf>
    <xf numFmtId="164" fontId="7" fillId="2" borderId="6" xfId="0" applyFont="1" applyBorder="1" applyAlignment="1"/>
    <xf numFmtId="164" fontId="7" fillId="2" borderId="0" xfId="0" applyFont="1" applyAlignment="1"/>
    <xf numFmtId="164" fontId="7" fillId="2" borderId="0" xfId="0" applyFont="1" applyAlignment="1">
      <alignment horizontal="center"/>
    </xf>
    <xf numFmtId="164" fontId="6" fillId="2" borderId="0" xfId="0" applyFont="1" applyAlignment="1">
      <alignment horizontal="center"/>
    </xf>
    <xf numFmtId="164" fontId="9" fillId="2" borderId="0" xfId="0" applyFont="1" applyAlignment="1"/>
    <xf numFmtId="164" fontId="6" fillId="2" borderId="0" xfId="0" applyFont="1" applyAlignment="1">
      <alignment vertical="center"/>
    </xf>
    <xf numFmtId="164" fontId="7" fillId="2" borderId="0" xfId="0" applyFont="1" applyBorder="1" applyAlignment="1">
      <alignment horizontal="right"/>
    </xf>
    <xf numFmtId="164" fontId="6" fillId="2" borderId="6" xfId="0" applyFont="1" applyBorder="1" applyAlignment="1"/>
    <xf numFmtId="164" fontId="6" fillId="2" borderId="0" xfId="0" applyFont="1" applyAlignment="1">
      <alignment horizontal="center" vertical="center"/>
    </xf>
    <xf numFmtId="10" fontId="6" fillId="2" borderId="0" xfId="0" applyNumberFormat="1" applyFont="1" applyBorder="1" applyAlignment="1">
      <alignment horizontal="center"/>
    </xf>
    <xf numFmtId="164" fontId="6" fillId="2" borderId="0" xfId="0" applyFont="1" applyBorder="1" applyAlignment="1">
      <alignment horizontal="center"/>
    </xf>
    <xf numFmtId="10" fontId="6" fillId="2" borderId="0" xfId="0" applyNumberFormat="1" applyFont="1" applyAlignment="1">
      <alignment horizontal="center"/>
    </xf>
    <xf numFmtId="164" fontId="6" fillId="2" borderId="0" xfId="0" applyFont="1" applyAlignment="1"/>
    <xf numFmtId="164" fontId="10" fillId="2" borderId="0" xfId="0" applyFont="1" applyAlignment="1"/>
    <xf numFmtId="10" fontId="6" fillId="2" borderId="0" xfId="0" applyNumberFormat="1" applyFont="1" applyAlignment="1"/>
    <xf numFmtId="164" fontId="6" fillId="6" borderId="1" xfId="0" applyFont="1" applyFill="1" applyBorder="1" applyAlignment="1"/>
    <xf numFmtId="164" fontId="6" fillId="2" borderId="0" xfId="0" applyFont="1" applyAlignment="1">
      <alignment wrapText="1"/>
    </xf>
    <xf numFmtId="164" fontId="7" fillId="7" borderId="0" xfId="0" applyFont="1" applyFill="1" applyBorder="1" applyAlignment="1">
      <alignment horizontal="center" vertical="center"/>
    </xf>
    <xf numFmtId="164" fontId="6" fillId="2" borderId="6" xfId="0" applyFont="1" applyBorder="1" applyAlignment="1">
      <alignment horizontal="center"/>
    </xf>
    <xf numFmtId="164" fontId="11" fillId="2" borderId="0" xfId="0" applyFont="1" applyAlignment="1"/>
    <xf numFmtId="164" fontId="12" fillId="2" borderId="0" xfId="0" applyFont="1" applyBorder="1" applyAlignment="1">
      <alignment horizontal="center"/>
    </xf>
    <xf numFmtId="164" fontId="12" fillId="2" borderId="3" xfId="0" applyFont="1" applyBorder="1" applyAlignment="1">
      <alignment horizontal="center"/>
    </xf>
    <xf numFmtId="164" fontId="6" fillId="2" borderId="8" xfId="0" applyFont="1" applyBorder="1" applyAlignment="1">
      <alignment horizontal="center" vertical="center"/>
    </xf>
    <xf numFmtId="164" fontId="13" fillId="2" borderId="0" xfId="0" applyFont="1" applyAlignment="1">
      <alignment horizontal="center" vertical="center"/>
    </xf>
    <xf numFmtId="164" fontId="11" fillId="2" borderId="0" xfId="0" applyFont="1" applyAlignment="1">
      <alignment horizontal="center" vertical="center"/>
    </xf>
    <xf numFmtId="164" fontId="11" fillId="2" borderId="0" xfId="0" applyFont="1" applyAlignment="1">
      <alignment vertical="center"/>
    </xf>
    <xf numFmtId="164" fontId="13" fillId="2" borderId="0" xfId="0" applyFont="1" applyAlignment="1">
      <alignment vertical="center"/>
    </xf>
    <xf numFmtId="164" fontId="13" fillId="2" borderId="0" xfId="0" applyFont="1" applyAlignment="1">
      <alignment horizontal="left"/>
    </xf>
    <xf numFmtId="164" fontId="14" fillId="2" borderId="0" xfId="0" applyFont="1" applyAlignment="1">
      <alignment vertical="center"/>
    </xf>
    <xf numFmtId="164" fontId="15" fillId="2" borderId="0" xfId="0" applyFont="1" applyAlignment="1">
      <alignment horizontal="center" vertical="center"/>
    </xf>
    <xf numFmtId="164" fontId="7" fillId="2" borderId="0" xfId="0" applyFont="1" applyAlignment="1">
      <alignment horizontal="center" vertical="center"/>
    </xf>
    <xf numFmtId="164" fontId="5" fillId="2" borderId="1" xfId="0" applyFont="1" applyBorder="1" applyAlignment="1"/>
    <xf numFmtId="164" fontId="6" fillId="2" borderId="2" xfId="0" applyFont="1" applyBorder="1" applyAlignment="1">
      <alignment horizontal="center"/>
    </xf>
    <xf numFmtId="164" fontId="7" fillId="2" borderId="0" xfId="0" applyFont="1" applyBorder="1" applyAlignment="1">
      <alignment horizontal="center"/>
    </xf>
    <xf numFmtId="164" fontId="3" fillId="2" borderId="0" xfId="0" applyFont="1" applyAlignment="1"/>
    <xf numFmtId="164" fontId="2" fillId="2" borderId="0" xfId="0" applyFont="1" applyAlignment="1">
      <alignment horizontal="right"/>
    </xf>
    <xf numFmtId="164" fontId="2" fillId="2" borderId="1" xfId="0" applyFont="1" applyBorder="1" applyAlignment="1"/>
    <xf numFmtId="164" fontId="16" fillId="2" borderId="10" xfId="0" applyFont="1" applyBorder="1" applyAlignment="1">
      <alignment horizontal="center" vertical="center"/>
    </xf>
    <xf numFmtId="164" fontId="16" fillId="2" borderId="10" xfId="0" applyFont="1" applyBorder="1" applyAlignment="1"/>
    <xf numFmtId="164" fontId="6" fillId="2" borderId="10" xfId="0" applyFont="1" applyBorder="1" applyAlignment="1"/>
    <xf numFmtId="164" fontId="17" fillId="2" borderId="10" xfId="0" applyFont="1" applyBorder="1" applyAlignment="1"/>
    <xf numFmtId="164" fontId="18" fillId="2" borderId="10" xfId="0" applyFont="1" applyBorder="1" applyAlignment="1"/>
    <xf numFmtId="164" fontId="6" fillId="2" borderId="10" xfId="0" applyFont="1" applyBorder="1" applyAlignment="1">
      <alignment horizontal="center"/>
    </xf>
    <xf numFmtId="164" fontId="0" fillId="2" borderId="11" xfId="0" applyBorder="1">
      <alignment horizontal="center" vertical="center" wrapText="1"/>
    </xf>
    <xf numFmtId="164" fontId="0" fillId="2" borderId="1" xfId="0" applyFont="1" applyBorder="1" applyAlignment="1">
      <alignment horizontal="right" vertical="center"/>
    </xf>
    <xf numFmtId="164" fontId="0" fillId="2" borderId="1" xfId="0" applyFont="1" applyBorder="1" applyAlignment="1">
      <alignment horizontal="left" vertical="center"/>
    </xf>
    <xf numFmtId="164" fontId="0" fillId="2" borderId="8" xfId="0" applyFont="1" applyBorder="1" applyAlignment="1">
      <alignment horizontal="right"/>
    </xf>
    <xf numFmtId="164" fontId="0" fillId="2" borderId="1" xfId="0" applyBorder="1">
      <alignment horizontal="center" vertical="center" wrapText="1"/>
    </xf>
    <xf numFmtId="164" fontId="0" fillId="2" borderId="8" xfId="0" applyFont="1" applyBorder="1" applyAlignment="1">
      <alignment horizontal="left"/>
    </xf>
    <xf numFmtId="164" fontId="0" fillId="2" borderId="11" xfId="0" applyFont="1" applyBorder="1" applyAlignment="1">
      <alignment horizontal="left" vertical="center" wrapText="1"/>
    </xf>
    <xf numFmtId="164" fontId="0" fillId="2" borderId="12" xfId="0" applyFont="1" applyBorder="1" applyAlignment="1">
      <alignment horizontal="center" vertical="top"/>
    </xf>
    <xf numFmtId="164" fontId="0" fillId="2" borderId="4" xfId="0" applyFont="1" applyBorder="1" applyAlignment="1">
      <alignment horizontal="center" vertical="top"/>
    </xf>
    <xf numFmtId="164" fontId="0" fillId="2" borderId="11" xfId="0" applyBorder="1" applyAlignment="1">
      <alignment horizontal="center" vertical="center" wrapText="1"/>
    </xf>
    <xf numFmtId="164" fontId="0" fillId="2" borderId="11" xfId="0" applyFont="1" applyBorder="1" applyAlignment="1">
      <alignment horizontal="center" vertical="center"/>
    </xf>
    <xf numFmtId="164" fontId="4" fillId="2" borderId="2" xfId="0" applyFont="1" applyBorder="1" applyAlignment="1">
      <alignment horizontal="left" vertical="center"/>
    </xf>
    <xf numFmtId="164" fontId="6" fillId="8" borderId="11" xfId="0" applyFont="1" applyFill="1" applyBorder="1" applyAlignment="1">
      <alignment horizontal="center" vertical="center" wrapText="1"/>
    </xf>
    <xf numFmtId="164" fontId="7" fillId="8" borderId="11" xfId="0" applyFont="1" applyFill="1" applyBorder="1" applyAlignment="1">
      <alignment horizontal="center" vertical="center" wrapText="1"/>
    </xf>
    <xf numFmtId="164" fontId="7" fillId="8" borderId="8" xfId="0" applyFont="1" applyFill="1" applyBorder="1" applyAlignment="1">
      <alignment horizontal="center" vertical="center" wrapText="1"/>
    </xf>
  </cellXfs>
  <cellStyles count="1">
    <cellStyle name="Normal" xfId="0" builtinId="0"/>
  </cellStyles>
  <dxfs count="4">
    <dxf>
      <fill>
        <patternFill>
          <bgColor rgb="FFFFFF00"/>
        </patternFill>
      </fill>
    </dxf>
    <dxf>
      <fill>
        <patternFill>
          <bgColor rgb="FFFFC000"/>
        </patternFill>
      </fill>
    </dxf>
    <dxf>
      <fill>
        <patternFill>
          <bgColor rgb="FFFF0000"/>
        </patternFill>
      </fill>
    </dxf>
    <dxf>
      <font>
        <color theme="0"/>
      </font>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4070A"/>
      <rgbColor rgb="FF008000"/>
      <rgbColor rgb="FF000080"/>
      <rgbColor rgb="FF808000"/>
      <rgbColor rgb="FF800080"/>
      <rgbColor rgb="FF008080"/>
      <rgbColor rgb="FFC0C0C0"/>
      <rgbColor rgb="FF808080"/>
      <rgbColor rgb="FF9999FF"/>
      <rgbColor rgb="FFED1C24"/>
      <rgbColor rgb="FFF3F3F3"/>
      <rgbColor rgb="FFCFE2F3"/>
      <rgbColor rgb="FF660066"/>
      <rgbColor rgb="FFFF8080"/>
      <rgbColor rgb="FF0066CC"/>
      <rgbColor rgb="FFCCCCCC"/>
      <rgbColor rgb="FF000080"/>
      <rgbColor rgb="FFFF00FF"/>
      <rgbColor rgb="FFFFF2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4A86E8"/>
      <rgbColor rgb="FF33CCCC"/>
      <rgbColor rgb="FF99CC00"/>
      <rgbColor rgb="FFFAA61A"/>
      <rgbColor rgb="FFFF9900"/>
      <rgbColor rgb="FFFF6600"/>
      <rgbColor rgb="FF666699"/>
      <rgbColor rgb="FFB7B7B7"/>
      <rgbColor rgb="FF003366"/>
      <rgbColor rgb="FF339966"/>
      <rgbColor rgb="FF003300"/>
      <rgbColor rgb="FF333300"/>
      <rgbColor rgb="FFDC3912"/>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16"/>
  <sheetViews>
    <sheetView workbookViewId="0">
      <selection activeCell="G3" sqref="G3"/>
    </sheetView>
  </sheetViews>
  <sheetFormatPr defaultRowHeight="15.75" x14ac:dyDescent="0.25"/>
  <sheetData>
    <row r="1" spans="1:11" ht="18" x14ac:dyDescent="0.25">
      <c r="A1" s="1" t="s">
        <v>0</v>
      </c>
      <c r="B1" s="1"/>
      <c r="C1" s="1"/>
      <c r="D1" s="1"/>
      <c r="E1" s="1"/>
      <c r="F1" s="1"/>
      <c r="G1" s="1"/>
      <c r="H1" s="2"/>
      <c r="I1" s="2"/>
      <c r="J1" s="2"/>
      <c r="K1" s="3"/>
    </row>
    <row r="2" spans="1:11" x14ac:dyDescent="0.25">
      <c r="A2" s="4" t="s">
        <v>1</v>
      </c>
      <c r="B2" s="5" t="s">
        <v>2</v>
      </c>
      <c r="C2" s="5" t="s">
        <v>3</v>
      </c>
      <c r="D2" s="5" t="s">
        <v>4</v>
      </c>
      <c r="E2" s="5" t="s">
        <v>5</v>
      </c>
      <c r="F2" s="5" t="s">
        <v>6</v>
      </c>
      <c r="G2" s="6" t="s">
        <v>7</v>
      </c>
      <c r="H2" s="6" t="s">
        <v>8</v>
      </c>
      <c r="I2" s="6" t="s">
        <v>9</v>
      </c>
      <c r="J2" s="6" t="s">
        <v>10</v>
      </c>
      <c r="K2" s="2"/>
    </row>
    <row r="3" spans="1:11" x14ac:dyDescent="0.25">
      <c r="A3" s="7" t="s">
        <v>11</v>
      </c>
      <c r="B3" s="8" t="s">
        <v>12</v>
      </c>
      <c r="C3" s="9" t="s">
        <v>13</v>
      </c>
      <c r="D3" s="9" t="s">
        <v>14</v>
      </c>
      <c r="E3" s="9" t="s">
        <v>15</v>
      </c>
      <c r="F3" s="9" t="s">
        <v>16</v>
      </c>
      <c r="G3" s="10" t="s">
        <v>17</v>
      </c>
      <c r="H3" s="10" t="s">
        <v>17</v>
      </c>
      <c r="I3" s="10" t="s">
        <v>17</v>
      </c>
      <c r="J3" s="11" t="str">
        <f t="shared" ref="J3:J66" ca="1" si="0">IF(IFERROR(K3,7)=7,"",RIGHT(K3,LEN(K3)-2)&amp;".")</f>
        <v>/A.</v>
      </c>
      <c r="K3" s="10" t="str">
        <f ca="1">IFERROR(__xludf.dummyfunction("CONCATENATE(ArrayFormula(""; ""&amp;QUERY(Hallazgos!A:F,""SELECT B WHERE E CONTAINS '""&amp;B3&amp;""' LABEL B ''"")))"),"#N/A")</f>
        <v>#N/A</v>
      </c>
    </row>
    <row r="4" spans="1:11" x14ac:dyDescent="0.25">
      <c r="A4" s="7" t="s">
        <v>18</v>
      </c>
      <c r="B4" s="8" t="s">
        <v>19</v>
      </c>
      <c r="C4" s="9" t="s">
        <v>13</v>
      </c>
      <c r="D4" s="9" t="s">
        <v>14</v>
      </c>
      <c r="E4" s="9" t="s">
        <v>15</v>
      </c>
      <c r="F4" s="9" t="s">
        <v>16</v>
      </c>
      <c r="G4" s="10" t="s">
        <v>17</v>
      </c>
      <c r="H4" s="10" t="s">
        <v>17</v>
      </c>
      <c r="I4" s="10" t="s">
        <v>17</v>
      </c>
      <c r="J4" s="11" t="str">
        <f t="shared" ca="1" si="0"/>
        <v>/A.</v>
      </c>
      <c r="K4" s="10" t="str">
        <f ca="1">IFERROR(__xludf.dummyfunction("CONCATENATE(ArrayFormula(""; ""&amp;QUERY(Hallazgos!A:F,""SELECT B WHERE E CONTAINS '""&amp;B4&amp;""' LABEL B ''"")))"),"#N/A")</f>
        <v>#N/A</v>
      </c>
    </row>
    <row r="5" spans="1:11" x14ac:dyDescent="0.25">
      <c r="A5" s="7" t="s">
        <v>20</v>
      </c>
      <c r="B5" s="8" t="s">
        <v>21</v>
      </c>
      <c r="C5" s="9" t="s">
        <v>13</v>
      </c>
      <c r="D5" s="9" t="s">
        <v>14</v>
      </c>
      <c r="E5" s="9" t="s">
        <v>15</v>
      </c>
      <c r="F5" s="9" t="s">
        <v>16</v>
      </c>
      <c r="G5" s="10" t="s">
        <v>17</v>
      </c>
      <c r="H5" s="10" t="s">
        <v>17</v>
      </c>
      <c r="I5" s="10" t="s">
        <v>17</v>
      </c>
      <c r="J5" s="11" t="str">
        <f t="shared" ca="1" si="0"/>
        <v>/A.</v>
      </c>
      <c r="K5" s="10" t="str">
        <f ca="1">IFERROR(__xludf.dummyfunction("CONCATENATE(ArrayFormula(""; ""&amp;QUERY(Hallazgos!A:F,""SELECT B WHERE E CONTAINS '""&amp;B5&amp;""' LABEL B ''"")))"),"#N/A")</f>
        <v>#N/A</v>
      </c>
    </row>
    <row r="6" spans="1:11" x14ac:dyDescent="0.25">
      <c r="A6" s="7" t="s">
        <v>22</v>
      </c>
      <c r="B6" s="8" t="s">
        <v>23</v>
      </c>
      <c r="C6" s="9" t="s">
        <v>13</v>
      </c>
      <c r="D6" s="9" t="s">
        <v>14</v>
      </c>
      <c r="E6" s="9" t="s">
        <v>15</v>
      </c>
      <c r="F6" s="9" t="s">
        <v>16</v>
      </c>
      <c r="G6" s="10" t="s">
        <v>17</v>
      </c>
      <c r="H6" s="10" t="s">
        <v>17</v>
      </c>
      <c r="I6" s="10" t="s">
        <v>17</v>
      </c>
      <c r="J6" s="11" t="str">
        <f t="shared" ca="1" si="0"/>
        <v>/A.</v>
      </c>
      <c r="K6" s="10" t="str">
        <f ca="1">IFERROR(__xludf.dummyfunction("CONCATENATE(ArrayFormula(""; ""&amp;QUERY(Hallazgos!A:F,""SELECT B WHERE E CONTAINS '""&amp;B6&amp;""' LABEL B ''"")))"),"#N/A")</f>
        <v>#N/A</v>
      </c>
    </row>
    <row r="7" spans="1:11" x14ac:dyDescent="0.25">
      <c r="A7" s="7" t="s">
        <v>24</v>
      </c>
      <c r="B7" s="8" t="s">
        <v>25</v>
      </c>
      <c r="C7" s="9" t="s">
        <v>13</v>
      </c>
      <c r="D7" s="9" t="s">
        <v>14</v>
      </c>
      <c r="E7" s="9" t="s">
        <v>15</v>
      </c>
      <c r="F7" s="9" t="s">
        <v>16</v>
      </c>
      <c r="G7" s="10" t="s">
        <v>17</v>
      </c>
      <c r="H7" s="10" t="s">
        <v>17</v>
      </c>
      <c r="I7" s="10" t="s">
        <v>17</v>
      </c>
      <c r="J7" s="11" t="str">
        <f t="shared" ca="1" si="0"/>
        <v>/A.</v>
      </c>
      <c r="K7" s="10" t="str">
        <f ca="1">IFERROR(__xludf.dummyfunction("CONCATENATE(ArrayFormula(""; ""&amp;QUERY(Hallazgos!A:F,""SELECT B WHERE E CONTAINS '""&amp;B7&amp;""' LABEL B ''"")))"),"#N/A")</f>
        <v>#N/A</v>
      </c>
    </row>
    <row r="8" spans="1:11" x14ac:dyDescent="0.25">
      <c r="A8" s="7" t="s">
        <v>26</v>
      </c>
      <c r="B8" s="8" t="s">
        <v>27</v>
      </c>
      <c r="C8" s="9" t="s">
        <v>13</v>
      </c>
      <c r="D8" s="9" t="s">
        <v>14</v>
      </c>
      <c r="E8" s="9" t="s">
        <v>15</v>
      </c>
      <c r="F8" s="9" t="s">
        <v>16</v>
      </c>
      <c r="G8" s="10" t="s">
        <v>17</v>
      </c>
      <c r="H8" s="10" t="s">
        <v>17</v>
      </c>
      <c r="I8" s="10" t="s">
        <v>17</v>
      </c>
      <c r="J8" s="11" t="str">
        <f t="shared" ca="1" si="0"/>
        <v>/A.</v>
      </c>
      <c r="K8" s="10" t="str">
        <f ca="1">IFERROR(__xludf.dummyfunction("CONCATENATE(ArrayFormula(""; ""&amp;QUERY(Hallazgos!A:F,""SELECT B WHERE E CONTAINS '""&amp;B8&amp;""' LABEL B ''"")))"),"#N/A")</f>
        <v>#N/A</v>
      </c>
    </row>
    <row r="9" spans="1:11" x14ac:dyDescent="0.25">
      <c r="A9" s="7" t="s">
        <v>28</v>
      </c>
      <c r="B9" s="8" t="s">
        <v>29</v>
      </c>
      <c r="C9" s="9" t="s">
        <v>13</v>
      </c>
      <c r="D9" s="9" t="s">
        <v>14</v>
      </c>
      <c r="E9" s="9" t="s">
        <v>15</v>
      </c>
      <c r="F9" s="9" t="s">
        <v>16</v>
      </c>
      <c r="G9" s="10" t="s">
        <v>17</v>
      </c>
      <c r="H9" s="10" t="s">
        <v>17</v>
      </c>
      <c r="I9" s="10" t="s">
        <v>17</v>
      </c>
      <c r="J9" s="11" t="str">
        <f t="shared" ca="1" si="0"/>
        <v>/A.</v>
      </c>
      <c r="K9" s="10" t="str">
        <f ca="1">IFERROR(__xludf.dummyfunction("CONCATENATE(ArrayFormula(""; ""&amp;QUERY(Hallazgos!A:F,""SELECT B WHERE E CONTAINS '""&amp;B9&amp;""' LABEL B ''"")))"),"#N/A")</f>
        <v>#N/A</v>
      </c>
    </row>
    <row r="10" spans="1:11" x14ac:dyDescent="0.25">
      <c r="A10" s="7" t="s">
        <v>30</v>
      </c>
      <c r="B10" s="8" t="s">
        <v>31</v>
      </c>
      <c r="C10" s="9" t="s">
        <v>13</v>
      </c>
      <c r="D10" s="9" t="s">
        <v>14</v>
      </c>
      <c r="E10" s="9" t="s">
        <v>15</v>
      </c>
      <c r="F10" s="9" t="s">
        <v>16</v>
      </c>
      <c r="G10" s="10" t="s">
        <v>17</v>
      </c>
      <c r="H10" s="10" t="s">
        <v>17</v>
      </c>
      <c r="I10" s="10" t="s">
        <v>17</v>
      </c>
      <c r="J10" s="11" t="str">
        <f t="shared" ca="1" si="0"/>
        <v>/A.</v>
      </c>
      <c r="K10" s="10" t="str">
        <f ca="1">IFERROR(__xludf.dummyfunction("CONCATENATE(ArrayFormula(""; ""&amp;QUERY(Hallazgos!A:F,""SELECT B WHERE E CONTAINS '""&amp;B10&amp;""' LABEL B ''"")))"),"#N/A")</f>
        <v>#N/A</v>
      </c>
    </row>
    <row r="11" spans="1:11" x14ac:dyDescent="0.25">
      <c r="A11" s="7" t="s">
        <v>32</v>
      </c>
      <c r="B11" s="8" t="s">
        <v>33</v>
      </c>
      <c r="C11" s="9" t="s">
        <v>13</v>
      </c>
      <c r="D11" s="9" t="s">
        <v>14</v>
      </c>
      <c r="E11" s="9" t="s">
        <v>15</v>
      </c>
      <c r="F11" s="9" t="s">
        <v>16</v>
      </c>
      <c r="G11" s="10" t="s">
        <v>17</v>
      </c>
      <c r="H11" s="10" t="s">
        <v>17</v>
      </c>
      <c r="I11" s="10" t="s">
        <v>17</v>
      </c>
      <c r="J11" s="11" t="str">
        <f t="shared" ca="1" si="0"/>
        <v>/A.</v>
      </c>
      <c r="K11" s="10" t="str">
        <f ca="1">IFERROR(__xludf.dummyfunction("CONCATENATE(ArrayFormula(""; ""&amp;QUERY(Hallazgos!A:F,""SELECT B WHERE E CONTAINS '""&amp;B11&amp;""' LABEL B ''"")))"),"#N/A")</f>
        <v>#N/A</v>
      </c>
    </row>
    <row r="12" spans="1:11" x14ac:dyDescent="0.25">
      <c r="A12" s="7" t="s">
        <v>34</v>
      </c>
      <c r="B12" s="8" t="s">
        <v>35</v>
      </c>
      <c r="C12" s="9" t="s">
        <v>13</v>
      </c>
      <c r="D12" s="9" t="s">
        <v>14</v>
      </c>
      <c r="E12" s="9" t="s">
        <v>15</v>
      </c>
      <c r="F12" s="9" t="s">
        <v>16</v>
      </c>
      <c r="G12" s="10" t="s">
        <v>17</v>
      </c>
      <c r="H12" s="10" t="s">
        <v>17</v>
      </c>
      <c r="I12" s="10" t="s">
        <v>17</v>
      </c>
      <c r="J12" s="11" t="str">
        <f t="shared" ca="1" si="0"/>
        <v>/A.</v>
      </c>
      <c r="K12" s="10" t="str">
        <f ca="1">IFERROR(__xludf.dummyfunction("CONCATENATE(ArrayFormula(""; ""&amp;QUERY(Hallazgos!A:F,""SELECT B WHERE E CONTAINS '""&amp;B12&amp;""' LABEL B ''"")))"),"#N/A")</f>
        <v>#N/A</v>
      </c>
    </row>
    <row r="13" spans="1:11" x14ac:dyDescent="0.25">
      <c r="A13" s="7" t="s">
        <v>36</v>
      </c>
      <c r="B13" s="8" t="s">
        <v>37</v>
      </c>
      <c r="C13" s="9" t="s">
        <v>38</v>
      </c>
      <c r="D13" s="9" t="s">
        <v>14</v>
      </c>
      <c r="E13" s="9" t="s">
        <v>15</v>
      </c>
      <c r="F13" s="9" t="s">
        <v>16</v>
      </c>
      <c r="G13" s="10" t="s">
        <v>17</v>
      </c>
      <c r="H13" s="10" t="s">
        <v>17</v>
      </c>
      <c r="I13" s="10" t="s">
        <v>17</v>
      </c>
      <c r="J13" s="11" t="str">
        <f t="shared" ca="1" si="0"/>
        <v>/A.</v>
      </c>
      <c r="K13" s="10" t="str">
        <f ca="1">IFERROR(__xludf.dummyfunction("CONCATENATE(ArrayFormula(""; ""&amp;QUERY(Hallazgos!A:F,""SELECT B WHERE E CONTAINS '""&amp;B13&amp;""' LABEL B ''"")))"),"#N/A")</f>
        <v>#N/A</v>
      </c>
    </row>
    <row r="14" spans="1:11" x14ac:dyDescent="0.25">
      <c r="A14" s="7" t="s">
        <v>39</v>
      </c>
      <c r="B14" s="8" t="s">
        <v>40</v>
      </c>
      <c r="C14" s="9" t="s">
        <v>41</v>
      </c>
      <c r="D14" s="9" t="s">
        <v>14</v>
      </c>
      <c r="E14" s="9" t="s">
        <v>15</v>
      </c>
      <c r="F14" s="9" t="s">
        <v>16</v>
      </c>
      <c r="G14" s="10" t="s">
        <v>17</v>
      </c>
      <c r="H14" s="10" t="s">
        <v>17</v>
      </c>
      <c r="I14" s="10" t="s">
        <v>17</v>
      </c>
      <c r="J14" s="11" t="str">
        <f t="shared" ca="1" si="0"/>
        <v>/A.</v>
      </c>
      <c r="K14" s="10" t="str">
        <f ca="1">IFERROR(__xludf.dummyfunction("CONCATENATE(ArrayFormula(""; ""&amp;QUERY(Hallazgos!A:F,""SELECT B WHERE E CONTAINS '""&amp;B14&amp;""' LABEL B ''"")))"),"#N/A")</f>
        <v>#N/A</v>
      </c>
    </row>
    <row r="15" spans="1:11" x14ac:dyDescent="0.25">
      <c r="A15" s="7" t="s">
        <v>42</v>
      </c>
      <c r="B15" s="8" t="s">
        <v>43</v>
      </c>
      <c r="C15" s="9" t="s">
        <v>38</v>
      </c>
      <c r="D15" s="9" t="s">
        <v>14</v>
      </c>
      <c r="E15" s="9" t="s">
        <v>15</v>
      </c>
      <c r="F15" s="9" t="s">
        <v>44</v>
      </c>
      <c r="G15" s="10" t="s">
        <v>17</v>
      </c>
      <c r="H15" s="10" t="s">
        <v>17</v>
      </c>
      <c r="I15" s="10" t="s">
        <v>17</v>
      </c>
      <c r="J15" s="11" t="str">
        <f t="shared" ca="1" si="0"/>
        <v>/A.</v>
      </c>
      <c r="K15" s="10" t="str">
        <f ca="1">IFERROR(__xludf.dummyfunction("CONCATENATE(ArrayFormula(""; ""&amp;QUERY(Hallazgos!A:F,""SELECT B WHERE E CONTAINS '""&amp;B15&amp;""' LABEL B ''"")))"),"#N/A")</f>
        <v>#N/A</v>
      </c>
    </row>
    <row r="16" spans="1:11" x14ac:dyDescent="0.25">
      <c r="A16" s="7" t="s">
        <v>45</v>
      </c>
      <c r="B16" s="8" t="s">
        <v>46</v>
      </c>
      <c r="C16" s="9" t="s">
        <v>13</v>
      </c>
      <c r="D16" s="9" t="s">
        <v>14</v>
      </c>
      <c r="E16" s="9" t="s">
        <v>15</v>
      </c>
      <c r="F16" s="9" t="s">
        <v>44</v>
      </c>
      <c r="G16" s="10" t="s">
        <v>17</v>
      </c>
      <c r="H16" s="10" t="s">
        <v>17</v>
      </c>
      <c r="I16" s="10" t="s">
        <v>17</v>
      </c>
      <c r="J16" s="11" t="str">
        <f t="shared" ca="1" si="0"/>
        <v>/A.</v>
      </c>
      <c r="K16" s="10" t="str">
        <f ca="1">IFERROR(__xludf.dummyfunction("CONCATENATE(ArrayFormula(""; ""&amp;QUERY(Hallazgos!A:F,""SELECT B WHERE E CONTAINS '""&amp;B16&amp;""' LABEL B ''"")))"),"#N/A")</f>
        <v>#N/A</v>
      </c>
    </row>
    <row r="17" spans="1:11" x14ac:dyDescent="0.25">
      <c r="A17" s="7" t="s">
        <v>47</v>
      </c>
      <c r="B17" s="8" t="s">
        <v>48</v>
      </c>
      <c r="C17" s="9" t="s">
        <v>13</v>
      </c>
      <c r="D17" s="9" t="s">
        <v>14</v>
      </c>
      <c r="E17" s="9" t="s">
        <v>15</v>
      </c>
      <c r="F17" s="9" t="s">
        <v>49</v>
      </c>
      <c r="G17" s="10" t="s">
        <v>17</v>
      </c>
      <c r="H17" s="10" t="s">
        <v>17</v>
      </c>
      <c r="I17" s="10" t="s">
        <v>17</v>
      </c>
      <c r="J17" s="11" t="str">
        <f t="shared" ca="1" si="0"/>
        <v>/A.</v>
      </c>
      <c r="K17" s="10" t="str">
        <f ca="1">IFERROR(__xludf.dummyfunction("CONCATENATE(ArrayFormula(""; ""&amp;QUERY(Hallazgos!A:F,""SELECT B WHERE E CONTAINS '""&amp;B17&amp;""' LABEL B ''"")))"),"#N/A")</f>
        <v>#N/A</v>
      </c>
    </row>
    <row r="18" spans="1:11" x14ac:dyDescent="0.25">
      <c r="A18" s="7" t="s">
        <v>50</v>
      </c>
      <c r="B18" s="8" t="s">
        <v>51</v>
      </c>
      <c r="C18" s="9" t="s">
        <v>13</v>
      </c>
      <c r="D18" s="9" t="s">
        <v>14</v>
      </c>
      <c r="E18" s="9" t="s">
        <v>15</v>
      </c>
      <c r="F18" s="9" t="s">
        <v>49</v>
      </c>
      <c r="G18" s="10" t="s">
        <v>17</v>
      </c>
      <c r="H18" s="10" t="s">
        <v>17</v>
      </c>
      <c r="I18" s="10" t="s">
        <v>17</v>
      </c>
      <c r="J18" s="11" t="str">
        <f t="shared" ca="1" si="0"/>
        <v>/A.</v>
      </c>
      <c r="K18" s="10" t="str">
        <f ca="1">IFERROR(__xludf.dummyfunction("CONCATENATE(ArrayFormula(""; ""&amp;QUERY(Hallazgos!A:F,""SELECT B WHERE E CONTAINS '""&amp;B18&amp;""' LABEL B ''"")))"),"#N/A")</f>
        <v>#N/A</v>
      </c>
    </row>
    <row r="19" spans="1:11" x14ac:dyDescent="0.25">
      <c r="A19" s="7" t="s">
        <v>52</v>
      </c>
      <c r="B19" s="8" t="s">
        <v>53</v>
      </c>
      <c r="C19" s="9" t="s">
        <v>38</v>
      </c>
      <c r="D19" s="9" t="s">
        <v>14</v>
      </c>
      <c r="E19" s="9" t="s">
        <v>54</v>
      </c>
      <c r="F19" s="9" t="s">
        <v>55</v>
      </c>
      <c r="G19" s="10" t="s">
        <v>17</v>
      </c>
      <c r="H19" s="10" t="s">
        <v>17</v>
      </c>
      <c r="I19" s="10" t="s">
        <v>17</v>
      </c>
      <c r="J19" s="11" t="str">
        <f t="shared" ca="1" si="0"/>
        <v>/A.</v>
      </c>
      <c r="K19" s="10" t="str">
        <f ca="1">IFERROR(__xludf.dummyfunction("CONCATENATE(ArrayFormula(""; ""&amp;QUERY(Hallazgos!A:F,""SELECT B WHERE E CONTAINS '""&amp;B19&amp;""' LABEL B ''"")))"),"#N/A")</f>
        <v>#N/A</v>
      </c>
    </row>
    <row r="20" spans="1:11" x14ac:dyDescent="0.25">
      <c r="A20" s="7" t="s">
        <v>56</v>
      </c>
      <c r="B20" s="8" t="s">
        <v>57</v>
      </c>
      <c r="C20" s="9" t="s">
        <v>38</v>
      </c>
      <c r="D20" s="9" t="s">
        <v>58</v>
      </c>
      <c r="E20" s="9" t="s">
        <v>15</v>
      </c>
      <c r="F20" s="9" t="s">
        <v>55</v>
      </c>
      <c r="G20" s="10" t="s">
        <v>17</v>
      </c>
      <c r="H20" s="10" t="s">
        <v>17</v>
      </c>
      <c r="I20" s="10" t="s">
        <v>17</v>
      </c>
      <c r="J20" s="11" t="str">
        <f t="shared" ca="1" si="0"/>
        <v>/A.</v>
      </c>
      <c r="K20" s="10" t="str">
        <f ca="1">IFERROR(__xludf.dummyfunction("CONCATENATE(ArrayFormula(""; ""&amp;QUERY(Hallazgos!A:F,""SELECT B WHERE E CONTAINS '""&amp;B20&amp;""' LABEL B ''"")))"),"#N/A")</f>
        <v>#N/A</v>
      </c>
    </row>
    <row r="21" spans="1:11" x14ac:dyDescent="0.25">
      <c r="A21" s="7" t="s">
        <v>59</v>
      </c>
      <c r="B21" s="8" t="s">
        <v>60</v>
      </c>
      <c r="C21" s="9" t="s">
        <v>38</v>
      </c>
      <c r="D21" s="9" t="s">
        <v>58</v>
      </c>
      <c r="E21" s="9" t="s">
        <v>15</v>
      </c>
      <c r="F21" s="9" t="s">
        <v>55</v>
      </c>
      <c r="G21" s="10" t="s">
        <v>17</v>
      </c>
      <c r="H21" s="10" t="s">
        <v>17</v>
      </c>
      <c r="I21" s="10" t="s">
        <v>17</v>
      </c>
      <c r="J21" s="11" t="str">
        <f t="shared" ca="1" si="0"/>
        <v>/A.</v>
      </c>
      <c r="K21" s="10" t="str">
        <f ca="1">IFERROR(__xludf.dummyfunction("CONCATENATE(ArrayFormula(""; ""&amp;QUERY(Hallazgos!A:F,""SELECT B WHERE E CONTAINS '""&amp;B21&amp;""' LABEL B ''"")))"),"#N/A")</f>
        <v>#N/A</v>
      </c>
    </row>
    <row r="22" spans="1:11" x14ac:dyDescent="0.25">
      <c r="A22" s="7" t="s">
        <v>61</v>
      </c>
      <c r="B22" s="8" t="s">
        <v>62</v>
      </c>
      <c r="C22" s="9" t="s">
        <v>38</v>
      </c>
      <c r="D22" s="9" t="s">
        <v>58</v>
      </c>
      <c r="E22" s="9" t="s">
        <v>15</v>
      </c>
      <c r="F22" s="9" t="s">
        <v>16</v>
      </c>
      <c r="G22" s="10" t="s">
        <v>17</v>
      </c>
      <c r="H22" s="10" t="s">
        <v>17</v>
      </c>
      <c r="I22" s="10" t="s">
        <v>17</v>
      </c>
      <c r="J22" s="11" t="str">
        <f t="shared" ca="1" si="0"/>
        <v>/A.</v>
      </c>
      <c r="K22" s="10" t="str">
        <f ca="1">IFERROR(__xludf.dummyfunction("CONCATENATE(ArrayFormula(""; ""&amp;QUERY(Hallazgos!A:F,""SELECT B WHERE E CONTAINS '""&amp;B22&amp;""' LABEL B ''"")))"),"#N/A")</f>
        <v>#N/A</v>
      </c>
    </row>
    <row r="23" spans="1:11" x14ac:dyDescent="0.25">
      <c r="A23" s="7" t="s">
        <v>63</v>
      </c>
      <c r="B23" s="8" t="s">
        <v>64</v>
      </c>
      <c r="C23" s="9" t="s">
        <v>38</v>
      </c>
      <c r="D23" s="9" t="s">
        <v>58</v>
      </c>
      <c r="E23" s="9" t="s">
        <v>15</v>
      </c>
      <c r="F23" s="9" t="s">
        <v>55</v>
      </c>
      <c r="G23" s="10" t="s">
        <v>17</v>
      </c>
      <c r="H23" s="10" t="s">
        <v>17</v>
      </c>
      <c r="I23" s="10" t="s">
        <v>17</v>
      </c>
      <c r="J23" s="11" t="str">
        <f t="shared" ca="1" si="0"/>
        <v>/A.</v>
      </c>
      <c r="K23" s="10" t="str">
        <f ca="1">IFERROR(__xludf.dummyfunction("CONCATENATE(ArrayFormula(""; ""&amp;QUERY(Hallazgos!A:F,""SELECT B WHERE E CONTAINS '""&amp;B23&amp;""' LABEL B ''"")))"),"#N/A")</f>
        <v>#N/A</v>
      </c>
    </row>
    <row r="24" spans="1:11" x14ac:dyDescent="0.25">
      <c r="A24" s="7" t="s">
        <v>65</v>
      </c>
      <c r="B24" s="8" t="s">
        <v>66</v>
      </c>
      <c r="C24" s="9" t="s">
        <v>38</v>
      </c>
      <c r="D24" s="9" t="s">
        <v>58</v>
      </c>
      <c r="E24" s="9" t="s">
        <v>15</v>
      </c>
      <c r="F24" s="9" t="s">
        <v>55</v>
      </c>
      <c r="G24" s="10" t="s">
        <v>17</v>
      </c>
      <c r="H24" s="10" t="s">
        <v>17</v>
      </c>
      <c r="I24" s="10" t="s">
        <v>17</v>
      </c>
      <c r="J24" s="11" t="str">
        <f t="shared" ca="1" si="0"/>
        <v>/A.</v>
      </c>
      <c r="K24" s="10" t="str">
        <f ca="1">IFERROR(__xludf.dummyfunction("CONCATENATE(ArrayFormula(""; ""&amp;QUERY(Hallazgos!A:F,""SELECT B WHERE E CONTAINS '""&amp;B24&amp;""' LABEL B ''"")))"),"#N/A")</f>
        <v>#N/A</v>
      </c>
    </row>
    <row r="25" spans="1:11" x14ac:dyDescent="0.25">
      <c r="A25" s="7" t="s">
        <v>67</v>
      </c>
      <c r="B25" s="8" t="s">
        <v>68</v>
      </c>
      <c r="C25" s="9" t="s">
        <v>41</v>
      </c>
      <c r="D25" s="9" t="s">
        <v>69</v>
      </c>
      <c r="E25" s="9" t="s">
        <v>15</v>
      </c>
      <c r="F25" s="9" t="s">
        <v>55</v>
      </c>
      <c r="G25" s="10" t="s">
        <v>17</v>
      </c>
      <c r="H25" s="10" t="s">
        <v>17</v>
      </c>
      <c r="I25" s="10" t="s">
        <v>17</v>
      </c>
      <c r="J25" s="11" t="str">
        <f t="shared" ca="1" si="0"/>
        <v>/A.</v>
      </c>
      <c r="K25" s="10" t="str">
        <f ca="1">IFERROR(__xludf.dummyfunction("CONCATENATE(ArrayFormula(""; ""&amp;QUERY(Hallazgos!A:F,""SELECT B WHERE E CONTAINS '""&amp;B25&amp;""' LABEL B ''"")))"),"#N/A")</f>
        <v>#N/A</v>
      </c>
    </row>
    <row r="26" spans="1:11" x14ac:dyDescent="0.25">
      <c r="A26" s="7" t="s">
        <v>70</v>
      </c>
      <c r="B26" s="8" t="s">
        <v>71</v>
      </c>
      <c r="C26" s="9" t="s">
        <v>41</v>
      </c>
      <c r="D26" s="9" t="s">
        <v>69</v>
      </c>
      <c r="E26" s="9" t="s">
        <v>72</v>
      </c>
      <c r="F26" s="9" t="s">
        <v>73</v>
      </c>
      <c r="G26" s="10" t="s">
        <v>17</v>
      </c>
      <c r="H26" s="10" t="s">
        <v>17</v>
      </c>
      <c r="I26" s="10" t="s">
        <v>17</v>
      </c>
      <c r="J26" s="11" t="str">
        <f t="shared" ca="1" si="0"/>
        <v>/A.</v>
      </c>
      <c r="K26" s="10" t="str">
        <f ca="1">IFERROR(__xludf.dummyfunction("CONCATENATE(ArrayFormula(""; ""&amp;QUERY(Hallazgos!A:F,""SELECT B WHERE E CONTAINS '""&amp;B26&amp;""' LABEL B ''"")))"),"#N/A")</f>
        <v>#N/A</v>
      </c>
    </row>
    <row r="27" spans="1:11" x14ac:dyDescent="0.25">
      <c r="A27" s="7" t="s">
        <v>74</v>
      </c>
      <c r="B27" s="8" t="s">
        <v>75</v>
      </c>
      <c r="C27" s="9" t="s">
        <v>41</v>
      </c>
      <c r="D27" s="9" t="s">
        <v>69</v>
      </c>
      <c r="E27" s="9" t="s">
        <v>76</v>
      </c>
      <c r="F27" s="9" t="s">
        <v>55</v>
      </c>
      <c r="G27" s="10" t="s">
        <v>17</v>
      </c>
      <c r="H27" s="10" t="s">
        <v>17</v>
      </c>
      <c r="I27" s="10" t="s">
        <v>17</v>
      </c>
      <c r="J27" s="11" t="str">
        <f t="shared" ca="1" si="0"/>
        <v>/A.</v>
      </c>
      <c r="K27" s="10" t="str">
        <f ca="1">IFERROR(__xludf.dummyfunction("CONCATENATE(ArrayFormula(""; ""&amp;QUERY(Hallazgos!A:F,""SELECT B WHERE E CONTAINS '""&amp;B27&amp;""' LABEL B ''"")))"),"#N/A")</f>
        <v>#N/A</v>
      </c>
    </row>
    <row r="28" spans="1:11" x14ac:dyDescent="0.25">
      <c r="A28" s="7" t="s">
        <v>77</v>
      </c>
      <c r="B28" s="8" t="s">
        <v>78</v>
      </c>
      <c r="C28" s="9" t="s">
        <v>41</v>
      </c>
      <c r="D28" s="9" t="s">
        <v>69</v>
      </c>
      <c r="E28" s="9" t="s">
        <v>76</v>
      </c>
      <c r="F28" s="9" t="s">
        <v>73</v>
      </c>
      <c r="G28" s="10" t="s">
        <v>17</v>
      </c>
      <c r="H28" s="10" t="s">
        <v>17</v>
      </c>
      <c r="I28" s="10" t="s">
        <v>17</v>
      </c>
      <c r="J28" s="11" t="str">
        <f t="shared" ca="1" si="0"/>
        <v>/A.</v>
      </c>
      <c r="K28" s="10" t="str">
        <f ca="1">IFERROR(__xludf.dummyfunction("CONCATENATE(ArrayFormula(""; ""&amp;QUERY(Hallazgos!A:F,""SELECT B WHERE E CONTAINS '""&amp;B28&amp;""' LABEL B ''"")))"),"#N/A")</f>
        <v>#N/A</v>
      </c>
    </row>
    <row r="29" spans="1:11" x14ac:dyDescent="0.25">
      <c r="A29" s="7" t="s">
        <v>79</v>
      </c>
      <c r="B29" s="8" t="s">
        <v>80</v>
      </c>
      <c r="C29" s="9" t="s">
        <v>41</v>
      </c>
      <c r="D29" s="9" t="s">
        <v>69</v>
      </c>
      <c r="E29" s="9" t="s">
        <v>81</v>
      </c>
      <c r="F29" s="9" t="s">
        <v>55</v>
      </c>
      <c r="G29" s="10" t="s">
        <v>17</v>
      </c>
      <c r="H29" s="10" t="s">
        <v>17</v>
      </c>
      <c r="I29" s="10" t="s">
        <v>17</v>
      </c>
      <c r="J29" s="11" t="str">
        <f t="shared" ca="1" si="0"/>
        <v>/A.</v>
      </c>
      <c r="K29" s="10" t="str">
        <f ca="1">IFERROR(__xludf.dummyfunction("CONCATENATE(ArrayFormula(""; ""&amp;QUERY(Hallazgos!A:F,""SELECT B WHERE E CONTAINS '""&amp;B29&amp;""' LABEL B ''"")))"),"#N/A")</f>
        <v>#N/A</v>
      </c>
    </row>
    <row r="30" spans="1:11" x14ac:dyDescent="0.25">
      <c r="A30" s="7" t="s">
        <v>82</v>
      </c>
      <c r="B30" s="8" t="s">
        <v>83</v>
      </c>
      <c r="C30" s="9" t="s">
        <v>41</v>
      </c>
      <c r="D30" s="9" t="s">
        <v>69</v>
      </c>
      <c r="E30" s="9" t="s">
        <v>81</v>
      </c>
      <c r="F30" s="9" t="s">
        <v>55</v>
      </c>
      <c r="G30" s="10" t="s">
        <v>17</v>
      </c>
      <c r="H30" s="10" t="s">
        <v>17</v>
      </c>
      <c r="I30" s="10" t="s">
        <v>17</v>
      </c>
      <c r="J30" s="11" t="str">
        <f t="shared" ca="1" si="0"/>
        <v>/A.</v>
      </c>
      <c r="K30" s="10" t="str">
        <f ca="1">IFERROR(__xludf.dummyfunction("CONCATENATE(ArrayFormula(""; ""&amp;QUERY(Hallazgos!A:F,""SELECT B WHERE E CONTAINS '""&amp;B30&amp;""' LABEL B ''"")))"),"#N/A")</f>
        <v>#N/A</v>
      </c>
    </row>
    <row r="31" spans="1:11" x14ac:dyDescent="0.25">
      <c r="A31" s="7" t="s">
        <v>84</v>
      </c>
      <c r="B31" s="8" t="s">
        <v>85</v>
      </c>
      <c r="C31" s="9" t="s">
        <v>41</v>
      </c>
      <c r="D31" s="9" t="s">
        <v>69</v>
      </c>
      <c r="E31" s="9" t="s">
        <v>81</v>
      </c>
      <c r="F31" s="9" t="s">
        <v>73</v>
      </c>
      <c r="G31" s="10" t="s">
        <v>17</v>
      </c>
      <c r="H31" s="10" t="s">
        <v>17</v>
      </c>
      <c r="I31" s="10" t="s">
        <v>17</v>
      </c>
      <c r="J31" s="11" t="str">
        <f t="shared" ca="1" si="0"/>
        <v>/A.</v>
      </c>
      <c r="K31" s="10" t="str">
        <f ca="1">IFERROR(__xludf.dummyfunction("CONCATENATE(ArrayFormula(""; ""&amp;QUERY(Hallazgos!A:F,""SELECT B WHERE E CONTAINS '""&amp;B31&amp;""' LABEL B ''"")))"),"#N/A")</f>
        <v>#N/A</v>
      </c>
    </row>
    <row r="32" spans="1:11" x14ac:dyDescent="0.25">
      <c r="A32" s="7" t="s">
        <v>86</v>
      </c>
      <c r="B32" s="8" t="s">
        <v>87</v>
      </c>
      <c r="C32" s="9" t="s">
        <v>41</v>
      </c>
      <c r="D32" s="9" t="s">
        <v>69</v>
      </c>
      <c r="E32" s="9" t="s">
        <v>88</v>
      </c>
      <c r="F32" s="9" t="s">
        <v>73</v>
      </c>
      <c r="G32" s="10" t="s">
        <v>17</v>
      </c>
      <c r="H32" s="10" t="s">
        <v>17</v>
      </c>
      <c r="I32" s="10" t="s">
        <v>17</v>
      </c>
      <c r="J32" s="11" t="str">
        <f t="shared" ca="1" si="0"/>
        <v>/A.</v>
      </c>
      <c r="K32" s="10" t="str">
        <f ca="1">IFERROR(__xludf.dummyfunction("CONCATENATE(ArrayFormula(""; ""&amp;QUERY(Hallazgos!A:F,""SELECT B WHERE E CONTAINS '""&amp;B32&amp;""' LABEL B ''"")))"),"#N/A")</f>
        <v>#N/A</v>
      </c>
    </row>
    <row r="33" spans="1:11" x14ac:dyDescent="0.25">
      <c r="A33" s="7" t="s">
        <v>89</v>
      </c>
      <c r="B33" s="8" t="s">
        <v>90</v>
      </c>
      <c r="C33" s="9" t="s">
        <v>41</v>
      </c>
      <c r="D33" s="9" t="s">
        <v>69</v>
      </c>
      <c r="E33" s="9" t="s">
        <v>81</v>
      </c>
      <c r="F33" s="9" t="s">
        <v>73</v>
      </c>
      <c r="G33" s="10" t="s">
        <v>17</v>
      </c>
      <c r="H33" s="10" t="s">
        <v>17</v>
      </c>
      <c r="I33" s="10" t="s">
        <v>17</v>
      </c>
      <c r="J33" s="11" t="str">
        <f t="shared" ca="1" si="0"/>
        <v>/A.</v>
      </c>
      <c r="K33" s="10" t="str">
        <f ca="1">IFERROR(__xludf.dummyfunction("CONCATENATE(ArrayFormula(""; ""&amp;QUERY(Hallazgos!A:F,""SELECT B WHERE E CONTAINS '""&amp;B33&amp;""' LABEL B ''"")))"),"#N/A")</f>
        <v>#N/A</v>
      </c>
    </row>
    <row r="34" spans="1:11" x14ac:dyDescent="0.25">
      <c r="A34" s="7" t="s">
        <v>91</v>
      </c>
      <c r="B34" s="8" t="s">
        <v>92</v>
      </c>
      <c r="C34" s="9" t="s">
        <v>41</v>
      </c>
      <c r="D34" s="9" t="s">
        <v>69</v>
      </c>
      <c r="E34" s="9" t="s">
        <v>81</v>
      </c>
      <c r="F34" s="9" t="s">
        <v>73</v>
      </c>
      <c r="G34" s="10" t="s">
        <v>17</v>
      </c>
      <c r="H34" s="10" t="s">
        <v>17</v>
      </c>
      <c r="I34" s="10" t="s">
        <v>17</v>
      </c>
      <c r="J34" s="11" t="str">
        <f t="shared" ca="1" si="0"/>
        <v>/A.</v>
      </c>
      <c r="K34" s="10" t="str">
        <f ca="1">IFERROR(__xludf.dummyfunction("CONCATENATE(ArrayFormula(""; ""&amp;QUERY(Hallazgos!A:F,""SELECT B WHERE E CONTAINS '""&amp;B34&amp;""' LABEL B ''"")))"),"#N/A")</f>
        <v>#N/A</v>
      </c>
    </row>
    <row r="35" spans="1:11" x14ac:dyDescent="0.25">
      <c r="A35" s="7" t="s">
        <v>93</v>
      </c>
      <c r="B35" s="8" t="s">
        <v>94</v>
      </c>
      <c r="C35" s="9" t="s">
        <v>41</v>
      </c>
      <c r="D35" s="9" t="s">
        <v>95</v>
      </c>
      <c r="E35" s="9" t="s">
        <v>81</v>
      </c>
      <c r="F35" s="9" t="s">
        <v>55</v>
      </c>
      <c r="G35" s="10" t="s">
        <v>17</v>
      </c>
      <c r="H35" s="10" t="s">
        <v>17</v>
      </c>
      <c r="I35" s="10" t="s">
        <v>17</v>
      </c>
      <c r="J35" s="11" t="str">
        <f t="shared" ca="1" si="0"/>
        <v>/A.</v>
      </c>
      <c r="K35" s="10" t="str">
        <f ca="1">IFERROR(__xludf.dummyfunction("CONCATENATE(ArrayFormula(""; ""&amp;QUERY(Hallazgos!A:F,""SELECT B WHERE E CONTAINS '""&amp;B35&amp;""' LABEL B ''"")))"),"#N/A")</f>
        <v>#N/A</v>
      </c>
    </row>
    <row r="36" spans="1:11" x14ac:dyDescent="0.25">
      <c r="A36" s="7" t="s">
        <v>96</v>
      </c>
      <c r="B36" s="8" t="s">
        <v>97</v>
      </c>
      <c r="C36" s="9" t="s">
        <v>41</v>
      </c>
      <c r="D36" s="9" t="s">
        <v>95</v>
      </c>
      <c r="E36" s="9" t="s">
        <v>98</v>
      </c>
      <c r="F36" s="9" t="s">
        <v>55</v>
      </c>
      <c r="G36" s="10" t="s">
        <v>17</v>
      </c>
      <c r="H36" s="10" t="s">
        <v>17</v>
      </c>
      <c r="I36" s="10" t="s">
        <v>17</v>
      </c>
      <c r="J36" s="11" t="str">
        <f t="shared" ca="1" si="0"/>
        <v>/A.</v>
      </c>
      <c r="K36" s="10" t="str">
        <f ca="1">IFERROR(__xludf.dummyfunction("CONCATENATE(ArrayFormula(""; ""&amp;QUERY(Hallazgos!A:F,""SELECT B WHERE E CONTAINS '""&amp;B36&amp;""' LABEL B ''"")))"),"#N/A")</f>
        <v>#N/A</v>
      </c>
    </row>
    <row r="37" spans="1:11" x14ac:dyDescent="0.25">
      <c r="A37" s="7" t="s">
        <v>99</v>
      </c>
      <c r="B37" s="8" t="s">
        <v>100</v>
      </c>
      <c r="C37" s="9" t="s">
        <v>41</v>
      </c>
      <c r="D37" s="9" t="s">
        <v>95</v>
      </c>
      <c r="E37" s="9" t="s">
        <v>98</v>
      </c>
      <c r="F37" s="9" t="s">
        <v>55</v>
      </c>
      <c r="G37" s="10" t="s">
        <v>17</v>
      </c>
      <c r="H37" s="10" t="s">
        <v>17</v>
      </c>
      <c r="I37" s="10" t="s">
        <v>17</v>
      </c>
      <c r="J37" s="11" t="str">
        <f t="shared" ca="1" si="0"/>
        <v>/A.</v>
      </c>
      <c r="K37" s="10" t="str">
        <f ca="1">IFERROR(__xludf.dummyfunction("CONCATENATE(ArrayFormula(""; ""&amp;QUERY(Hallazgos!A:F,""SELECT B WHERE E CONTAINS '""&amp;B37&amp;""' LABEL B ''"")))"),"#N/A")</f>
        <v>#N/A</v>
      </c>
    </row>
    <row r="38" spans="1:11" x14ac:dyDescent="0.25">
      <c r="A38" s="7" t="s">
        <v>101</v>
      </c>
      <c r="B38" s="8" t="s">
        <v>102</v>
      </c>
      <c r="C38" s="9" t="s">
        <v>41</v>
      </c>
      <c r="D38" s="9" t="s">
        <v>103</v>
      </c>
      <c r="E38" s="9" t="s">
        <v>81</v>
      </c>
      <c r="F38" s="9" t="s">
        <v>104</v>
      </c>
      <c r="G38" s="10" t="s">
        <v>17</v>
      </c>
      <c r="H38" s="10" t="s">
        <v>17</v>
      </c>
      <c r="I38" s="10" t="s">
        <v>17</v>
      </c>
      <c r="J38" s="11" t="str">
        <f t="shared" ca="1" si="0"/>
        <v>/A.</v>
      </c>
      <c r="K38" s="10" t="str">
        <f ca="1">IFERROR(__xludf.dummyfunction("CONCATENATE(ArrayFormula(""; ""&amp;QUERY(Hallazgos!A:F,""SELECT B WHERE E CONTAINS '""&amp;B38&amp;""' LABEL B ''"")))"),"#N/A")</f>
        <v>#N/A</v>
      </c>
    </row>
    <row r="39" spans="1:11" x14ac:dyDescent="0.25">
      <c r="A39" s="7" t="s">
        <v>105</v>
      </c>
      <c r="B39" s="8" t="s">
        <v>106</v>
      </c>
      <c r="C39" s="9" t="s">
        <v>41</v>
      </c>
      <c r="D39" s="9" t="s">
        <v>103</v>
      </c>
      <c r="E39" s="9" t="s">
        <v>81</v>
      </c>
      <c r="F39" s="9" t="s">
        <v>73</v>
      </c>
      <c r="G39" s="10" t="s">
        <v>17</v>
      </c>
      <c r="H39" s="10" t="s">
        <v>17</v>
      </c>
      <c r="I39" s="10" t="s">
        <v>17</v>
      </c>
      <c r="J39" s="11" t="str">
        <f t="shared" ca="1" si="0"/>
        <v>/A.</v>
      </c>
      <c r="K39" s="10" t="str">
        <f ca="1">IFERROR(__xludf.dummyfunction("CONCATENATE(ArrayFormula(""; ""&amp;QUERY(Hallazgos!A:F,""SELECT B WHERE E CONTAINS '""&amp;B39&amp;""' LABEL B ''"")))"),"#N/A")</f>
        <v>#N/A</v>
      </c>
    </row>
    <row r="40" spans="1:11" x14ac:dyDescent="0.25">
      <c r="A40" s="7" t="s">
        <v>107</v>
      </c>
      <c r="B40" s="8" t="s">
        <v>108</v>
      </c>
      <c r="C40" s="9" t="s">
        <v>41</v>
      </c>
      <c r="D40" s="9" t="s">
        <v>103</v>
      </c>
      <c r="E40" s="9" t="s">
        <v>76</v>
      </c>
      <c r="F40" s="9" t="s">
        <v>55</v>
      </c>
      <c r="G40" s="10" t="s">
        <v>17</v>
      </c>
      <c r="H40" s="10" t="s">
        <v>17</v>
      </c>
      <c r="I40" s="10" t="s">
        <v>17</v>
      </c>
      <c r="J40" s="11" t="str">
        <f t="shared" ca="1" si="0"/>
        <v>/A.</v>
      </c>
      <c r="K40" s="10" t="str">
        <f ca="1">IFERROR(__xludf.dummyfunction("CONCATENATE(ArrayFormula(""; ""&amp;QUERY(Hallazgos!A:F,""SELECT B WHERE E CONTAINS '""&amp;B40&amp;""' LABEL B ''"")))"),"#N/A")</f>
        <v>#N/A</v>
      </c>
    </row>
    <row r="41" spans="1:11" x14ac:dyDescent="0.25">
      <c r="A41" s="7" t="s">
        <v>109</v>
      </c>
      <c r="B41" s="8" t="s">
        <v>110</v>
      </c>
      <c r="C41" s="9" t="s">
        <v>41</v>
      </c>
      <c r="D41" s="9" t="s">
        <v>103</v>
      </c>
      <c r="E41" s="9" t="s">
        <v>111</v>
      </c>
      <c r="F41" s="9" t="s">
        <v>55</v>
      </c>
      <c r="G41" s="10" t="s">
        <v>17</v>
      </c>
      <c r="H41" s="10" t="s">
        <v>17</v>
      </c>
      <c r="I41" s="10" t="s">
        <v>17</v>
      </c>
      <c r="J41" s="11" t="str">
        <f t="shared" ca="1" si="0"/>
        <v>/A.</v>
      </c>
      <c r="K41" s="10" t="str">
        <f ca="1">IFERROR(__xludf.dummyfunction("CONCATENATE(ArrayFormula(""; ""&amp;QUERY(Hallazgos!A:F,""SELECT B WHERE E CONTAINS '""&amp;B41&amp;""' LABEL B ''"")))"),"#N/A")</f>
        <v>#N/A</v>
      </c>
    </row>
    <row r="42" spans="1:11" x14ac:dyDescent="0.25">
      <c r="A42" s="7" t="s">
        <v>112</v>
      </c>
      <c r="B42" s="8" t="s">
        <v>113</v>
      </c>
      <c r="C42" s="9" t="s">
        <v>41</v>
      </c>
      <c r="D42" s="9" t="s">
        <v>103</v>
      </c>
      <c r="E42" s="9" t="s">
        <v>76</v>
      </c>
      <c r="F42" s="9" t="s">
        <v>55</v>
      </c>
      <c r="G42" s="10" t="s">
        <v>17</v>
      </c>
      <c r="H42" s="10" t="s">
        <v>17</v>
      </c>
      <c r="I42" s="10" t="s">
        <v>17</v>
      </c>
      <c r="J42" s="11" t="str">
        <f t="shared" ca="1" si="0"/>
        <v>/A.</v>
      </c>
      <c r="K42" s="10" t="str">
        <f ca="1">IFERROR(__xludf.dummyfunction("CONCATENATE(ArrayFormula(""; ""&amp;QUERY(Hallazgos!A:F,""SELECT B WHERE E CONTAINS '""&amp;B42&amp;""' LABEL B ''"")))"),"#N/A")</f>
        <v>#N/A</v>
      </c>
    </row>
    <row r="43" spans="1:11" x14ac:dyDescent="0.25">
      <c r="A43" s="7" t="s">
        <v>114</v>
      </c>
      <c r="B43" s="8" t="s">
        <v>115</v>
      </c>
      <c r="C43" s="9" t="s">
        <v>41</v>
      </c>
      <c r="D43" s="9" t="s">
        <v>103</v>
      </c>
      <c r="E43" s="9" t="s">
        <v>116</v>
      </c>
      <c r="F43" s="9" t="s">
        <v>55</v>
      </c>
      <c r="G43" s="10" t="s">
        <v>17</v>
      </c>
      <c r="H43" s="10" t="s">
        <v>17</v>
      </c>
      <c r="I43" s="10" t="s">
        <v>17</v>
      </c>
      <c r="J43" s="11" t="str">
        <f t="shared" ca="1" si="0"/>
        <v>/A.</v>
      </c>
      <c r="K43" s="10" t="str">
        <f ca="1">IFERROR(__xludf.dummyfunction("CONCATENATE(ArrayFormula(""; ""&amp;QUERY(Hallazgos!A:F,""SELECT B WHERE E CONTAINS '""&amp;B43&amp;""' LABEL B ''"")))"),"#N/A")</f>
        <v>#N/A</v>
      </c>
    </row>
    <row r="44" spans="1:11" x14ac:dyDescent="0.25">
      <c r="A44" s="7" t="s">
        <v>117</v>
      </c>
      <c r="B44" s="8" t="s">
        <v>118</v>
      </c>
      <c r="C44" s="9" t="s">
        <v>41</v>
      </c>
      <c r="D44" s="9" t="s">
        <v>103</v>
      </c>
      <c r="E44" s="9" t="s">
        <v>76</v>
      </c>
      <c r="F44" s="9" t="s">
        <v>55</v>
      </c>
      <c r="G44" s="10" t="s">
        <v>17</v>
      </c>
      <c r="H44" s="10" t="s">
        <v>17</v>
      </c>
      <c r="I44" s="10" t="s">
        <v>17</v>
      </c>
      <c r="J44" s="11" t="str">
        <f t="shared" ca="1" si="0"/>
        <v>/A.</v>
      </c>
      <c r="K44" s="10" t="str">
        <f ca="1">IFERROR(__xludf.dummyfunction("CONCATENATE(ArrayFormula(""; ""&amp;QUERY(Hallazgos!A:F,""SELECT B WHERE E CONTAINS '""&amp;B44&amp;""' LABEL B ''"")))"),"#N/A")</f>
        <v>#N/A</v>
      </c>
    </row>
    <row r="45" spans="1:11" x14ac:dyDescent="0.25">
      <c r="A45" s="7" t="s">
        <v>119</v>
      </c>
      <c r="B45" s="8" t="s">
        <v>120</v>
      </c>
      <c r="C45" s="9" t="s">
        <v>41</v>
      </c>
      <c r="D45" s="9" t="s">
        <v>103</v>
      </c>
      <c r="E45" s="9" t="s">
        <v>116</v>
      </c>
      <c r="F45" s="9" t="s">
        <v>73</v>
      </c>
      <c r="G45" s="10" t="s">
        <v>17</v>
      </c>
      <c r="H45" s="10" t="s">
        <v>17</v>
      </c>
      <c r="I45" s="10" t="s">
        <v>17</v>
      </c>
      <c r="J45" s="11" t="str">
        <f t="shared" ca="1" si="0"/>
        <v>/A.</v>
      </c>
      <c r="K45" s="10" t="str">
        <f ca="1">IFERROR(__xludf.dummyfunction("CONCATENATE(ArrayFormula(""; ""&amp;QUERY(Hallazgos!A:F,""SELECT B WHERE E CONTAINS '""&amp;B45&amp;""' LABEL B ''"")))"),"#N/A")</f>
        <v>#N/A</v>
      </c>
    </row>
    <row r="46" spans="1:11" x14ac:dyDescent="0.25">
      <c r="A46" s="7" t="s">
        <v>121</v>
      </c>
      <c r="B46" s="8" t="s">
        <v>122</v>
      </c>
      <c r="C46" s="9" t="s">
        <v>41</v>
      </c>
      <c r="D46" s="9" t="s">
        <v>103</v>
      </c>
      <c r="E46" s="9" t="s">
        <v>116</v>
      </c>
      <c r="F46" s="9" t="s">
        <v>73</v>
      </c>
      <c r="G46" s="10" t="s">
        <v>17</v>
      </c>
      <c r="H46" s="10" t="s">
        <v>17</v>
      </c>
      <c r="I46" s="10" t="s">
        <v>17</v>
      </c>
      <c r="J46" s="11" t="str">
        <f t="shared" ca="1" si="0"/>
        <v>/A.</v>
      </c>
      <c r="K46" s="10" t="str">
        <f ca="1">IFERROR(__xludf.dummyfunction("CONCATENATE(ArrayFormula(""; ""&amp;QUERY(Hallazgos!A:F,""SELECT B WHERE E CONTAINS '""&amp;B46&amp;""' LABEL B ''"")))"),"#N/A")</f>
        <v>#N/A</v>
      </c>
    </row>
    <row r="47" spans="1:11" x14ac:dyDescent="0.25">
      <c r="A47" s="7" t="s">
        <v>123</v>
      </c>
      <c r="B47" s="8" t="s">
        <v>124</v>
      </c>
      <c r="C47" s="9" t="s">
        <v>13</v>
      </c>
      <c r="D47" s="9" t="s">
        <v>103</v>
      </c>
      <c r="E47" s="9" t="s">
        <v>81</v>
      </c>
      <c r="F47" s="9" t="s">
        <v>55</v>
      </c>
      <c r="G47" s="10" t="s">
        <v>17</v>
      </c>
      <c r="H47" s="10" t="s">
        <v>17</v>
      </c>
      <c r="I47" s="10" t="s">
        <v>17</v>
      </c>
      <c r="J47" s="11" t="str">
        <f t="shared" ca="1" si="0"/>
        <v>/A.</v>
      </c>
      <c r="K47" s="10" t="str">
        <f ca="1">IFERROR(__xludf.dummyfunction("CONCATENATE(ArrayFormula(""; ""&amp;QUERY(Hallazgos!A:F,""SELECT B WHERE E CONTAINS '""&amp;B47&amp;""' LABEL B ''"")))"),"#N/A")</f>
        <v>#N/A</v>
      </c>
    </row>
    <row r="48" spans="1:11" x14ac:dyDescent="0.25">
      <c r="A48" s="7" t="s">
        <v>125</v>
      </c>
      <c r="B48" s="8" t="s">
        <v>126</v>
      </c>
      <c r="C48" s="9" t="s">
        <v>41</v>
      </c>
      <c r="D48" s="9" t="s">
        <v>103</v>
      </c>
      <c r="E48" s="9" t="s">
        <v>76</v>
      </c>
      <c r="F48" s="9" t="s">
        <v>55</v>
      </c>
      <c r="G48" s="10" t="s">
        <v>17</v>
      </c>
      <c r="H48" s="10" t="s">
        <v>17</v>
      </c>
      <c r="I48" s="10" t="s">
        <v>17</v>
      </c>
      <c r="J48" s="11" t="str">
        <f t="shared" ca="1" si="0"/>
        <v>/A.</v>
      </c>
      <c r="K48" s="10" t="str">
        <f ca="1">IFERROR(__xludf.dummyfunction("CONCATENATE(ArrayFormula(""; ""&amp;QUERY(Hallazgos!A:F,""SELECT B WHERE E CONTAINS '""&amp;B48&amp;""' LABEL B ''"")))"),"#N/A")</f>
        <v>#N/A</v>
      </c>
    </row>
    <row r="49" spans="1:11" x14ac:dyDescent="0.25">
      <c r="A49" s="7" t="s">
        <v>127</v>
      </c>
      <c r="B49" s="8" t="s">
        <v>128</v>
      </c>
      <c r="C49" s="9" t="s">
        <v>41</v>
      </c>
      <c r="D49" s="9" t="s">
        <v>103</v>
      </c>
      <c r="E49" s="9" t="s">
        <v>76</v>
      </c>
      <c r="F49" s="9" t="s">
        <v>55</v>
      </c>
      <c r="G49" s="10" t="s">
        <v>17</v>
      </c>
      <c r="H49" s="10" t="s">
        <v>17</v>
      </c>
      <c r="I49" s="10" t="s">
        <v>17</v>
      </c>
      <c r="J49" s="11" t="str">
        <f t="shared" ca="1" si="0"/>
        <v>/A.</v>
      </c>
      <c r="K49" s="10" t="str">
        <f ca="1">IFERROR(__xludf.dummyfunction("CONCATENATE(ArrayFormula(""; ""&amp;QUERY(Hallazgos!A:F,""SELECT B WHERE E CONTAINS '""&amp;B49&amp;""' LABEL B ''"")))"),"#N/A")</f>
        <v>#N/A</v>
      </c>
    </row>
    <row r="50" spans="1:11" x14ac:dyDescent="0.25">
      <c r="A50" s="7" t="s">
        <v>129</v>
      </c>
      <c r="B50" s="8" t="s">
        <v>130</v>
      </c>
      <c r="C50" s="9" t="s">
        <v>41</v>
      </c>
      <c r="D50" s="9" t="s">
        <v>131</v>
      </c>
      <c r="E50" s="9" t="s">
        <v>132</v>
      </c>
      <c r="F50" s="9" t="s">
        <v>44</v>
      </c>
      <c r="G50" s="10" t="s">
        <v>17</v>
      </c>
      <c r="H50" s="10" t="s">
        <v>17</v>
      </c>
      <c r="I50" s="10" t="s">
        <v>17</v>
      </c>
      <c r="J50" s="11" t="str">
        <f t="shared" ca="1" si="0"/>
        <v>/A.</v>
      </c>
      <c r="K50" s="10" t="str">
        <f ca="1">IFERROR(__xludf.dummyfunction("CONCATENATE(ArrayFormula(""; ""&amp;QUERY(Hallazgos!A:F,""SELECT B WHERE E CONTAINS '""&amp;B50&amp;""' LABEL B ''"")))"),"#N/A")</f>
        <v>#N/A</v>
      </c>
    </row>
    <row r="51" spans="1:11" x14ac:dyDescent="0.25">
      <c r="A51" s="7" t="s">
        <v>133</v>
      </c>
      <c r="B51" s="8" t="s">
        <v>134</v>
      </c>
      <c r="C51" s="9" t="s">
        <v>41</v>
      </c>
      <c r="D51" s="9" t="s">
        <v>131</v>
      </c>
      <c r="E51" s="9" t="s">
        <v>132</v>
      </c>
      <c r="F51" s="9" t="s">
        <v>44</v>
      </c>
      <c r="G51" s="10" t="s">
        <v>17</v>
      </c>
      <c r="H51" s="10" t="s">
        <v>17</v>
      </c>
      <c r="I51" s="10" t="s">
        <v>17</v>
      </c>
      <c r="J51" s="11" t="str">
        <f t="shared" ca="1" si="0"/>
        <v>/A.</v>
      </c>
      <c r="K51" s="10" t="str">
        <f ca="1">IFERROR(__xludf.dummyfunction("CONCATENATE(ArrayFormula(""; ""&amp;QUERY(Hallazgos!A:F,""SELECT B WHERE E CONTAINS '""&amp;B51&amp;""' LABEL B ''"")))"),"#N/A")</f>
        <v>#N/A</v>
      </c>
    </row>
    <row r="52" spans="1:11" x14ac:dyDescent="0.25">
      <c r="A52" s="7" t="s">
        <v>135</v>
      </c>
      <c r="B52" s="8" t="s">
        <v>136</v>
      </c>
      <c r="C52" s="9" t="s">
        <v>41</v>
      </c>
      <c r="D52" s="9" t="s">
        <v>131</v>
      </c>
      <c r="E52" s="9" t="s">
        <v>81</v>
      </c>
      <c r="F52" s="9" t="s">
        <v>73</v>
      </c>
      <c r="G52" s="10" t="s">
        <v>17</v>
      </c>
      <c r="H52" s="10" t="s">
        <v>17</v>
      </c>
      <c r="I52" s="10" t="s">
        <v>17</v>
      </c>
      <c r="J52" s="11" t="str">
        <f t="shared" ca="1" si="0"/>
        <v>/A.</v>
      </c>
      <c r="K52" s="10" t="str">
        <f ca="1">IFERROR(__xludf.dummyfunction("CONCATENATE(ArrayFormula(""; ""&amp;QUERY(Hallazgos!A:F,""SELECT B WHERE E CONTAINS '""&amp;B52&amp;""' LABEL B ''"")))"),"#N/A")</f>
        <v>#N/A</v>
      </c>
    </row>
    <row r="53" spans="1:11" x14ac:dyDescent="0.25">
      <c r="A53" s="7" t="s">
        <v>137</v>
      </c>
      <c r="B53" s="8" t="s">
        <v>138</v>
      </c>
      <c r="C53" s="9" t="s">
        <v>38</v>
      </c>
      <c r="D53" s="9" t="s">
        <v>131</v>
      </c>
      <c r="E53" s="9" t="s">
        <v>76</v>
      </c>
      <c r="F53" s="9" t="s">
        <v>73</v>
      </c>
      <c r="G53" s="10" t="s">
        <v>17</v>
      </c>
      <c r="H53" s="10" t="s">
        <v>17</v>
      </c>
      <c r="I53" s="10" t="s">
        <v>17</v>
      </c>
      <c r="J53" s="11" t="str">
        <f t="shared" ca="1" si="0"/>
        <v>/A.</v>
      </c>
      <c r="K53" s="10" t="str">
        <f ca="1">IFERROR(__xludf.dummyfunction("CONCATENATE(ArrayFormula(""; ""&amp;QUERY(Hallazgos!A:F,""SELECT B WHERE E CONTAINS '""&amp;B53&amp;""' LABEL B ''"")))"),"#N/A")</f>
        <v>#N/A</v>
      </c>
    </row>
    <row r="54" spans="1:11" x14ac:dyDescent="0.25">
      <c r="A54" s="7" t="s">
        <v>139</v>
      </c>
      <c r="B54" s="8" t="s">
        <v>140</v>
      </c>
      <c r="C54" s="9" t="s">
        <v>38</v>
      </c>
      <c r="D54" s="9" t="s">
        <v>131</v>
      </c>
      <c r="E54" s="9" t="s">
        <v>81</v>
      </c>
      <c r="F54" s="9" t="s">
        <v>44</v>
      </c>
      <c r="G54" s="10" t="s">
        <v>17</v>
      </c>
      <c r="H54" s="10" t="s">
        <v>17</v>
      </c>
      <c r="I54" s="10" t="s">
        <v>17</v>
      </c>
      <c r="J54" s="11" t="str">
        <f t="shared" ca="1" si="0"/>
        <v>/A.</v>
      </c>
      <c r="K54" s="10" t="str">
        <f ca="1">IFERROR(__xludf.dummyfunction("CONCATENATE(ArrayFormula(""; ""&amp;QUERY(Hallazgos!A:F,""SELECT B WHERE E CONTAINS '""&amp;B54&amp;""' LABEL B ''"")))"),"#N/A")</f>
        <v>#N/A</v>
      </c>
    </row>
    <row r="55" spans="1:11" x14ac:dyDescent="0.25">
      <c r="A55" s="7" t="s">
        <v>141</v>
      </c>
      <c r="B55" s="8" t="s">
        <v>142</v>
      </c>
      <c r="C55" s="9" t="s">
        <v>38</v>
      </c>
      <c r="D55" s="9" t="s">
        <v>131</v>
      </c>
      <c r="E55" s="9" t="s">
        <v>15</v>
      </c>
      <c r="F55" s="9" t="s">
        <v>44</v>
      </c>
      <c r="G55" s="10" t="s">
        <v>17</v>
      </c>
      <c r="H55" s="10" t="s">
        <v>17</v>
      </c>
      <c r="I55" s="10" t="s">
        <v>17</v>
      </c>
      <c r="J55" s="11" t="str">
        <f t="shared" ca="1" si="0"/>
        <v>/A.</v>
      </c>
      <c r="K55" s="10" t="str">
        <f ca="1">IFERROR(__xludf.dummyfunction("CONCATENATE(ArrayFormula(""; ""&amp;QUERY(Hallazgos!A:F,""SELECT B WHERE E CONTAINS '""&amp;B55&amp;""' LABEL B ''"")))"),"#N/A")</f>
        <v>#N/A</v>
      </c>
    </row>
    <row r="56" spans="1:11" x14ac:dyDescent="0.25">
      <c r="A56" s="7" t="s">
        <v>143</v>
      </c>
      <c r="B56" s="8" t="s">
        <v>144</v>
      </c>
      <c r="C56" s="9" t="s">
        <v>38</v>
      </c>
      <c r="D56" s="9" t="s">
        <v>131</v>
      </c>
      <c r="E56" s="9" t="s">
        <v>15</v>
      </c>
      <c r="F56" s="9" t="s">
        <v>44</v>
      </c>
      <c r="G56" s="10" t="s">
        <v>17</v>
      </c>
      <c r="H56" s="10" t="s">
        <v>17</v>
      </c>
      <c r="I56" s="10" t="s">
        <v>17</v>
      </c>
      <c r="J56" s="11" t="str">
        <f t="shared" ca="1" si="0"/>
        <v>/A.</v>
      </c>
      <c r="K56" s="10" t="str">
        <f ca="1">IFERROR(__xludf.dummyfunction("CONCATENATE(ArrayFormula(""; ""&amp;QUERY(Hallazgos!A:F,""SELECT B WHERE E CONTAINS '""&amp;B56&amp;""' LABEL B ''"")))"),"#N/A")</f>
        <v>#N/A</v>
      </c>
    </row>
    <row r="57" spans="1:11" x14ac:dyDescent="0.25">
      <c r="A57" s="7" t="s">
        <v>145</v>
      </c>
      <c r="B57" s="8" t="s">
        <v>146</v>
      </c>
      <c r="C57" s="9" t="s">
        <v>38</v>
      </c>
      <c r="D57" s="9" t="s">
        <v>131</v>
      </c>
      <c r="E57" s="9" t="s">
        <v>15</v>
      </c>
      <c r="F57" s="9" t="s">
        <v>44</v>
      </c>
      <c r="G57" s="10" t="s">
        <v>17</v>
      </c>
      <c r="H57" s="10" t="s">
        <v>17</v>
      </c>
      <c r="I57" s="10" t="s">
        <v>17</v>
      </c>
      <c r="J57" s="11" t="str">
        <f t="shared" ca="1" si="0"/>
        <v>/A.</v>
      </c>
      <c r="K57" s="10" t="str">
        <f ca="1">IFERROR(__xludf.dummyfunction("CONCATENATE(ArrayFormula(""; ""&amp;QUERY(Hallazgos!A:F,""SELECT B WHERE E CONTAINS '""&amp;B57&amp;""' LABEL B ''"")))"),"#N/A")</f>
        <v>#N/A</v>
      </c>
    </row>
    <row r="58" spans="1:11" x14ac:dyDescent="0.25">
      <c r="A58" s="7" t="s">
        <v>147</v>
      </c>
      <c r="B58" s="8" t="s">
        <v>148</v>
      </c>
      <c r="C58" s="9" t="s">
        <v>38</v>
      </c>
      <c r="D58" s="9" t="s">
        <v>131</v>
      </c>
      <c r="E58" s="9" t="s">
        <v>15</v>
      </c>
      <c r="F58" s="9" t="s">
        <v>44</v>
      </c>
      <c r="G58" s="10" t="s">
        <v>17</v>
      </c>
      <c r="H58" s="10" t="s">
        <v>17</v>
      </c>
      <c r="I58" s="10" t="s">
        <v>17</v>
      </c>
      <c r="J58" s="11" t="str">
        <f t="shared" ca="1" si="0"/>
        <v>/A.</v>
      </c>
      <c r="K58" s="10" t="str">
        <f ca="1">IFERROR(__xludf.dummyfunction("CONCATENATE(ArrayFormula(""; ""&amp;QUERY(Hallazgos!A:F,""SELECT B WHERE E CONTAINS '""&amp;B58&amp;""' LABEL B ''"")))"),"#N/A")</f>
        <v>#N/A</v>
      </c>
    </row>
    <row r="59" spans="1:11" x14ac:dyDescent="0.25">
      <c r="A59" s="7" t="s">
        <v>149</v>
      </c>
      <c r="B59" s="8" t="s">
        <v>150</v>
      </c>
      <c r="C59" s="9" t="s">
        <v>38</v>
      </c>
      <c r="D59" s="9" t="s">
        <v>131</v>
      </c>
      <c r="E59" s="9" t="s">
        <v>15</v>
      </c>
      <c r="F59" s="9" t="s">
        <v>44</v>
      </c>
      <c r="G59" s="10" t="s">
        <v>17</v>
      </c>
      <c r="H59" s="10" t="s">
        <v>17</v>
      </c>
      <c r="I59" s="10" t="s">
        <v>17</v>
      </c>
      <c r="J59" s="11" t="str">
        <f t="shared" ca="1" si="0"/>
        <v>/A.</v>
      </c>
      <c r="K59" s="10" t="str">
        <f ca="1">IFERROR(__xludf.dummyfunction("CONCATENATE(ArrayFormula(""; ""&amp;QUERY(Hallazgos!A:F,""SELECT B WHERE E CONTAINS '""&amp;B59&amp;""' LABEL B ''"")))"),"#N/A")</f>
        <v>#N/A</v>
      </c>
    </row>
    <row r="60" spans="1:11" x14ac:dyDescent="0.25">
      <c r="A60" s="7" t="s">
        <v>151</v>
      </c>
      <c r="B60" s="8" t="s">
        <v>152</v>
      </c>
      <c r="C60" s="9" t="s">
        <v>38</v>
      </c>
      <c r="D60" s="9" t="s">
        <v>131</v>
      </c>
      <c r="E60" s="9" t="s">
        <v>15</v>
      </c>
      <c r="F60" s="9" t="s">
        <v>44</v>
      </c>
      <c r="G60" s="10" t="s">
        <v>17</v>
      </c>
      <c r="H60" s="10" t="s">
        <v>17</v>
      </c>
      <c r="I60" s="10" t="s">
        <v>17</v>
      </c>
      <c r="J60" s="11" t="str">
        <f t="shared" ca="1" si="0"/>
        <v>/A.</v>
      </c>
      <c r="K60" s="10" t="str">
        <f ca="1">IFERROR(__xludf.dummyfunction("CONCATENATE(ArrayFormula(""; ""&amp;QUERY(Hallazgos!A:F,""SELECT B WHERE E CONTAINS '""&amp;B60&amp;""' LABEL B ''"")))"),"#N/A")</f>
        <v>#N/A</v>
      </c>
    </row>
    <row r="61" spans="1:11" x14ac:dyDescent="0.25">
      <c r="A61" s="7" t="s">
        <v>153</v>
      </c>
      <c r="B61" s="8" t="s">
        <v>154</v>
      </c>
      <c r="C61" s="9" t="s">
        <v>38</v>
      </c>
      <c r="D61" s="9" t="s">
        <v>131</v>
      </c>
      <c r="E61" s="9" t="s">
        <v>15</v>
      </c>
      <c r="F61" s="9" t="s">
        <v>44</v>
      </c>
      <c r="G61" s="10" t="s">
        <v>17</v>
      </c>
      <c r="H61" s="10" t="s">
        <v>17</v>
      </c>
      <c r="I61" s="10" t="s">
        <v>17</v>
      </c>
      <c r="J61" s="11" t="str">
        <f t="shared" ca="1" si="0"/>
        <v>/A.</v>
      </c>
      <c r="K61" s="10" t="str">
        <f ca="1">IFERROR(__xludf.dummyfunction("CONCATENATE(ArrayFormula(""; ""&amp;QUERY(Hallazgos!A:F,""SELECT B WHERE E CONTAINS '""&amp;B61&amp;""' LABEL B ''"")))"),"#N/A")</f>
        <v>#N/A</v>
      </c>
    </row>
    <row r="62" spans="1:11" x14ac:dyDescent="0.25">
      <c r="A62" s="7" t="s">
        <v>155</v>
      </c>
      <c r="B62" s="8" t="s">
        <v>156</v>
      </c>
      <c r="C62" s="9" t="s">
        <v>38</v>
      </c>
      <c r="D62" s="9" t="s">
        <v>131</v>
      </c>
      <c r="E62" s="9" t="s">
        <v>15</v>
      </c>
      <c r="F62" s="9" t="s">
        <v>44</v>
      </c>
      <c r="G62" s="10" t="s">
        <v>17</v>
      </c>
      <c r="H62" s="10" t="s">
        <v>17</v>
      </c>
      <c r="I62" s="10" t="s">
        <v>17</v>
      </c>
      <c r="J62" s="11" t="str">
        <f t="shared" ca="1" si="0"/>
        <v>/A.</v>
      </c>
      <c r="K62" s="10" t="str">
        <f ca="1">IFERROR(__xludf.dummyfunction("CONCATENATE(ArrayFormula(""; ""&amp;QUERY(Hallazgos!A:F,""SELECT B WHERE E CONTAINS '""&amp;B62&amp;""' LABEL B ''"")))"),"#N/A")</f>
        <v>#N/A</v>
      </c>
    </row>
    <row r="63" spans="1:11" x14ac:dyDescent="0.25">
      <c r="A63" s="7" t="s">
        <v>157</v>
      </c>
      <c r="B63" s="8" t="s">
        <v>158</v>
      </c>
      <c r="C63" s="9" t="s">
        <v>38</v>
      </c>
      <c r="D63" s="9" t="s">
        <v>131</v>
      </c>
      <c r="E63" s="9" t="s">
        <v>132</v>
      </c>
      <c r="F63" s="9" t="s">
        <v>55</v>
      </c>
      <c r="G63" s="10" t="s">
        <v>17</v>
      </c>
      <c r="H63" s="10" t="s">
        <v>17</v>
      </c>
      <c r="I63" s="10" t="s">
        <v>17</v>
      </c>
      <c r="J63" s="11" t="str">
        <f t="shared" ca="1" si="0"/>
        <v>/A.</v>
      </c>
      <c r="K63" s="10" t="str">
        <f ca="1">IFERROR(__xludf.dummyfunction("CONCATENATE(ArrayFormula(""; ""&amp;QUERY(Hallazgos!A:F,""SELECT B WHERE E CONTAINS '""&amp;B63&amp;""' LABEL B ''"")))"),"#N/A")</f>
        <v>#N/A</v>
      </c>
    </row>
    <row r="64" spans="1:11" x14ac:dyDescent="0.25">
      <c r="A64" s="7" t="s">
        <v>159</v>
      </c>
      <c r="B64" s="8" t="s">
        <v>160</v>
      </c>
      <c r="C64" s="9" t="s">
        <v>38</v>
      </c>
      <c r="D64" s="9" t="s">
        <v>131</v>
      </c>
      <c r="E64" s="9" t="s">
        <v>15</v>
      </c>
      <c r="F64" s="9" t="s">
        <v>73</v>
      </c>
      <c r="G64" s="10" t="s">
        <v>17</v>
      </c>
      <c r="H64" s="10" t="s">
        <v>17</v>
      </c>
      <c r="I64" s="10" t="s">
        <v>17</v>
      </c>
      <c r="J64" s="11" t="str">
        <f t="shared" ca="1" si="0"/>
        <v>/A.</v>
      </c>
      <c r="K64" s="10" t="str">
        <f ca="1">IFERROR(__xludf.dummyfunction("CONCATENATE(ArrayFormula(""; ""&amp;QUERY(Hallazgos!A:F,""SELECT B WHERE E CONTAINS '""&amp;B64&amp;""' LABEL B ''"")))"),"#N/A")</f>
        <v>#N/A</v>
      </c>
    </row>
    <row r="65" spans="1:11" x14ac:dyDescent="0.25">
      <c r="A65" s="7" t="s">
        <v>161</v>
      </c>
      <c r="B65" s="8" t="s">
        <v>162</v>
      </c>
      <c r="C65" s="9" t="s">
        <v>38</v>
      </c>
      <c r="D65" s="9" t="s">
        <v>131</v>
      </c>
      <c r="E65" s="9" t="s">
        <v>15</v>
      </c>
      <c r="F65" s="9" t="s">
        <v>49</v>
      </c>
      <c r="G65" s="10" t="s">
        <v>17</v>
      </c>
      <c r="H65" s="10" t="s">
        <v>17</v>
      </c>
      <c r="I65" s="10" t="s">
        <v>17</v>
      </c>
      <c r="J65" s="11" t="str">
        <f t="shared" ca="1" si="0"/>
        <v>/A.</v>
      </c>
      <c r="K65" s="10" t="str">
        <f ca="1">IFERROR(__xludf.dummyfunction("CONCATENATE(ArrayFormula(""; ""&amp;QUERY(Hallazgos!A:F,""SELECT B WHERE E CONTAINS '""&amp;B65&amp;""' LABEL B ''"")))"),"#N/A")</f>
        <v>#N/A</v>
      </c>
    </row>
    <row r="66" spans="1:11" x14ac:dyDescent="0.25">
      <c r="A66" s="7" t="s">
        <v>163</v>
      </c>
      <c r="B66" s="8" t="s">
        <v>164</v>
      </c>
      <c r="C66" s="9" t="s">
        <v>38</v>
      </c>
      <c r="D66" s="9" t="s">
        <v>131</v>
      </c>
      <c r="E66" s="9" t="s">
        <v>15</v>
      </c>
      <c r="F66" s="9" t="s">
        <v>49</v>
      </c>
      <c r="G66" s="10" t="s">
        <v>17</v>
      </c>
      <c r="H66" s="10" t="s">
        <v>17</v>
      </c>
      <c r="I66" s="10" t="s">
        <v>17</v>
      </c>
      <c r="J66" s="11" t="str">
        <f t="shared" ca="1" si="0"/>
        <v>/A.</v>
      </c>
      <c r="K66" s="10" t="str">
        <f ca="1">IFERROR(__xludf.dummyfunction("CONCATENATE(ArrayFormula(""; ""&amp;QUERY(Hallazgos!A:F,""SELECT B WHERE E CONTAINS '""&amp;B66&amp;""' LABEL B ''"")))"),"#N/A")</f>
        <v>#N/A</v>
      </c>
    </row>
    <row r="67" spans="1:11" x14ac:dyDescent="0.25">
      <c r="A67" s="7" t="s">
        <v>165</v>
      </c>
      <c r="B67" s="8" t="s">
        <v>166</v>
      </c>
      <c r="C67" s="9" t="s">
        <v>38</v>
      </c>
      <c r="D67" s="9" t="s">
        <v>131</v>
      </c>
      <c r="E67" s="9" t="s">
        <v>15</v>
      </c>
      <c r="F67" s="9" t="s">
        <v>49</v>
      </c>
      <c r="G67" s="10" t="s">
        <v>17</v>
      </c>
      <c r="H67" s="10" t="s">
        <v>17</v>
      </c>
      <c r="I67" s="10" t="s">
        <v>17</v>
      </c>
      <c r="J67" s="11" t="str">
        <f t="shared" ref="J67:J130" ca="1" si="1">IF(IFERROR(K67,7)=7,"",RIGHT(K67,LEN(K67)-2)&amp;".")</f>
        <v>/A.</v>
      </c>
      <c r="K67" s="10" t="str">
        <f ca="1">IFERROR(__xludf.dummyfunction("CONCATENATE(ArrayFormula(""; ""&amp;QUERY(Hallazgos!A:F,""SELECT B WHERE E CONTAINS '""&amp;B67&amp;""' LABEL B ''"")))"),"#N/A")</f>
        <v>#N/A</v>
      </c>
    </row>
    <row r="68" spans="1:11" x14ac:dyDescent="0.25">
      <c r="A68" s="7" t="s">
        <v>167</v>
      </c>
      <c r="B68" s="8" t="s">
        <v>168</v>
      </c>
      <c r="C68" s="9" t="s">
        <v>38</v>
      </c>
      <c r="D68" s="9" t="s">
        <v>131</v>
      </c>
      <c r="E68" s="9" t="s">
        <v>15</v>
      </c>
      <c r="F68" s="9" t="s">
        <v>49</v>
      </c>
      <c r="G68" s="10" t="s">
        <v>17</v>
      </c>
      <c r="H68" s="10" t="s">
        <v>17</v>
      </c>
      <c r="I68" s="10" t="s">
        <v>17</v>
      </c>
      <c r="J68" s="11" t="str">
        <f t="shared" ca="1" si="1"/>
        <v>/A.</v>
      </c>
      <c r="K68" s="10" t="str">
        <f ca="1">IFERROR(__xludf.dummyfunction("CONCATENATE(ArrayFormula(""; ""&amp;QUERY(Hallazgos!A:F,""SELECT B WHERE E CONTAINS '""&amp;B68&amp;""' LABEL B ''"")))"),"#N/A")</f>
        <v>#N/A</v>
      </c>
    </row>
    <row r="69" spans="1:11" x14ac:dyDescent="0.25">
      <c r="A69" s="7" t="s">
        <v>169</v>
      </c>
      <c r="B69" s="8" t="s">
        <v>170</v>
      </c>
      <c r="C69" s="9" t="s">
        <v>38</v>
      </c>
      <c r="D69" s="9" t="s">
        <v>131</v>
      </c>
      <c r="E69" s="9" t="s">
        <v>15</v>
      </c>
      <c r="F69" s="9" t="s">
        <v>49</v>
      </c>
      <c r="G69" s="10" t="s">
        <v>17</v>
      </c>
      <c r="H69" s="10" t="s">
        <v>17</v>
      </c>
      <c r="I69" s="10" t="s">
        <v>17</v>
      </c>
      <c r="J69" s="11" t="str">
        <f t="shared" ca="1" si="1"/>
        <v>/A.</v>
      </c>
      <c r="K69" s="10" t="str">
        <f ca="1">IFERROR(__xludf.dummyfunction("CONCATENATE(ArrayFormula(""; ""&amp;QUERY(Hallazgos!A:F,""SELECT B WHERE E CONTAINS '""&amp;B69&amp;""' LABEL B ''"")))"),"#N/A")</f>
        <v>#N/A</v>
      </c>
    </row>
    <row r="70" spans="1:11" x14ac:dyDescent="0.25">
      <c r="A70" s="7" t="s">
        <v>171</v>
      </c>
      <c r="B70" s="8" t="s">
        <v>172</v>
      </c>
      <c r="C70" s="9" t="s">
        <v>38</v>
      </c>
      <c r="D70" s="9" t="s">
        <v>131</v>
      </c>
      <c r="E70" s="9" t="s">
        <v>15</v>
      </c>
      <c r="F70" s="9" t="s">
        <v>49</v>
      </c>
      <c r="G70" s="10" t="s">
        <v>17</v>
      </c>
      <c r="H70" s="10" t="s">
        <v>17</v>
      </c>
      <c r="I70" s="10" t="s">
        <v>17</v>
      </c>
      <c r="J70" s="11" t="str">
        <f t="shared" ca="1" si="1"/>
        <v>/A.</v>
      </c>
      <c r="K70" s="10" t="str">
        <f ca="1">IFERROR(__xludf.dummyfunction("CONCATENATE(ArrayFormula(""; ""&amp;QUERY(Hallazgos!A:F,""SELECT B WHERE E CONTAINS '""&amp;B70&amp;""' LABEL B ''"")))"),"#N/A")</f>
        <v>#N/A</v>
      </c>
    </row>
    <row r="71" spans="1:11" x14ac:dyDescent="0.25">
      <c r="A71" s="7" t="s">
        <v>173</v>
      </c>
      <c r="B71" s="8" t="s">
        <v>174</v>
      </c>
      <c r="C71" s="9" t="s">
        <v>38</v>
      </c>
      <c r="D71" s="9" t="s">
        <v>131</v>
      </c>
      <c r="E71" s="9" t="s">
        <v>54</v>
      </c>
      <c r="F71" s="9" t="s">
        <v>49</v>
      </c>
      <c r="G71" s="10" t="s">
        <v>17</v>
      </c>
      <c r="H71" s="10" t="s">
        <v>17</v>
      </c>
      <c r="I71" s="10" t="s">
        <v>17</v>
      </c>
      <c r="J71" s="11" t="str">
        <f t="shared" ca="1" si="1"/>
        <v>/A.</v>
      </c>
      <c r="K71" s="10" t="str">
        <f ca="1">IFERROR(__xludf.dummyfunction("CONCATENATE(ArrayFormula(""; ""&amp;QUERY(Hallazgos!A:F,""SELECT B WHERE E CONTAINS '""&amp;B71&amp;""' LABEL B ''"")))"),"#N/A")</f>
        <v>#N/A</v>
      </c>
    </row>
    <row r="72" spans="1:11" x14ac:dyDescent="0.25">
      <c r="A72" s="7" t="s">
        <v>175</v>
      </c>
      <c r="B72" s="8" t="s">
        <v>176</v>
      </c>
      <c r="C72" s="9" t="s">
        <v>38</v>
      </c>
      <c r="D72" s="9" t="s">
        <v>131</v>
      </c>
      <c r="E72" s="9" t="s">
        <v>15</v>
      </c>
      <c r="F72" s="9" t="s">
        <v>49</v>
      </c>
      <c r="G72" s="10" t="s">
        <v>17</v>
      </c>
      <c r="H72" s="10" t="s">
        <v>17</v>
      </c>
      <c r="I72" s="10" t="s">
        <v>17</v>
      </c>
      <c r="J72" s="11" t="str">
        <f t="shared" ca="1" si="1"/>
        <v>/A.</v>
      </c>
      <c r="K72" s="10" t="str">
        <f ca="1">IFERROR(__xludf.dummyfunction("CONCATENATE(ArrayFormula(""; ""&amp;QUERY(Hallazgos!A:F,""SELECT B WHERE E CONTAINS '""&amp;B72&amp;""' LABEL B ''"")))"),"#N/A")</f>
        <v>#N/A</v>
      </c>
    </row>
    <row r="73" spans="1:11" x14ac:dyDescent="0.25">
      <c r="A73" s="7" t="s">
        <v>177</v>
      </c>
      <c r="B73" s="8" t="s">
        <v>178</v>
      </c>
      <c r="C73" s="9" t="s">
        <v>38</v>
      </c>
      <c r="D73" s="9" t="s">
        <v>131</v>
      </c>
      <c r="E73" s="9" t="s">
        <v>132</v>
      </c>
      <c r="F73" s="9" t="s">
        <v>49</v>
      </c>
      <c r="G73" s="10" t="s">
        <v>17</v>
      </c>
      <c r="H73" s="10" t="s">
        <v>17</v>
      </c>
      <c r="I73" s="10" t="s">
        <v>17</v>
      </c>
      <c r="J73" s="11" t="str">
        <f t="shared" ca="1" si="1"/>
        <v>/A.</v>
      </c>
      <c r="K73" s="10" t="str">
        <f ca="1">IFERROR(__xludf.dummyfunction("CONCATENATE(ArrayFormula(""; ""&amp;QUERY(Hallazgos!A:F,""SELECT B WHERE E CONTAINS '""&amp;B73&amp;""' LABEL B ''"")))"),"#N/A")</f>
        <v>#N/A</v>
      </c>
    </row>
    <row r="74" spans="1:11" x14ac:dyDescent="0.25">
      <c r="A74" s="7" t="s">
        <v>179</v>
      </c>
      <c r="B74" s="8" t="s">
        <v>180</v>
      </c>
      <c r="C74" s="9" t="s">
        <v>41</v>
      </c>
      <c r="D74" s="9" t="s">
        <v>131</v>
      </c>
      <c r="E74" s="9" t="s">
        <v>181</v>
      </c>
      <c r="F74" s="9" t="s">
        <v>44</v>
      </c>
      <c r="G74" s="10" t="s">
        <v>17</v>
      </c>
      <c r="H74" s="10" t="s">
        <v>17</v>
      </c>
      <c r="I74" s="10" t="s">
        <v>17</v>
      </c>
      <c r="J74" s="11" t="str">
        <f t="shared" ca="1" si="1"/>
        <v>/A.</v>
      </c>
      <c r="K74" s="10" t="str">
        <f ca="1">IFERROR(__xludf.dummyfunction("CONCATENATE(ArrayFormula(""; ""&amp;QUERY(Hallazgos!A:F,""SELECT B WHERE E CONTAINS '""&amp;B74&amp;""' LABEL B ''"")))"),"#N/A")</f>
        <v>#N/A</v>
      </c>
    </row>
    <row r="75" spans="1:11" x14ac:dyDescent="0.25">
      <c r="A75" s="7" t="s">
        <v>182</v>
      </c>
      <c r="B75" s="8" t="s">
        <v>183</v>
      </c>
      <c r="C75" s="9" t="s">
        <v>41</v>
      </c>
      <c r="D75" s="9" t="s">
        <v>131</v>
      </c>
      <c r="E75" s="9" t="s">
        <v>184</v>
      </c>
      <c r="F75" s="9" t="s">
        <v>44</v>
      </c>
      <c r="G75" s="10" t="s">
        <v>17</v>
      </c>
      <c r="H75" s="10" t="s">
        <v>17</v>
      </c>
      <c r="I75" s="10" t="s">
        <v>17</v>
      </c>
      <c r="J75" s="11" t="str">
        <f t="shared" ca="1" si="1"/>
        <v>/A.</v>
      </c>
      <c r="K75" s="10" t="str">
        <f ca="1">IFERROR(__xludf.dummyfunction("CONCATENATE(ArrayFormula(""; ""&amp;QUERY(Hallazgos!A:F,""SELECT B WHERE E CONTAINS '""&amp;B75&amp;""' LABEL B ''"")))"),"#N/A")</f>
        <v>#N/A</v>
      </c>
    </row>
    <row r="76" spans="1:11" x14ac:dyDescent="0.25">
      <c r="A76" s="7" t="s">
        <v>185</v>
      </c>
      <c r="B76" s="8" t="s">
        <v>186</v>
      </c>
      <c r="C76" s="9" t="s">
        <v>38</v>
      </c>
      <c r="D76" s="9" t="s">
        <v>131</v>
      </c>
      <c r="E76" s="9" t="s">
        <v>111</v>
      </c>
      <c r="F76" s="9" t="s">
        <v>55</v>
      </c>
      <c r="G76" s="10" t="s">
        <v>17</v>
      </c>
      <c r="H76" s="10" t="s">
        <v>17</v>
      </c>
      <c r="I76" s="10" t="s">
        <v>17</v>
      </c>
      <c r="J76" s="11" t="str">
        <f t="shared" ca="1" si="1"/>
        <v>/A.</v>
      </c>
      <c r="K76" s="10" t="str">
        <f ca="1">IFERROR(__xludf.dummyfunction("CONCATENATE(ArrayFormula(""; ""&amp;QUERY(Hallazgos!A:F,""SELECT B WHERE E CONTAINS '""&amp;B76&amp;""' LABEL B ''"")))"),"#N/A")</f>
        <v>#N/A</v>
      </c>
    </row>
    <row r="77" spans="1:11" x14ac:dyDescent="0.25">
      <c r="A77" s="7" t="s">
        <v>187</v>
      </c>
      <c r="B77" s="8" t="s">
        <v>188</v>
      </c>
      <c r="C77" s="9" t="s">
        <v>41</v>
      </c>
      <c r="D77" s="9" t="s">
        <v>189</v>
      </c>
      <c r="E77" s="9" t="s">
        <v>54</v>
      </c>
      <c r="F77" s="9" t="s">
        <v>55</v>
      </c>
      <c r="G77" s="10" t="s">
        <v>17</v>
      </c>
      <c r="H77" s="10" t="s">
        <v>17</v>
      </c>
      <c r="I77" s="10" t="s">
        <v>17</v>
      </c>
      <c r="J77" s="11" t="str">
        <f t="shared" ca="1" si="1"/>
        <v>/A.</v>
      </c>
      <c r="K77" s="10" t="str">
        <f ca="1">IFERROR(__xludf.dummyfunction("CONCATENATE(ArrayFormula(""; ""&amp;QUERY(Hallazgos!A:F,""SELECT B WHERE E CONTAINS '""&amp;B77&amp;""' LABEL B ''"")))"),"#N/A")</f>
        <v>#N/A</v>
      </c>
    </row>
    <row r="78" spans="1:11" x14ac:dyDescent="0.25">
      <c r="A78" s="7" t="s">
        <v>190</v>
      </c>
      <c r="B78" s="8" t="s">
        <v>191</v>
      </c>
      <c r="C78" s="9" t="s">
        <v>41</v>
      </c>
      <c r="D78" s="9" t="s">
        <v>189</v>
      </c>
      <c r="E78" s="9" t="s">
        <v>192</v>
      </c>
      <c r="F78" s="9" t="s">
        <v>55</v>
      </c>
      <c r="G78" s="10" t="s">
        <v>17</v>
      </c>
      <c r="H78" s="10" t="s">
        <v>17</v>
      </c>
      <c r="I78" s="10" t="s">
        <v>17</v>
      </c>
      <c r="J78" s="11" t="str">
        <f t="shared" ca="1" si="1"/>
        <v>/A.</v>
      </c>
      <c r="K78" s="10" t="str">
        <f ca="1">IFERROR(__xludf.dummyfunction("CONCATENATE(ArrayFormula(""; ""&amp;QUERY(Hallazgos!A:F,""SELECT B WHERE E CONTAINS '""&amp;B78&amp;""' LABEL B ''"")))"),"#N/A")</f>
        <v>#N/A</v>
      </c>
    </row>
    <row r="79" spans="1:11" x14ac:dyDescent="0.25">
      <c r="A79" s="7" t="s">
        <v>193</v>
      </c>
      <c r="B79" s="8" t="s">
        <v>194</v>
      </c>
      <c r="C79" s="9" t="s">
        <v>41</v>
      </c>
      <c r="D79" s="9" t="s">
        <v>189</v>
      </c>
      <c r="E79" s="9" t="s">
        <v>81</v>
      </c>
      <c r="F79" s="9" t="s">
        <v>55</v>
      </c>
      <c r="G79" s="10" t="s">
        <v>17</v>
      </c>
      <c r="H79" s="10" t="s">
        <v>17</v>
      </c>
      <c r="I79" s="10" t="s">
        <v>17</v>
      </c>
      <c r="J79" s="11" t="str">
        <f t="shared" ca="1" si="1"/>
        <v>/A.</v>
      </c>
      <c r="K79" s="10" t="str">
        <f ca="1">IFERROR(__xludf.dummyfunction("CONCATENATE(ArrayFormula(""; ""&amp;QUERY(Hallazgos!A:F,""SELECT B WHERE E CONTAINS '""&amp;B79&amp;""' LABEL B ''"")))"),"#N/A")</f>
        <v>#N/A</v>
      </c>
    </row>
    <row r="80" spans="1:11" x14ac:dyDescent="0.25">
      <c r="A80" s="7" t="s">
        <v>195</v>
      </c>
      <c r="B80" s="8" t="s">
        <v>196</v>
      </c>
      <c r="C80" s="9" t="s">
        <v>41</v>
      </c>
      <c r="D80" s="9" t="s">
        <v>189</v>
      </c>
      <c r="E80" s="9" t="s">
        <v>81</v>
      </c>
      <c r="F80" s="9" t="s">
        <v>55</v>
      </c>
      <c r="G80" s="10" t="s">
        <v>17</v>
      </c>
      <c r="H80" s="10" t="s">
        <v>17</v>
      </c>
      <c r="I80" s="10" t="s">
        <v>17</v>
      </c>
      <c r="J80" s="11" t="str">
        <f t="shared" ca="1" si="1"/>
        <v>/A.</v>
      </c>
      <c r="K80" s="10" t="str">
        <f ca="1">IFERROR(__xludf.dummyfunction("CONCATENATE(ArrayFormula(""; ""&amp;QUERY(Hallazgos!A:F,""SELECT B WHERE E CONTAINS '""&amp;B80&amp;""' LABEL B ''"")))"),"#N/A")</f>
        <v>#N/A</v>
      </c>
    </row>
    <row r="81" spans="1:11" x14ac:dyDescent="0.25">
      <c r="A81" s="7" t="s">
        <v>197</v>
      </c>
      <c r="B81" s="8" t="s">
        <v>198</v>
      </c>
      <c r="C81" s="9" t="s">
        <v>41</v>
      </c>
      <c r="D81" s="9" t="s">
        <v>189</v>
      </c>
      <c r="E81" s="9" t="s">
        <v>54</v>
      </c>
      <c r="F81" s="9" t="s">
        <v>55</v>
      </c>
      <c r="G81" s="10" t="s">
        <v>17</v>
      </c>
      <c r="H81" s="10" t="s">
        <v>17</v>
      </c>
      <c r="I81" s="10" t="s">
        <v>17</v>
      </c>
      <c r="J81" s="11" t="str">
        <f t="shared" ca="1" si="1"/>
        <v>/A.</v>
      </c>
      <c r="K81" s="10" t="str">
        <f ca="1">IFERROR(__xludf.dummyfunction("CONCATENATE(ArrayFormula(""; ""&amp;QUERY(Hallazgos!A:F,""SELECT B WHERE E CONTAINS '""&amp;B81&amp;""' LABEL B ''"")))"),"#N/A")</f>
        <v>#N/A</v>
      </c>
    </row>
    <row r="82" spans="1:11" x14ac:dyDescent="0.25">
      <c r="A82" s="7" t="s">
        <v>199</v>
      </c>
      <c r="B82" s="8" t="s">
        <v>200</v>
      </c>
      <c r="C82" s="9" t="s">
        <v>41</v>
      </c>
      <c r="D82" s="9" t="s">
        <v>189</v>
      </c>
      <c r="E82" s="9" t="s">
        <v>76</v>
      </c>
      <c r="F82" s="9" t="s">
        <v>55</v>
      </c>
      <c r="G82" s="10" t="s">
        <v>17</v>
      </c>
      <c r="H82" s="10" t="s">
        <v>17</v>
      </c>
      <c r="I82" s="10" t="s">
        <v>17</v>
      </c>
      <c r="J82" s="11" t="str">
        <f t="shared" ca="1" si="1"/>
        <v>/A.</v>
      </c>
      <c r="K82" s="10" t="str">
        <f ca="1">IFERROR(__xludf.dummyfunction("CONCATENATE(ArrayFormula(""; ""&amp;QUERY(Hallazgos!A:F,""SELECT B WHERE E CONTAINS '""&amp;B82&amp;""' LABEL B ''"")))"),"#N/A")</f>
        <v>#N/A</v>
      </c>
    </row>
    <row r="83" spans="1:11" x14ac:dyDescent="0.25">
      <c r="A83" s="7" t="s">
        <v>201</v>
      </c>
      <c r="B83" s="8" t="s">
        <v>202</v>
      </c>
      <c r="C83" s="9" t="s">
        <v>38</v>
      </c>
      <c r="D83" s="9" t="s">
        <v>189</v>
      </c>
      <c r="E83" s="9" t="s">
        <v>54</v>
      </c>
      <c r="F83" s="9" t="s">
        <v>55</v>
      </c>
      <c r="G83" s="10" t="s">
        <v>17</v>
      </c>
      <c r="H83" s="10" t="s">
        <v>17</v>
      </c>
      <c r="I83" s="10" t="s">
        <v>17</v>
      </c>
      <c r="J83" s="11" t="str">
        <f t="shared" ca="1" si="1"/>
        <v>/A.</v>
      </c>
      <c r="K83" s="10" t="str">
        <f ca="1">IFERROR(__xludf.dummyfunction("CONCATENATE(ArrayFormula(""; ""&amp;QUERY(Hallazgos!A:F,""SELECT B WHERE E CONTAINS '""&amp;B83&amp;""' LABEL B ''"")))"),"#N/A")</f>
        <v>#N/A</v>
      </c>
    </row>
    <row r="84" spans="1:11" x14ac:dyDescent="0.25">
      <c r="A84" s="7" t="s">
        <v>203</v>
      </c>
      <c r="B84" s="8" t="s">
        <v>204</v>
      </c>
      <c r="C84" s="9" t="s">
        <v>41</v>
      </c>
      <c r="D84" s="9" t="s">
        <v>189</v>
      </c>
      <c r="E84" s="9" t="s">
        <v>76</v>
      </c>
      <c r="F84" s="9" t="s">
        <v>55</v>
      </c>
      <c r="G84" s="10" t="s">
        <v>17</v>
      </c>
      <c r="H84" s="10" t="s">
        <v>17</v>
      </c>
      <c r="I84" s="10" t="s">
        <v>17</v>
      </c>
      <c r="J84" s="11" t="str">
        <f t="shared" ca="1" si="1"/>
        <v>/A.</v>
      </c>
      <c r="K84" s="10" t="str">
        <f ca="1">IFERROR(__xludf.dummyfunction("CONCATENATE(ArrayFormula(""; ""&amp;QUERY(Hallazgos!A:F,""SELECT B WHERE E CONTAINS '""&amp;B84&amp;""' LABEL B ''"")))"),"#N/A")</f>
        <v>#N/A</v>
      </c>
    </row>
    <row r="85" spans="1:11" x14ac:dyDescent="0.25">
      <c r="A85" s="7" t="s">
        <v>205</v>
      </c>
      <c r="B85" s="8" t="s">
        <v>206</v>
      </c>
      <c r="C85" s="9" t="s">
        <v>41</v>
      </c>
      <c r="D85" s="9" t="s">
        <v>189</v>
      </c>
      <c r="E85" s="9" t="s">
        <v>81</v>
      </c>
      <c r="F85" s="9" t="s">
        <v>55</v>
      </c>
      <c r="G85" s="10" t="s">
        <v>17</v>
      </c>
      <c r="H85" s="10" t="s">
        <v>17</v>
      </c>
      <c r="I85" s="10" t="s">
        <v>17</v>
      </c>
      <c r="J85" s="11" t="str">
        <f t="shared" ca="1" si="1"/>
        <v>/A.</v>
      </c>
      <c r="K85" s="10" t="str">
        <f ca="1">IFERROR(__xludf.dummyfunction("CONCATENATE(ArrayFormula(""; ""&amp;QUERY(Hallazgos!A:F,""SELECT B WHERE E CONTAINS '""&amp;B85&amp;""' LABEL B ''"")))"),"#N/A")</f>
        <v>#N/A</v>
      </c>
    </row>
    <row r="86" spans="1:11" x14ac:dyDescent="0.25">
      <c r="A86" s="7" t="s">
        <v>207</v>
      </c>
      <c r="B86" s="8" t="s">
        <v>208</v>
      </c>
      <c r="C86" s="9" t="s">
        <v>41</v>
      </c>
      <c r="D86" s="9" t="s">
        <v>189</v>
      </c>
      <c r="E86" s="9" t="s">
        <v>54</v>
      </c>
      <c r="F86" s="9" t="s">
        <v>55</v>
      </c>
      <c r="G86" s="10" t="s">
        <v>17</v>
      </c>
      <c r="H86" s="10" t="s">
        <v>17</v>
      </c>
      <c r="I86" s="10" t="s">
        <v>17</v>
      </c>
      <c r="J86" s="11" t="str">
        <f t="shared" ca="1" si="1"/>
        <v>/A.</v>
      </c>
      <c r="K86" s="10" t="str">
        <f ca="1">IFERROR(__xludf.dummyfunction("CONCATENATE(ArrayFormula(""; ""&amp;QUERY(Hallazgos!A:F,""SELECT B WHERE E CONTAINS '""&amp;B86&amp;""' LABEL B ''"")))"),"#N/A")</f>
        <v>#N/A</v>
      </c>
    </row>
    <row r="87" spans="1:11" x14ac:dyDescent="0.25">
      <c r="A87" s="7" t="s">
        <v>209</v>
      </c>
      <c r="B87" s="8" t="s">
        <v>210</v>
      </c>
      <c r="C87" s="9" t="s">
        <v>41</v>
      </c>
      <c r="D87" s="9" t="s">
        <v>189</v>
      </c>
      <c r="E87" s="9" t="s">
        <v>54</v>
      </c>
      <c r="F87" s="9" t="s">
        <v>55</v>
      </c>
      <c r="G87" s="10" t="s">
        <v>17</v>
      </c>
      <c r="H87" s="10" t="s">
        <v>17</v>
      </c>
      <c r="I87" s="10" t="s">
        <v>17</v>
      </c>
      <c r="J87" s="11" t="str">
        <f t="shared" ca="1" si="1"/>
        <v>/A.</v>
      </c>
      <c r="K87" s="10" t="str">
        <f ca="1">IFERROR(__xludf.dummyfunction("CONCATENATE(ArrayFormula(""; ""&amp;QUERY(Hallazgos!A:F,""SELECT B WHERE E CONTAINS '""&amp;B87&amp;""' LABEL B ''"")))"),"#N/A")</f>
        <v>#N/A</v>
      </c>
    </row>
    <row r="88" spans="1:11" x14ac:dyDescent="0.25">
      <c r="A88" s="7" t="s">
        <v>211</v>
      </c>
      <c r="B88" s="8" t="s">
        <v>212</v>
      </c>
      <c r="C88" s="9" t="s">
        <v>41</v>
      </c>
      <c r="D88" s="9" t="s">
        <v>189</v>
      </c>
      <c r="E88" s="9" t="s">
        <v>54</v>
      </c>
      <c r="F88" s="9" t="s">
        <v>55</v>
      </c>
      <c r="G88" s="10" t="s">
        <v>17</v>
      </c>
      <c r="H88" s="10" t="s">
        <v>17</v>
      </c>
      <c r="I88" s="10" t="s">
        <v>17</v>
      </c>
      <c r="J88" s="11" t="str">
        <f t="shared" ca="1" si="1"/>
        <v>/A.</v>
      </c>
      <c r="K88" s="10" t="str">
        <f ca="1">IFERROR(__xludf.dummyfunction("CONCATENATE(ArrayFormula(""; ""&amp;QUERY(Hallazgos!A:F,""SELECT B WHERE E CONTAINS '""&amp;B88&amp;""' LABEL B ''"")))"),"#N/A")</f>
        <v>#N/A</v>
      </c>
    </row>
    <row r="89" spans="1:11" x14ac:dyDescent="0.25">
      <c r="A89" s="7" t="s">
        <v>213</v>
      </c>
      <c r="B89" s="8" t="s">
        <v>214</v>
      </c>
      <c r="C89" s="9" t="s">
        <v>38</v>
      </c>
      <c r="D89" s="9" t="s">
        <v>189</v>
      </c>
      <c r="E89" s="9" t="s">
        <v>54</v>
      </c>
      <c r="F89" s="9" t="s">
        <v>55</v>
      </c>
      <c r="G89" s="10" t="s">
        <v>17</v>
      </c>
      <c r="H89" s="10" t="s">
        <v>17</v>
      </c>
      <c r="I89" s="10" t="s">
        <v>17</v>
      </c>
      <c r="J89" s="11" t="str">
        <f t="shared" ca="1" si="1"/>
        <v>/A.</v>
      </c>
      <c r="K89" s="10" t="str">
        <f ca="1">IFERROR(__xludf.dummyfunction("CONCATENATE(ArrayFormula(""; ""&amp;QUERY(Hallazgos!A:F,""SELECT B WHERE E CONTAINS '""&amp;B89&amp;""' LABEL B ''"")))"),"#N/A")</f>
        <v>#N/A</v>
      </c>
    </row>
    <row r="90" spans="1:11" x14ac:dyDescent="0.25">
      <c r="A90" s="7" t="s">
        <v>215</v>
      </c>
      <c r="B90" s="8" t="s">
        <v>216</v>
      </c>
      <c r="C90" s="9" t="s">
        <v>41</v>
      </c>
      <c r="D90" s="9" t="s">
        <v>217</v>
      </c>
      <c r="E90" s="9" t="s">
        <v>88</v>
      </c>
      <c r="F90" s="9" t="s">
        <v>55</v>
      </c>
      <c r="G90" s="10" t="s">
        <v>17</v>
      </c>
      <c r="H90" s="10" t="s">
        <v>17</v>
      </c>
      <c r="I90" s="10" t="s">
        <v>17</v>
      </c>
      <c r="J90" s="11" t="str">
        <f t="shared" ca="1" si="1"/>
        <v>/A.</v>
      </c>
      <c r="K90" s="10" t="str">
        <f ca="1">IFERROR(__xludf.dummyfunction("CONCATENATE(ArrayFormula(""; ""&amp;QUERY(Hallazgos!A:F,""SELECT B WHERE E CONTAINS '""&amp;B90&amp;""' LABEL B ''"")))"),"#N/A")</f>
        <v>#N/A</v>
      </c>
    </row>
    <row r="91" spans="1:11" x14ac:dyDescent="0.25">
      <c r="A91" s="7" t="s">
        <v>218</v>
      </c>
      <c r="B91" s="8" t="s">
        <v>219</v>
      </c>
      <c r="C91" s="9" t="s">
        <v>38</v>
      </c>
      <c r="D91" s="9" t="s">
        <v>217</v>
      </c>
      <c r="E91" s="9" t="s">
        <v>81</v>
      </c>
      <c r="F91" s="9" t="s">
        <v>55</v>
      </c>
      <c r="G91" s="10" t="s">
        <v>17</v>
      </c>
      <c r="H91" s="10" t="s">
        <v>17</v>
      </c>
      <c r="I91" s="10" t="s">
        <v>17</v>
      </c>
      <c r="J91" s="11" t="str">
        <f t="shared" ca="1" si="1"/>
        <v>/A.</v>
      </c>
      <c r="K91" s="10" t="str">
        <f ca="1">IFERROR(__xludf.dummyfunction("CONCATENATE(ArrayFormula(""; ""&amp;QUERY(Hallazgos!A:F,""SELECT B WHERE E CONTAINS '""&amp;B91&amp;""' LABEL B ''"")))"),"#N/A")</f>
        <v>#N/A</v>
      </c>
    </row>
    <row r="92" spans="1:11" x14ac:dyDescent="0.25">
      <c r="A92" s="7" t="s">
        <v>220</v>
      </c>
      <c r="B92" s="8" t="s">
        <v>221</v>
      </c>
      <c r="C92" s="9" t="s">
        <v>41</v>
      </c>
      <c r="D92" s="9" t="s">
        <v>217</v>
      </c>
      <c r="E92" s="9" t="s">
        <v>88</v>
      </c>
      <c r="F92" s="9" t="s">
        <v>55</v>
      </c>
      <c r="G92" s="10" t="s">
        <v>17</v>
      </c>
      <c r="H92" s="10" t="s">
        <v>17</v>
      </c>
      <c r="I92" s="10" t="s">
        <v>17</v>
      </c>
      <c r="J92" s="11" t="str">
        <f t="shared" ca="1" si="1"/>
        <v>/A.</v>
      </c>
      <c r="K92" s="10" t="str">
        <f ca="1">IFERROR(__xludf.dummyfunction("CONCATENATE(ArrayFormula(""; ""&amp;QUERY(Hallazgos!A:F,""SELECT B WHERE E CONTAINS '""&amp;B92&amp;""' LABEL B ''"")))"),"#N/A")</f>
        <v>#N/A</v>
      </c>
    </row>
    <row r="93" spans="1:11" x14ac:dyDescent="0.25">
      <c r="A93" s="7" t="s">
        <v>222</v>
      </c>
      <c r="B93" s="8" t="s">
        <v>223</v>
      </c>
      <c r="C93" s="9" t="s">
        <v>41</v>
      </c>
      <c r="D93" s="9" t="s">
        <v>217</v>
      </c>
      <c r="E93" s="9" t="s">
        <v>88</v>
      </c>
      <c r="F93" s="9" t="s">
        <v>55</v>
      </c>
      <c r="G93" s="10" t="s">
        <v>17</v>
      </c>
      <c r="H93" s="10" t="s">
        <v>17</v>
      </c>
      <c r="I93" s="10" t="s">
        <v>17</v>
      </c>
      <c r="J93" s="11" t="str">
        <f t="shared" ca="1" si="1"/>
        <v>/A.</v>
      </c>
      <c r="K93" s="10" t="str">
        <f ca="1">IFERROR(__xludf.dummyfunction("CONCATENATE(ArrayFormula(""; ""&amp;QUERY(Hallazgos!A:F,""SELECT B WHERE E CONTAINS '""&amp;B93&amp;""' LABEL B ''"")))"),"#N/A")</f>
        <v>#N/A</v>
      </c>
    </row>
    <row r="94" spans="1:11" x14ac:dyDescent="0.25">
      <c r="A94" s="7" t="s">
        <v>224</v>
      </c>
      <c r="B94" s="8" t="s">
        <v>225</v>
      </c>
      <c r="C94" s="9" t="s">
        <v>41</v>
      </c>
      <c r="D94" s="9" t="s">
        <v>217</v>
      </c>
      <c r="E94" s="9" t="s">
        <v>88</v>
      </c>
      <c r="F94" s="9" t="s">
        <v>55</v>
      </c>
      <c r="G94" s="10" t="s">
        <v>17</v>
      </c>
      <c r="H94" s="10" t="s">
        <v>17</v>
      </c>
      <c r="I94" s="10" t="s">
        <v>17</v>
      </c>
      <c r="J94" s="11" t="str">
        <f t="shared" ca="1" si="1"/>
        <v>/A.</v>
      </c>
      <c r="K94" s="10" t="str">
        <f ca="1">IFERROR(__xludf.dummyfunction("CONCATENATE(ArrayFormula(""; ""&amp;QUERY(Hallazgos!A:F,""SELECT B WHERE E CONTAINS '""&amp;B94&amp;""' LABEL B ''"")))"),"#N/A")</f>
        <v>#N/A</v>
      </c>
    </row>
    <row r="95" spans="1:11" x14ac:dyDescent="0.25">
      <c r="A95" s="7" t="s">
        <v>226</v>
      </c>
      <c r="B95" s="8" t="s">
        <v>227</v>
      </c>
      <c r="C95" s="9" t="s">
        <v>41</v>
      </c>
      <c r="D95" s="9" t="s">
        <v>217</v>
      </c>
      <c r="E95" s="9" t="s">
        <v>88</v>
      </c>
      <c r="F95" s="9" t="s">
        <v>55</v>
      </c>
      <c r="G95" s="10" t="s">
        <v>17</v>
      </c>
      <c r="H95" s="10" t="s">
        <v>17</v>
      </c>
      <c r="I95" s="10" t="s">
        <v>17</v>
      </c>
      <c r="J95" s="11" t="str">
        <f t="shared" ca="1" si="1"/>
        <v>/A.</v>
      </c>
      <c r="K95" s="10" t="str">
        <f ca="1">IFERROR(__xludf.dummyfunction("CONCATENATE(ArrayFormula(""; ""&amp;QUERY(Hallazgos!A:F,""SELECT B WHERE E CONTAINS '""&amp;B95&amp;""' LABEL B ''"")))"),"#N/A")</f>
        <v>#N/A</v>
      </c>
    </row>
    <row r="96" spans="1:11" x14ac:dyDescent="0.25">
      <c r="A96" s="7" t="s">
        <v>228</v>
      </c>
      <c r="B96" s="8" t="s">
        <v>229</v>
      </c>
      <c r="C96" s="9" t="s">
        <v>41</v>
      </c>
      <c r="D96" s="9" t="s">
        <v>230</v>
      </c>
      <c r="E96" s="9" t="s">
        <v>98</v>
      </c>
      <c r="F96" s="9" t="s">
        <v>55</v>
      </c>
      <c r="G96" s="10" t="s">
        <v>17</v>
      </c>
      <c r="H96" s="10" t="s">
        <v>17</v>
      </c>
      <c r="I96" s="10" t="s">
        <v>17</v>
      </c>
      <c r="J96" s="11" t="str">
        <f t="shared" ca="1" si="1"/>
        <v>/A.</v>
      </c>
      <c r="K96" s="10" t="str">
        <f ca="1">IFERROR(__xludf.dummyfunction("CONCATENATE(ArrayFormula(""; ""&amp;QUERY(Hallazgos!A:F,""SELECT B WHERE E CONTAINS '""&amp;B96&amp;""' LABEL B ''"")))"),"#N/A")</f>
        <v>#N/A</v>
      </c>
    </row>
    <row r="97" spans="1:11" x14ac:dyDescent="0.25">
      <c r="A97" s="7" t="s">
        <v>231</v>
      </c>
      <c r="B97" s="8" t="s">
        <v>232</v>
      </c>
      <c r="C97" s="9" t="s">
        <v>38</v>
      </c>
      <c r="D97" s="9" t="s">
        <v>230</v>
      </c>
      <c r="E97" s="9" t="s">
        <v>88</v>
      </c>
      <c r="F97" s="9" t="s">
        <v>44</v>
      </c>
      <c r="G97" s="10" t="s">
        <v>17</v>
      </c>
      <c r="H97" s="10" t="s">
        <v>17</v>
      </c>
      <c r="I97" s="10" t="s">
        <v>17</v>
      </c>
      <c r="J97" s="11" t="str">
        <f t="shared" ca="1" si="1"/>
        <v>/A.</v>
      </c>
      <c r="K97" s="10" t="str">
        <f ca="1">IFERROR(__xludf.dummyfunction("CONCATENATE(ArrayFormula(""; ""&amp;QUERY(Hallazgos!A:F,""SELECT B WHERE E CONTAINS '""&amp;B97&amp;""' LABEL B ''"")))"),"#N/A")</f>
        <v>#N/A</v>
      </c>
    </row>
    <row r="98" spans="1:11" x14ac:dyDescent="0.25">
      <c r="A98" s="7" t="s">
        <v>233</v>
      </c>
      <c r="B98" s="8" t="s">
        <v>234</v>
      </c>
      <c r="C98" s="9" t="s">
        <v>38</v>
      </c>
      <c r="D98" s="9" t="s">
        <v>230</v>
      </c>
      <c r="E98" s="9" t="s">
        <v>98</v>
      </c>
      <c r="F98" s="9" t="s">
        <v>44</v>
      </c>
      <c r="G98" s="10" t="s">
        <v>17</v>
      </c>
      <c r="H98" s="10" t="s">
        <v>17</v>
      </c>
      <c r="I98" s="10" t="s">
        <v>17</v>
      </c>
      <c r="J98" s="11" t="str">
        <f t="shared" ca="1" si="1"/>
        <v>/A.</v>
      </c>
      <c r="K98" s="10" t="str">
        <f ca="1">IFERROR(__xludf.dummyfunction("CONCATENATE(ArrayFormula(""; ""&amp;QUERY(Hallazgos!A:F,""SELECT B WHERE E CONTAINS '""&amp;B98&amp;""' LABEL B ''"")))"),"#N/A")</f>
        <v>#N/A</v>
      </c>
    </row>
    <row r="99" spans="1:11" x14ac:dyDescent="0.25">
      <c r="A99" s="7" t="s">
        <v>235</v>
      </c>
      <c r="B99" s="8" t="s">
        <v>236</v>
      </c>
      <c r="C99" s="9" t="s">
        <v>13</v>
      </c>
      <c r="D99" s="9" t="s">
        <v>230</v>
      </c>
      <c r="E99" s="9" t="s">
        <v>15</v>
      </c>
      <c r="F99" s="9" t="s">
        <v>44</v>
      </c>
      <c r="G99" s="10" t="s">
        <v>17</v>
      </c>
      <c r="H99" s="10" t="s">
        <v>17</v>
      </c>
      <c r="I99" s="10" t="s">
        <v>17</v>
      </c>
      <c r="J99" s="11" t="str">
        <f t="shared" ca="1" si="1"/>
        <v>/A.</v>
      </c>
      <c r="K99" s="10" t="str">
        <f ca="1">IFERROR(__xludf.dummyfunction("CONCATENATE(ArrayFormula(""; ""&amp;QUERY(Hallazgos!A:F,""SELECT B WHERE E CONTAINS '""&amp;B99&amp;""' LABEL B ''"")))"),"#N/A")</f>
        <v>#N/A</v>
      </c>
    </row>
    <row r="100" spans="1:11" x14ac:dyDescent="0.25">
      <c r="A100" s="7" t="s">
        <v>237</v>
      </c>
      <c r="B100" s="8" t="s">
        <v>238</v>
      </c>
      <c r="C100" s="9" t="s">
        <v>239</v>
      </c>
      <c r="D100" s="9" t="s">
        <v>230</v>
      </c>
      <c r="E100" s="9" t="s">
        <v>98</v>
      </c>
      <c r="F100" s="9" t="s">
        <v>55</v>
      </c>
      <c r="G100" s="10" t="s">
        <v>17</v>
      </c>
      <c r="H100" s="10" t="s">
        <v>17</v>
      </c>
      <c r="I100" s="10" t="s">
        <v>17</v>
      </c>
      <c r="J100" s="11" t="str">
        <f t="shared" ca="1" si="1"/>
        <v>/A.</v>
      </c>
      <c r="K100" s="10" t="str">
        <f ca="1">IFERROR(__xludf.dummyfunction("CONCATENATE(ArrayFormula(""; ""&amp;QUERY(Hallazgos!A:F,""SELECT B WHERE E CONTAINS '""&amp;B100&amp;""' LABEL B ''"")))"),"#N/A")</f>
        <v>#N/A</v>
      </c>
    </row>
    <row r="101" spans="1:11" x14ac:dyDescent="0.25">
      <c r="A101" s="7" t="s">
        <v>240</v>
      </c>
      <c r="B101" s="8" t="s">
        <v>241</v>
      </c>
      <c r="C101" s="9" t="s">
        <v>239</v>
      </c>
      <c r="D101" s="9" t="s">
        <v>230</v>
      </c>
      <c r="E101" s="9" t="s">
        <v>88</v>
      </c>
      <c r="F101" s="9" t="s">
        <v>55</v>
      </c>
      <c r="G101" s="10" t="s">
        <v>17</v>
      </c>
      <c r="H101" s="10" t="s">
        <v>17</v>
      </c>
      <c r="I101" s="10" t="s">
        <v>17</v>
      </c>
      <c r="J101" s="11" t="str">
        <f t="shared" ca="1" si="1"/>
        <v>/A.</v>
      </c>
      <c r="K101" s="10" t="str">
        <f ca="1">IFERROR(__xludf.dummyfunction("CONCATENATE(ArrayFormula(""; ""&amp;QUERY(Hallazgos!A:F,""SELECT B WHERE E CONTAINS '""&amp;B101&amp;""' LABEL B ''"")))"),"#N/A")</f>
        <v>#N/A</v>
      </c>
    </row>
    <row r="102" spans="1:11" x14ac:dyDescent="0.25">
      <c r="A102" s="7" t="s">
        <v>242</v>
      </c>
      <c r="B102" s="8" t="s">
        <v>243</v>
      </c>
      <c r="C102" s="9" t="s">
        <v>239</v>
      </c>
      <c r="D102" s="9" t="s">
        <v>230</v>
      </c>
      <c r="E102" s="9" t="s">
        <v>98</v>
      </c>
      <c r="F102" s="9" t="s">
        <v>55</v>
      </c>
      <c r="G102" s="10" t="s">
        <v>17</v>
      </c>
      <c r="H102" s="10" t="s">
        <v>17</v>
      </c>
      <c r="I102" s="10" t="s">
        <v>17</v>
      </c>
      <c r="J102" s="11" t="str">
        <f t="shared" ca="1" si="1"/>
        <v>/A.</v>
      </c>
      <c r="K102" s="10" t="str">
        <f ca="1">IFERROR(__xludf.dummyfunction("CONCATENATE(ArrayFormula(""; ""&amp;QUERY(Hallazgos!A:F,""SELECT B WHERE E CONTAINS '""&amp;B102&amp;""' LABEL B ''"")))"),"#N/A")</f>
        <v>#N/A</v>
      </c>
    </row>
    <row r="103" spans="1:11" x14ac:dyDescent="0.25">
      <c r="A103" s="7" t="s">
        <v>244</v>
      </c>
      <c r="B103" s="8" t="s">
        <v>245</v>
      </c>
      <c r="C103" s="9" t="s">
        <v>38</v>
      </c>
      <c r="D103" s="9" t="s">
        <v>230</v>
      </c>
      <c r="E103" s="9" t="s">
        <v>88</v>
      </c>
      <c r="F103" s="9" t="s">
        <v>55</v>
      </c>
      <c r="G103" s="10" t="s">
        <v>17</v>
      </c>
      <c r="H103" s="10" t="s">
        <v>17</v>
      </c>
      <c r="I103" s="10" t="s">
        <v>17</v>
      </c>
      <c r="J103" s="11" t="str">
        <f t="shared" ca="1" si="1"/>
        <v>/A.</v>
      </c>
      <c r="K103" s="10" t="str">
        <f ca="1">IFERROR(__xludf.dummyfunction("CONCATENATE(ArrayFormula(""; ""&amp;QUERY(Hallazgos!A:F,""SELECT B WHERE E CONTAINS '""&amp;B103&amp;""' LABEL B ''"")))"),"#N/A")</f>
        <v>#N/A</v>
      </c>
    </row>
    <row r="104" spans="1:11" x14ac:dyDescent="0.25">
      <c r="A104" s="7" t="s">
        <v>246</v>
      </c>
      <c r="B104" s="8" t="s">
        <v>247</v>
      </c>
      <c r="C104" s="9" t="s">
        <v>38</v>
      </c>
      <c r="D104" s="9" t="s">
        <v>230</v>
      </c>
      <c r="E104" s="9" t="s">
        <v>54</v>
      </c>
      <c r="F104" s="9" t="s">
        <v>55</v>
      </c>
      <c r="G104" s="10" t="s">
        <v>17</v>
      </c>
      <c r="H104" s="10" t="s">
        <v>17</v>
      </c>
      <c r="I104" s="10" t="s">
        <v>17</v>
      </c>
      <c r="J104" s="11" t="str">
        <f t="shared" ca="1" si="1"/>
        <v>/A.</v>
      </c>
      <c r="K104" s="10" t="str">
        <f ca="1">IFERROR(__xludf.dummyfunction("CONCATENATE(ArrayFormula(""; ""&amp;QUERY(Hallazgos!A:F,""SELECT B WHERE E CONTAINS '""&amp;B104&amp;""' LABEL B ''"")))"),"#N/A")</f>
        <v>#N/A</v>
      </c>
    </row>
    <row r="105" spans="1:11" x14ac:dyDescent="0.25">
      <c r="A105" s="7" t="s">
        <v>248</v>
      </c>
      <c r="B105" s="8" t="s">
        <v>249</v>
      </c>
      <c r="C105" s="9" t="s">
        <v>38</v>
      </c>
      <c r="D105" s="9" t="s">
        <v>230</v>
      </c>
      <c r="E105" s="9" t="s">
        <v>98</v>
      </c>
      <c r="F105" s="9" t="s">
        <v>55</v>
      </c>
      <c r="G105" s="10" t="s">
        <v>17</v>
      </c>
      <c r="H105" s="10" t="s">
        <v>17</v>
      </c>
      <c r="I105" s="10" t="s">
        <v>17</v>
      </c>
      <c r="J105" s="11" t="str">
        <f t="shared" ca="1" si="1"/>
        <v>/A.</v>
      </c>
      <c r="K105" s="10" t="str">
        <f ca="1">IFERROR(__xludf.dummyfunction("CONCATENATE(ArrayFormula(""; ""&amp;QUERY(Hallazgos!A:F,""SELECT B WHERE E CONTAINS '""&amp;B105&amp;""' LABEL B ''"")))"),"#N/A")</f>
        <v>#N/A</v>
      </c>
    </row>
    <row r="106" spans="1:11" x14ac:dyDescent="0.25">
      <c r="A106" s="7" t="s">
        <v>250</v>
      </c>
      <c r="B106" s="8" t="s">
        <v>251</v>
      </c>
      <c r="C106" s="9" t="s">
        <v>38</v>
      </c>
      <c r="D106" s="9" t="s">
        <v>230</v>
      </c>
      <c r="E106" s="9" t="s">
        <v>15</v>
      </c>
      <c r="F106" s="9" t="s">
        <v>55</v>
      </c>
      <c r="G106" s="10" t="s">
        <v>17</v>
      </c>
      <c r="H106" s="10" t="s">
        <v>17</v>
      </c>
      <c r="I106" s="10" t="s">
        <v>17</v>
      </c>
      <c r="J106" s="11" t="str">
        <f t="shared" ca="1" si="1"/>
        <v>/A.</v>
      </c>
      <c r="K106" s="10" t="str">
        <f ca="1">IFERROR(__xludf.dummyfunction("CONCATENATE(ArrayFormula(""; ""&amp;QUERY(Hallazgos!A:F,""SELECT B WHERE E CONTAINS '""&amp;B106&amp;""' LABEL B ''"")))"),"#N/A")</f>
        <v>#N/A</v>
      </c>
    </row>
    <row r="107" spans="1:11" x14ac:dyDescent="0.25">
      <c r="A107" s="7" t="s">
        <v>252</v>
      </c>
      <c r="B107" s="8" t="s">
        <v>253</v>
      </c>
      <c r="C107" s="9" t="s">
        <v>38</v>
      </c>
      <c r="D107" s="9" t="s">
        <v>230</v>
      </c>
      <c r="E107" s="9" t="s">
        <v>184</v>
      </c>
      <c r="F107" s="9" t="s">
        <v>55</v>
      </c>
      <c r="G107" s="10" t="s">
        <v>17</v>
      </c>
      <c r="H107" s="10" t="s">
        <v>17</v>
      </c>
      <c r="I107" s="10" t="s">
        <v>17</v>
      </c>
      <c r="J107" s="11" t="str">
        <f t="shared" ca="1" si="1"/>
        <v>/A.</v>
      </c>
      <c r="K107" s="10" t="str">
        <f ca="1">IFERROR(__xludf.dummyfunction("CONCATENATE(ArrayFormula(""; ""&amp;QUERY(Hallazgos!A:F,""SELECT B WHERE E CONTAINS '""&amp;B107&amp;""' LABEL B ''"")))"),"#N/A")</f>
        <v>#N/A</v>
      </c>
    </row>
    <row r="108" spans="1:11" x14ac:dyDescent="0.25">
      <c r="A108" s="7" t="s">
        <v>254</v>
      </c>
      <c r="B108" s="8" t="s">
        <v>255</v>
      </c>
      <c r="C108" s="9" t="s">
        <v>239</v>
      </c>
      <c r="D108" s="9" t="s">
        <v>230</v>
      </c>
      <c r="E108" s="9" t="s">
        <v>88</v>
      </c>
      <c r="F108" s="9" t="s">
        <v>55</v>
      </c>
      <c r="G108" s="10" t="s">
        <v>17</v>
      </c>
      <c r="H108" s="10" t="s">
        <v>17</v>
      </c>
      <c r="I108" s="10" t="s">
        <v>17</v>
      </c>
      <c r="J108" s="11" t="str">
        <f t="shared" ca="1" si="1"/>
        <v>/A.</v>
      </c>
      <c r="K108" s="10" t="str">
        <f ca="1">IFERROR(__xludf.dummyfunction("CONCATENATE(ArrayFormula(""; ""&amp;QUERY(Hallazgos!A:F,""SELECT B WHERE E CONTAINS '""&amp;B108&amp;""' LABEL B ''"")))"),"#N/A")</f>
        <v>#N/A</v>
      </c>
    </row>
    <row r="109" spans="1:11" x14ac:dyDescent="0.25">
      <c r="A109" s="7" t="s">
        <v>256</v>
      </c>
      <c r="B109" s="8" t="s">
        <v>257</v>
      </c>
      <c r="C109" s="9" t="s">
        <v>38</v>
      </c>
      <c r="D109" s="9" t="s">
        <v>230</v>
      </c>
      <c r="E109" s="9" t="s">
        <v>184</v>
      </c>
      <c r="F109" s="9" t="s">
        <v>55</v>
      </c>
      <c r="G109" s="10" t="s">
        <v>17</v>
      </c>
      <c r="H109" s="10" t="s">
        <v>17</v>
      </c>
      <c r="I109" s="10" t="s">
        <v>17</v>
      </c>
      <c r="J109" s="11" t="str">
        <f t="shared" ca="1" si="1"/>
        <v>/A.</v>
      </c>
      <c r="K109" s="10" t="str">
        <f ca="1">IFERROR(__xludf.dummyfunction("CONCATENATE(ArrayFormula(""; ""&amp;QUERY(Hallazgos!A:F,""SELECT B WHERE E CONTAINS '""&amp;B109&amp;""' LABEL B ''"")))"),"#N/A")</f>
        <v>#N/A</v>
      </c>
    </row>
    <row r="110" spans="1:11" x14ac:dyDescent="0.25">
      <c r="A110" s="7" t="s">
        <v>258</v>
      </c>
      <c r="B110" s="8" t="s">
        <v>259</v>
      </c>
      <c r="C110" s="9" t="s">
        <v>239</v>
      </c>
      <c r="D110" s="9" t="s">
        <v>230</v>
      </c>
      <c r="E110" s="9" t="s">
        <v>184</v>
      </c>
      <c r="F110" s="9" t="s">
        <v>55</v>
      </c>
      <c r="G110" s="10" t="s">
        <v>17</v>
      </c>
      <c r="H110" s="10" t="s">
        <v>17</v>
      </c>
      <c r="I110" s="10" t="s">
        <v>17</v>
      </c>
      <c r="J110" s="11" t="str">
        <f t="shared" ca="1" si="1"/>
        <v>/A.</v>
      </c>
      <c r="K110" s="10" t="str">
        <f ca="1">IFERROR(__xludf.dummyfunction("CONCATENATE(ArrayFormula(""; ""&amp;QUERY(Hallazgos!A:F,""SELECT B WHERE E CONTAINS '""&amp;B110&amp;""' LABEL B ''"")))"),"#N/A")</f>
        <v>#N/A</v>
      </c>
    </row>
    <row r="111" spans="1:11" x14ac:dyDescent="0.25">
      <c r="A111" s="7" t="s">
        <v>260</v>
      </c>
      <c r="B111" s="8" t="s">
        <v>261</v>
      </c>
      <c r="C111" s="9" t="s">
        <v>239</v>
      </c>
      <c r="D111" s="9" t="s">
        <v>230</v>
      </c>
      <c r="E111" s="9" t="s">
        <v>54</v>
      </c>
      <c r="F111" s="9" t="s">
        <v>55</v>
      </c>
      <c r="G111" s="10" t="s">
        <v>17</v>
      </c>
      <c r="H111" s="10" t="s">
        <v>17</v>
      </c>
      <c r="I111" s="10" t="s">
        <v>17</v>
      </c>
      <c r="J111" s="11" t="str">
        <f t="shared" ca="1" si="1"/>
        <v>/A.</v>
      </c>
      <c r="K111" s="10" t="str">
        <f ca="1">IFERROR(__xludf.dummyfunction("CONCATENATE(ArrayFormula(""; ""&amp;QUERY(Hallazgos!A:F,""SELECT B WHERE E CONTAINS '""&amp;B111&amp;""' LABEL B ''"")))"),"#N/A")</f>
        <v>#N/A</v>
      </c>
    </row>
    <row r="112" spans="1:11" x14ac:dyDescent="0.25">
      <c r="A112" s="7" t="s">
        <v>262</v>
      </c>
      <c r="B112" s="8" t="s">
        <v>263</v>
      </c>
      <c r="C112" s="9" t="s">
        <v>239</v>
      </c>
      <c r="D112" s="9" t="s">
        <v>230</v>
      </c>
      <c r="E112" s="9" t="s">
        <v>98</v>
      </c>
      <c r="F112" s="9" t="s">
        <v>55</v>
      </c>
      <c r="G112" s="10" t="s">
        <v>17</v>
      </c>
      <c r="H112" s="10" t="s">
        <v>17</v>
      </c>
      <c r="I112" s="10" t="s">
        <v>17</v>
      </c>
      <c r="J112" s="11" t="str">
        <f t="shared" ca="1" si="1"/>
        <v>/A.</v>
      </c>
      <c r="K112" s="10" t="str">
        <f ca="1">IFERROR(__xludf.dummyfunction("CONCATENATE(ArrayFormula(""; ""&amp;QUERY(Hallazgos!A:F,""SELECT B WHERE E CONTAINS '""&amp;B112&amp;""' LABEL B ''"")))"),"#N/A")</f>
        <v>#N/A</v>
      </c>
    </row>
    <row r="113" spans="1:11" x14ac:dyDescent="0.25">
      <c r="A113" s="7" t="s">
        <v>264</v>
      </c>
      <c r="B113" s="8" t="s">
        <v>265</v>
      </c>
      <c r="C113" s="9" t="s">
        <v>239</v>
      </c>
      <c r="D113" s="9" t="s">
        <v>230</v>
      </c>
      <c r="E113" s="9" t="s">
        <v>98</v>
      </c>
      <c r="F113" s="9" t="s">
        <v>55</v>
      </c>
      <c r="G113" s="10" t="s">
        <v>17</v>
      </c>
      <c r="H113" s="10" t="s">
        <v>17</v>
      </c>
      <c r="I113" s="10" t="s">
        <v>17</v>
      </c>
      <c r="J113" s="11" t="str">
        <f t="shared" ca="1" si="1"/>
        <v>/A.</v>
      </c>
      <c r="K113" s="10" t="str">
        <f ca="1">IFERROR(__xludf.dummyfunction("CONCATENATE(ArrayFormula(""; ""&amp;QUERY(Hallazgos!A:F,""SELECT B WHERE E CONTAINS '""&amp;B113&amp;""' LABEL B ''"")))"),"#N/A")</f>
        <v>#N/A</v>
      </c>
    </row>
    <row r="114" spans="1:11" x14ac:dyDescent="0.25">
      <c r="A114" s="7" t="s">
        <v>266</v>
      </c>
      <c r="B114" s="8" t="s">
        <v>267</v>
      </c>
      <c r="C114" s="9" t="s">
        <v>239</v>
      </c>
      <c r="D114" s="9" t="s">
        <v>230</v>
      </c>
      <c r="E114" s="9" t="s">
        <v>76</v>
      </c>
      <c r="F114" s="9" t="s">
        <v>55</v>
      </c>
      <c r="G114" s="10" t="s">
        <v>17</v>
      </c>
      <c r="H114" s="10" t="s">
        <v>17</v>
      </c>
      <c r="I114" s="10" t="s">
        <v>17</v>
      </c>
      <c r="J114" s="11" t="str">
        <f t="shared" ca="1" si="1"/>
        <v>/A.</v>
      </c>
      <c r="K114" s="10" t="str">
        <f ca="1">IFERROR(__xludf.dummyfunction("CONCATENATE(ArrayFormula(""; ""&amp;QUERY(Hallazgos!A:F,""SELECT B WHERE E CONTAINS '""&amp;B114&amp;""' LABEL B ''"")))"),"#N/A")</f>
        <v>#N/A</v>
      </c>
    </row>
    <row r="115" spans="1:11" x14ac:dyDescent="0.25">
      <c r="A115" s="7" t="s">
        <v>268</v>
      </c>
      <c r="B115" s="8" t="s">
        <v>269</v>
      </c>
      <c r="C115" s="9" t="s">
        <v>239</v>
      </c>
      <c r="D115" s="9" t="s">
        <v>230</v>
      </c>
      <c r="E115" s="9" t="s">
        <v>98</v>
      </c>
      <c r="F115" s="9" t="s">
        <v>55</v>
      </c>
      <c r="G115" s="10" t="s">
        <v>17</v>
      </c>
      <c r="H115" s="10" t="s">
        <v>17</v>
      </c>
      <c r="I115" s="10" t="s">
        <v>17</v>
      </c>
      <c r="J115" s="11" t="str">
        <f t="shared" ca="1" si="1"/>
        <v>/A.</v>
      </c>
      <c r="K115" s="10" t="str">
        <f ca="1">IFERROR(__xludf.dummyfunction("CONCATENATE(ArrayFormula(""; ""&amp;QUERY(Hallazgos!A:F,""SELECT B WHERE E CONTAINS '""&amp;B115&amp;""' LABEL B ''"")))"),"#N/A")</f>
        <v>#N/A</v>
      </c>
    </row>
    <row r="116" spans="1:11" x14ac:dyDescent="0.25">
      <c r="A116" s="7" t="s">
        <v>270</v>
      </c>
      <c r="B116" s="8" t="s">
        <v>271</v>
      </c>
      <c r="C116" s="9" t="s">
        <v>41</v>
      </c>
      <c r="D116" s="9" t="s">
        <v>230</v>
      </c>
      <c r="E116" s="9" t="s">
        <v>88</v>
      </c>
      <c r="F116" s="9" t="s">
        <v>55</v>
      </c>
      <c r="G116" s="10" t="s">
        <v>17</v>
      </c>
      <c r="H116" s="10" t="s">
        <v>17</v>
      </c>
      <c r="I116" s="10" t="s">
        <v>17</v>
      </c>
      <c r="J116" s="11" t="str">
        <f t="shared" ca="1" si="1"/>
        <v>/A.</v>
      </c>
      <c r="K116" s="10" t="str">
        <f ca="1">IFERROR(__xludf.dummyfunction("CONCATENATE(ArrayFormula(""; ""&amp;QUERY(Hallazgos!A:F,""SELECT B WHERE E CONTAINS '""&amp;B116&amp;""' LABEL B ''"")))"),"#N/A")</f>
        <v>#N/A</v>
      </c>
    </row>
    <row r="117" spans="1:11" x14ac:dyDescent="0.25">
      <c r="A117" s="7" t="s">
        <v>272</v>
      </c>
      <c r="B117" s="8" t="s">
        <v>273</v>
      </c>
      <c r="C117" s="9" t="s">
        <v>13</v>
      </c>
      <c r="D117" s="9" t="s">
        <v>274</v>
      </c>
      <c r="E117" s="9" t="s">
        <v>116</v>
      </c>
      <c r="F117" s="9" t="s">
        <v>55</v>
      </c>
      <c r="G117" s="10" t="s">
        <v>17</v>
      </c>
      <c r="H117" s="10" t="s">
        <v>17</v>
      </c>
      <c r="I117" s="10" t="s">
        <v>17</v>
      </c>
      <c r="J117" s="11" t="str">
        <f t="shared" ca="1" si="1"/>
        <v>/A.</v>
      </c>
      <c r="K117" s="10" t="str">
        <f ca="1">IFERROR(__xludf.dummyfunction("CONCATENATE(ArrayFormula(""; ""&amp;QUERY(Hallazgos!A:F,""SELECT B WHERE E CONTAINS '""&amp;B117&amp;""' LABEL B ''"")))"),"#N/A")</f>
        <v>#N/A</v>
      </c>
    </row>
    <row r="118" spans="1:11" x14ac:dyDescent="0.25">
      <c r="A118" s="7" t="s">
        <v>275</v>
      </c>
      <c r="B118" s="8" t="s">
        <v>276</v>
      </c>
      <c r="C118" s="9" t="s">
        <v>13</v>
      </c>
      <c r="D118" s="9" t="s">
        <v>274</v>
      </c>
      <c r="E118" s="9" t="s">
        <v>116</v>
      </c>
      <c r="F118" s="9" t="s">
        <v>55</v>
      </c>
      <c r="G118" s="10" t="s">
        <v>17</v>
      </c>
      <c r="H118" s="10" t="s">
        <v>17</v>
      </c>
      <c r="I118" s="10" t="s">
        <v>17</v>
      </c>
      <c r="J118" s="11" t="str">
        <f t="shared" ca="1" si="1"/>
        <v>/A.</v>
      </c>
      <c r="K118" s="10" t="str">
        <f ca="1">IFERROR(__xludf.dummyfunction("CONCATENATE(ArrayFormula(""; ""&amp;QUERY(Hallazgos!A:F,""SELECT B WHERE E CONTAINS '""&amp;B118&amp;""' LABEL B ''"")))"),"#N/A")</f>
        <v>#N/A</v>
      </c>
    </row>
    <row r="119" spans="1:11" x14ac:dyDescent="0.25">
      <c r="A119" s="7" t="s">
        <v>277</v>
      </c>
      <c r="B119" s="8" t="s">
        <v>278</v>
      </c>
      <c r="C119" s="9" t="s">
        <v>13</v>
      </c>
      <c r="D119" s="9" t="s">
        <v>274</v>
      </c>
      <c r="E119" s="9" t="s">
        <v>116</v>
      </c>
      <c r="F119" s="9" t="s">
        <v>55</v>
      </c>
      <c r="G119" s="10" t="s">
        <v>17</v>
      </c>
      <c r="H119" s="10" t="s">
        <v>17</v>
      </c>
      <c r="I119" s="10" t="s">
        <v>17</v>
      </c>
      <c r="J119" s="11" t="str">
        <f t="shared" ca="1" si="1"/>
        <v>/A.</v>
      </c>
      <c r="K119" s="10" t="str">
        <f ca="1">IFERROR(__xludf.dummyfunction("CONCATENATE(ArrayFormula(""; ""&amp;QUERY(Hallazgos!A:F,""SELECT B WHERE E CONTAINS '""&amp;B119&amp;""' LABEL B ''"")))"),"#N/A")</f>
        <v>#N/A</v>
      </c>
    </row>
    <row r="120" spans="1:11" x14ac:dyDescent="0.25">
      <c r="A120" s="7" t="s">
        <v>279</v>
      </c>
      <c r="B120" s="8" t="s">
        <v>280</v>
      </c>
      <c r="C120" s="9" t="s">
        <v>13</v>
      </c>
      <c r="D120" s="9" t="s">
        <v>274</v>
      </c>
      <c r="E120" s="9" t="s">
        <v>116</v>
      </c>
      <c r="F120" s="9" t="s">
        <v>55</v>
      </c>
      <c r="G120" s="10" t="s">
        <v>17</v>
      </c>
      <c r="H120" s="10" t="s">
        <v>17</v>
      </c>
      <c r="I120" s="10" t="s">
        <v>17</v>
      </c>
      <c r="J120" s="11" t="str">
        <f t="shared" ca="1" si="1"/>
        <v>/A.</v>
      </c>
      <c r="K120" s="10" t="str">
        <f ca="1">IFERROR(__xludf.dummyfunction("CONCATENATE(ArrayFormula(""; ""&amp;QUERY(Hallazgos!A:F,""SELECT B WHERE E CONTAINS '""&amp;B120&amp;""' LABEL B ''"")))"),"#N/A")</f>
        <v>#N/A</v>
      </c>
    </row>
    <row r="121" spans="1:11" x14ac:dyDescent="0.25">
      <c r="A121" s="7" t="s">
        <v>281</v>
      </c>
      <c r="B121" s="8" t="s">
        <v>282</v>
      </c>
      <c r="C121" s="9" t="s">
        <v>41</v>
      </c>
      <c r="D121" s="9" t="s">
        <v>274</v>
      </c>
      <c r="E121" s="9" t="s">
        <v>81</v>
      </c>
      <c r="F121" s="9" t="s">
        <v>55</v>
      </c>
      <c r="G121" s="10" t="s">
        <v>17</v>
      </c>
      <c r="H121" s="10" t="s">
        <v>17</v>
      </c>
      <c r="I121" s="10" t="s">
        <v>17</v>
      </c>
      <c r="J121" s="11" t="str">
        <f t="shared" ca="1" si="1"/>
        <v>/A.</v>
      </c>
      <c r="K121" s="10" t="str">
        <f ca="1">IFERROR(__xludf.dummyfunction("CONCATENATE(ArrayFormula(""; ""&amp;QUERY(Hallazgos!A:F,""SELECT B WHERE E CONTAINS '""&amp;B121&amp;""' LABEL B ''"")))"),"#N/A")</f>
        <v>#N/A</v>
      </c>
    </row>
    <row r="122" spans="1:11" x14ac:dyDescent="0.25">
      <c r="A122" s="7" t="s">
        <v>283</v>
      </c>
      <c r="B122" s="8" t="s">
        <v>284</v>
      </c>
      <c r="C122" s="9" t="s">
        <v>41</v>
      </c>
      <c r="D122" s="9" t="s">
        <v>274</v>
      </c>
      <c r="E122" s="9" t="s">
        <v>285</v>
      </c>
      <c r="F122" s="9" t="s">
        <v>55</v>
      </c>
      <c r="G122" s="10" t="s">
        <v>17</v>
      </c>
      <c r="H122" s="10" t="s">
        <v>17</v>
      </c>
      <c r="I122" s="10" t="s">
        <v>17</v>
      </c>
      <c r="J122" s="11" t="str">
        <f t="shared" ca="1" si="1"/>
        <v>/A.</v>
      </c>
      <c r="K122" s="10" t="str">
        <f ca="1">IFERROR(__xludf.dummyfunction("CONCATENATE(ArrayFormula(""; ""&amp;QUERY(Hallazgos!A:F,""SELECT B WHERE E CONTAINS '""&amp;B122&amp;""' LABEL B ''"")))"),"#N/A")</f>
        <v>#N/A</v>
      </c>
    </row>
    <row r="123" spans="1:11" x14ac:dyDescent="0.25">
      <c r="A123" s="7" t="s">
        <v>286</v>
      </c>
      <c r="B123" s="8" t="s">
        <v>287</v>
      </c>
      <c r="C123" s="9" t="s">
        <v>41</v>
      </c>
      <c r="D123" s="9" t="s">
        <v>274</v>
      </c>
      <c r="E123" s="9" t="s">
        <v>76</v>
      </c>
      <c r="F123" s="9" t="s">
        <v>73</v>
      </c>
      <c r="G123" s="10" t="s">
        <v>17</v>
      </c>
      <c r="H123" s="10" t="s">
        <v>17</v>
      </c>
      <c r="I123" s="10" t="s">
        <v>17</v>
      </c>
      <c r="J123" s="11" t="str">
        <f t="shared" ca="1" si="1"/>
        <v>/A.</v>
      </c>
      <c r="K123" s="10" t="str">
        <f ca="1">IFERROR(__xludf.dummyfunction("CONCATENATE(ArrayFormula(""; ""&amp;QUERY(Hallazgos!A:F,""SELECT B WHERE E CONTAINS '""&amp;B123&amp;""' LABEL B ''"")))"),"#N/A")</f>
        <v>#N/A</v>
      </c>
    </row>
    <row r="124" spans="1:11" x14ac:dyDescent="0.25">
      <c r="A124" s="7" t="s">
        <v>288</v>
      </c>
      <c r="B124" s="8" t="s">
        <v>289</v>
      </c>
      <c r="C124" s="9" t="s">
        <v>41</v>
      </c>
      <c r="D124" s="9" t="s">
        <v>274</v>
      </c>
      <c r="E124" s="9" t="s">
        <v>54</v>
      </c>
      <c r="F124" s="9" t="s">
        <v>55</v>
      </c>
      <c r="G124" s="10" t="s">
        <v>17</v>
      </c>
      <c r="H124" s="10" t="s">
        <v>17</v>
      </c>
      <c r="I124" s="10" t="s">
        <v>17</v>
      </c>
      <c r="J124" s="11" t="str">
        <f t="shared" ca="1" si="1"/>
        <v>/A.</v>
      </c>
      <c r="K124" s="10" t="str">
        <f ca="1">IFERROR(__xludf.dummyfunction("CONCATENATE(ArrayFormula(""; ""&amp;QUERY(Hallazgos!A:F,""SELECT B WHERE E CONTAINS '""&amp;B124&amp;""' LABEL B ''"")))"),"#N/A")</f>
        <v>#N/A</v>
      </c>
    </row>
    <row r="125" spans="1:11" x14ac:dyDescent="0.25">
      <c r="A125" s="7" t="s">
        <v>290</v>
      </c>
      <c r="B125" s="8" t="s">
        <v>291</v>
      </c>
      <c r="C125" s="9" t="s">
        <v>41</v>
      </c>
      <c r="D125" s="9" t="s">
        <v>274</v>
      </c>
      <c r="E125" s="9" t="s">
        <v>88</v>
      </c>
      <c r="F125" s="9" t="s">
        <v>55</v>
      </c>
      <c r="G125" s="10" t="s">
        <v>17</v>
      </c>
      <c r="H125" s="10" t="s">
        <v>17</v>
      </c>
      <c r="I125" s="10" t="s">
        <v>17</v>
      </c>
      <c r="J125" s="11" t="str">
        <f t="shared" ca="1" si="1"/>
        <v>/A.</v>
      </c>
      <c r="K125" s="10" t="str">
        <f ca="1">IFERROR(__xludf.dummyfunction("CONCATENATE(ArrayFormula(""; ""&amp;QUERY(Hallazgos!A:F,""SELECT B WHERE E CONTAINS '""&amp;B125&amp;""' LABEL B ''"")))"),"#N/A")</f>
        <v>#N/A</v>
      </c>
    </row>
    <row r="126" spans="1:11" x14ac:dyDescent="0.25">
      <c r="A126" s="7" t="s">
        <v>292</v>
      </c>
      <c r="B126" s="8" t="s">
        <v>293</v>
      </c>
      <c r="C126" s="9" t="s">
        <v>41</v>
      </c>
      <c r="D126" s="9" t="s">
        <v>294</v>
      </c>
      <c r="E126" s="9" t="s">
        <v>111</v>
      </c>
      <c r="F126" s="9" t="s">
        <v>55</v>
      </c>
      <c r="G126" s="10" t="s">
        <v>17</v>
      </c>
      <c r="H126" s="10" t="s">
        <v>17</v>
      </c>
      <c r="I126" s="10" t="s">
        <v>17</v>
      </c>
      <c r="J126" s="11" t="str">
        <f t="shared" ca="1" si="1"/>
        <v>/A.</v>
      </c>
      <c r="K126" s="10" t="str">
        <f ca="1">IFERROR(__xludf.dummyfunction("CONCATENATE(ArrayFormula(""; ""&amp;QUERY(Hallazgos!A:F,""SELECT B WHERE E CONTAINS '""&amp;B126&amp;""' LABEL B ''"")))"),"#N/A")</f>
        <v>#N/A</v>
      </c>
    </row>
    <row r="127" spans="1:11" x14ac:dyDescent="0.25">
      <c r="A127" s="7" t="s">
        <v>295</v>
      </c>
      <c r="B127" s="8" t="s">
        <v>296</v>
      </c>
      <c r="C127" s="9" t="s">
        <v>41</v>
      </c>
      <c r="D127" s="9" t="s">
        <v>294</v>
      </c>
      <c r="E127" s="9" t="s">
        <v>111</v>
      </c>
      <c r="F127" s="9" t="s">
        <v>55</v>
      </c>
      <c r="G127" s="10" t="s">
        <v>17</v>
      </c>
      <c r="H127" s="10" t="s">
        <v>17</v>
      </c>
      <c r="I127" s="10" t="s">
        <v>17</v>
      </c>
      <c r="J127" s="11" t="str">
        <f t="shared" ca="1" si="1"/>
        <v>/A.</v>
      </c>
      <c r="K127" s="10" t="str">
        <f ca="1">IFERROR(__xludf.dummyfunction("CONCATENATE(ArrayFormula(""; ""&amp;QUERY(Hallazgos!A:F,""SELECT B WHERE E CONTAINS '""&amp;B127&amp;""' LABEL B ''"")))"),"#N/A")</f>
        <v>#N/A</v>
      </c>
    </row>
    <row r="128" spans="1:11" x14ac:dyDescent="0.25">
      <c r="A128" s="7" t="s">
        <v>297</v>
      </c>
      <c r="B128" s="8" t="s">
        <v>298</v>
      </c>
      <c r="C128" s="9" t="s">
        <v>41</v>
      </c>
      <c r="D128" s="9" t="s">
        <v>294</v>
      </c>
      <c r="E128" s="9" t="s">
        <v>111</v>
      </c>
      <c r="F128" s="9" t="s">
        <v>55</v>
      </c>
      <c r="G128" s="10" t="s">
        <v>17</v>
      </c>
      <c r="H128" s="10" t="s">
        <v>17</v>
      </c>
      <c r="I128" s="10" t="s">
        <v>17</v>
      </c>
      <c r="J128" s="11" t="str">
        <f t="shared" ca="1" si="1"/>
        <v>/A.</v>
      </c>
      <c r="K128" s="10" t="str">
        <f ca="1">IFERROR(__xludf.dummyfunction("CONCATENATE(ArrayFormula(""; ""&amp;QUERY(Hallazgos!A:F,""SELECT B WHERE E CONTAINS '""&amp;B128&amp;""' LABEL B ''"")))"),"#N/A")</f>
        <v>#N/A</v>
      </c>
    </row>
    <row r="129" spans="1:11" x14ac:dyDescent="0.25">
      <c r="A129" s="7" t="s">
        <v>299</v>
      </c>
      <c r="B129" s="8" t="s">
        <v>300</v>
      </c>
      <c r="C129" s="9" t="s">
        <v>13</v>
      </c>
      <c r="D129" s="9" t="s">
        <v>294</v>
      </c>
      <c r="E129" s="9" t="s">
        <v>81</v>
      </c>
      <c r="F129" s="9" t="s">
        <v>55</v>
      </c>
      <c r="G129" s="10" t="s">
        <v>17</v>
      </c>
      <c r="H129" s="10" t="s">
        <v>17</v>
      </c>
      <c r="I129" s="10" t="s">
        <v>17</v>
      </c>
      <c r="J129" s="11" t="str">
        <f t="shared" ca="1" si="1"/>
        <v>/A.</v>
      </c>
      <c r="K129" s="10" t="str">
        <f ca="1">IFERROR(__xludf.dummyfunction("CONCATENATE(ArrayFormula(""; ""&amp;QUERY(Hallazgos!A:F,""SELECT B WHERE E CONTAINS '""&amp;B129&amp;""' LABEL B ''"")))"),"#N/A")</f>
        <v>#N/A</v>
      </c>
    </row>
    <row r="130" spans="1:11" x14ac:dyDescent="0.25">
      <c r="A130" s="7" t="s">
        <v>301</v>
      </c>
      <c r="B130" s="8" t="s">
        <v>302</v>
      </c>
      <c r="C130" s="9" t="s">
        <v>41</v>
      </c>
      <c r="D130" s="9" t="s">
        <v>294</v>
      </c>
      <c r="E130" s="9" t="s">
        <v>76</v>
      </c>
      <c r="F130" s="9" t="s">
        <v>55</v>
      </c>
      <c r="G130" s="10" t="s">
        <v>17</v>
      </c>
      <c r="H130" s="10" t="s">
        <v>17</v>
      </c>
      <c r="I130" s="10" t="s">
        <v>17</v>
      </c>
      <c r="J130" s="11" t="str">
        <f t="shared" ca="1" si="1"/>
        <v>/A.</v>
      </c>
      <c r="K130" s="10" t="str">
        <f ca="1">IFERROR(__xludf.dummyfunction("CONCATENATE(ArrayFormula(""; ""&amp;QUERY(Hallazgos!A:F,""SELECT B WHERE E CONTAINS '""&amp;B130&amp;""' LABEL B ''"")))"),"#N/A")</f>
        <v>#N/A</v>
      </c>
    </row>
    <row r="131" spans="1:11" x14ac:dyDescent="0.25">
      <c r="A131" s="7" t="s">
        <v>303</v>
      </c>
      <c r="B131" s="8" t="s">
        <v>304</v>
      </c>
      <c r="C131" s="9" t="s">
        <v>41</v>
      </c>
      <c r="D131" s="9" t="s">
        <v>294</v>
      </c>
      <c r="E131" s="9" t="s">
        <v>81</v>
      </c>
      <c r="F131" s="9" t="s">
        <v>55</v>
      </c>
      <c r="G131" s="10" t="s">
        <v>17</v>
      </c>
      <c r="H131" s="10" t="s">
        <v>17</v>
      </c>
      <c r="I131" s="10" t="s">
        <v>17</v>
      </c>
      <c r="J131" s="11" t="str">
        <f t="shared" ref="J131:J194" ca="1" si="2">IF(IFERROR(K131,7)=7,"",RIGHT(K131,LEN(K131)-2)&amp;".")</f>
        <v>/A.</v>
      </c>
      <c r="K131" s="10" t="str">
        <f ca="1">IFERROR(__xludf.dummyfunction("CONCATENATE(ArrayFormula(""; ""&amp;QUERY(Hallazgos!A:F,""SELECT B WHERE E CONTAINS '""&amp;B131&amp;""' LABEL B ''"")))"),"#N/A")</f>
        <v>#N/A</v>
      </c>
    </row>
    <row r="132" spans="1:11" x14ac:dyDescent="0.25">
      <c r="A132" s="7" t="s">
        <v>305</v>
      </c>
      <c r="B132" s="8" t="s">
        <v>306</v>
      </c>
      <c r="C132" s="9" t="s">
        <v>41</v>
      </c>
      <c r="D132" s="9" t="s">
        <v>294</v>
      </c>
      <c r="E132" s="9" t="s">
        <v>81</v>
      </c>
      <c r="F132" s="9" t="s">
        <v>55</v>
      </c>
      <c r="G132" s="10" t="s">
        <v>17</v>
      </c>
      <c r="H132" s="10" t="s">
        <v>17</v>
      </c>
      <c r="I132" s="10" t="s">
        <v>17</v>
      </c>
      <c r="J132" s="11" t="str">
        <f t="shared" ca="1" si="2"/>
        <v>/A.</v>
      </c>
      <c r="K132" s="10" t="str">
        <f ca="1">IFERROR(__xludf.dummyfunction("CONCATENATE(ArrayFormula(""; ""&amp;QUERY(Hallazgos!A:F,""SELECT B WHERE E CONTAINS '""&amp;B132&amp;""' LABEL B ''"")))"),"#N/A")</f>
        <v>#N/A</v>
      </c>
    </row>
    <row r="133" spans="1:11" x14ac:dyDescent="0.25">
      <c r="A133" s="7" t="s">
        <v>307</v>
      </c>
      <c r="B133" s="8" t="s">
        <v>308</v>
      </c>
      <c r="C133" s="9" t="s">
        <v>41</v>
      </c>
      <c r="D133" s="9" t="s">
        <v>294</v>
      </c>
      <c r="E133" s="9" t="s">
        <v>81</v>
      </c>
      <c r="F133" s="9" t="s">
        <v>55</v>
      </c>
      <c r="G133" s="10" t="s">
        <v>17</v>
      </c>
      <c r="H133" s="10" t="s">
        <v>17</v>
      </c>
      <c r="I133" s="10" t="s">
        <v>17</v>
      </c>
      <c r="J133" s="11" t="str">
        <f t="shared" ca="1" si="2"/>
        <v>/A.</v>
      </c>
      <c r="K133" s="10" t="str">
        <f ca="1">IFERROR(__xludf.dummyfunction("CONCATENATE(ArrayFormula(""; ""&amp;QUERY(Hallazgos!A:F,""SELECT B WHERE E CONTAINS '""&amp;B133&amp;""' LABEL B ''"")))"),"#N/A")</f>
        <v>#N/A</v>
      </c>
    </row>
    <row r="134" spans="1:11" x14ac:dyDescent="0.25">
      <c r="A134" s="7" t="s">
        <v>309</v>
      </c>
      <c r="B134" s="8" t="s">
        <v>310</v>
      </c>
      <c r="C134" s="9" t="s">
        <v>13</v>
      </c>
      <c r="D134" s="9" t="s">
        <v>294</v>
      </c>
      <c r="E134" s="9" t="s">
        <v>15</v>
      </c>
      <c r="F134" s="9" t="s">
        <v>55</v>
      </c>
      <c r="G134" s="10" t="s">
        <v>17</v>
      </c>
      <c r="H134" s="10" t="s">
        <v>17</v>
      </c>
      <c r="I134" s="10" t="s">
        <v>17</v>
      </c>
      <c r="J134" s="11" t="str">
        <f t="shared" ca="1" si="2"/>
        <v>/A.</v>
      </c>
      <c r="K134" s="10" t="str">
        <f ca="1">IFERROR(__xludf.dummyfunction("CONCATENATE(ArrayFormula(""; ""&amp;QUERY(Hallazgos!A:F,""SELECT B WHERE E CONTAINS '""&amp;B134&amp;""' LABEL B ''"")))"),"#N/A")</f>
        <v>#N/A</v>
      </c>
    </row>
    <row r="135" spans="1:11" x14ac:dyDescent="0.25">
      <c r="A135" s="7" t="s">
        <v>311</v>
      </c>
      <c r="B135" s="8" t="s">
        <v>312</v>
      </c>
      <c r="C135" s="9" t="s">
        <v>13</v>
      </c>
      <c r="D135" s="9" t="s">
        <v>294</v>
      </c>
      <c r="E135" s="9" t="s">
        <v>15</v>
      </c>
      <c r="F135" s="9" t="s">
        <v>55</v>
      </c>
      <c r="G135" s="10" t="s">
        <v>17</v>
      </c>
      <c r="H135" s="10" t="s">
        <v>17</v>
      </c>
      <c r="I135" s="10" t="s">
        <v>17</v>
      </c>
      <c r="J135" s="11" t="str">
        <f t="shared" ca="1" si="2"/>
        <v>/A.</v>
      </c>
      <c r="K135" s="10" t="str">
        <f ca="1">IFERROR(__xludf.dummyfunction("CONCATENATE(ArrayFormula(""; ""&amp;QUERY(Hallazgos!A:F,""SELECT B WHERE E CONTAINS '""&amp;B135&amp;""' LABEL B ''"")))"),"#N/A")</f>
        <v>#N/A</v>
      </c>
    </row>
    <row r="136" spans="1:11" x14ac:dyDescent="0.25">
      <c r="A136" s="7" t="s">
        <v>313</v>
      </c>
      <c r="B136" s="8" t="s">
        <v>314</v>
      </c>
      <c r="C136" s="9" t="s">
        <v>13</v>
      </c>
      <c r="D136" s="9" t="s">
        <v>294</v>
      </c>
      <c r="E136" s="9" t="s">
        <v>15</v>
      </c>
      <c r="F136" s="9" t="s">
        <v>55</v>
      </c>
      <c r="G136" s="10" t="s">
        <v>17</v>
      </c>
      <c r="H136" s="10" t="s">
        <v>17</v>
      </c>
      <c r="I136" s="10" t="s">
        <v>17</v>
      </c>
      <c r="J136" s="11" t="str">
        <f t="shared" ca="1" si="2"/>
        <v>/A.</v>
      </c>
      <c r="K136" s="10" t="str">
        <f ca="1">IFERROR(__xludf.dummyfunction("CONCATENATE(ArrayFormula(""; ""&amp;QUERY(Hallazgos!A:F,""SELECT B WHERE E CONTAINS '""&amp;B136&amp;""' LABEL B ''"")))"),"#N/A")</f>
        <v>#N/A</v>
      </c>
    </row>
    <row r="137" spans="1:11" x14ac:dyDescent="0.25">
      <c r="A137" s="7" t="s">
        <v>315</v>
      </c>
      <c r="B137" s="8" t="s">
        <v>316</v>
      </c>
      <c r="C137" s="9" t="s">
        <v>41</v>
      </c>
      <c r="D137" s="9" t="s">
        <v>294</v>
      </c>
      <c r="E137" s="9" t="s">
        <v>81</v>
      </c>
      <c r="F137" s="9" t="s">
        <v>55</v>
      </c>
      <c r="G137" s="10" t="s">
        <v>17</v>
      </c>
      <c r="H137" s="10" t="s">
        <v>17</v>
      </c>
      <c r="I137" s="10" t="s">
        <v>17</v>
      </c>
      <c r="J137" s="11" t="str">
        <f t="shared" ca="1" si="2"/>
        <v>/A.</v>
      </c>
      <c r="K137" s="10" t="str">
        <f ca="1">IFERROR(__xludf.dummyfunction("CONCATENATE(ArrayFormula(""; ""&amp;QUERY(Hallazgos!A:F,""SELECT B WHERE E CONTAINS '""&amp;B137&amp;""' LABEL B ''"")))"),"#N/A")</f>
        <v>#N/A</v>
      </c>
    </row>
    <row r="138" spans="1:11" x14ac:dyDescent="0.25">
      <c r="A138" s="7" t="s">
        <v>317</v>
      </c>
      <c r="B138" s="8" t="s">
        <v>318</v>
      </c>
      <c r="C138" s="9" t="s">
        <v>41</v>
      </c>
      <c r="D138" s="9" t="s">
        <v>294</v>
      </c>
      <c r="E138" s="9" t="s">
        <v>88</v>
      </c>
      <c r="F138" s="9" t="s">
        <v>55</v>
      </c>
      <c r="G138" s="10" t="s">
        <v>17</v>
      </c>
      <c r="H138" s="10" t="s">
        <v>17</v>
      </c>
      <c r="I138" s="10" t="s">
        <v>17</v>
      </c>
      <c r="J138" s="11" t="str">
        <f t="shared" ca="1" si="2"/>
        <v>/A.</v>
      </c>
      <c r="K138" s="10" t="str">
        <f ca="1">IFERROR(__xludf.dummyfunction("CONCATENATE(ArrayFormula(""; ""&amp;QUERY(Hallazgos!A:F,""SELECT B WHERE E CONTAINS '""&amp;B138&amp;""' LABEL B ''"")))"),"#N/A")</f>
        <v>#N/A</v>
      </c>
    </row>
    <row r="139" spans="1:11" x14ac:dyDescent="0.25">
      <c r="A139" s="7" t="s">
        <v>319</v>
      </c>
      <c r="B139" s="8" t="s">
        <v>320</v>
      </c>
      <c r="C139" s="9" t="s">
        <v>41</v>
      </c>
      <c r="D139" s="9" t="s">
        <v>294</v>
      </c>
      <c r="E139" s="9" t="s">
        <v>88</v>
      </c>
      <c r="F139" s="9" t="s">
        <v>55</v>
      </c>
      <c r="G139" s="10" t="s">
        <v>17</v>
      </c>
      <c r="H139" s="10" t="s">
        <v>17</v>
      </c>
      <c r="I139" s="10" t="s">
        <v>17</v>
      </c>
      <c r="J139" s="11" t="str">
        <f t="shared" ca="1" si="2"/>
        <v>/A.</v>
      </c>
      <c r="K139" s="10" t="str">
        <f ca="1">IFERROR(__xludf.dummyfunction("CONCATENATE(ArrayFormula(""; ""&amp;QUERY(Hallazgos!A:F,""SELECT B WHERE E CONTAINS '""&amp;B139&amp;""' LABEL B ''"")))"),"#N/A")</f>
        <v>#N/A</v>
      </c>
    </row>
    <row r="140" spans="1:11" x14ac:dyDescent="0.25">
      <c r="A140" s="7" t="s">
        <v>321</v>
      </c>
      <c r="B140" s="8" t="s">
        <v>322</v>
      </c>
      <c r="C140" s="9" t="s">
        <v>41</v>
      </c>
      <c r="D140" s="9" t="s">
        <v>294</v>
      </c>
      <c r="E140" s="9" t="s">
        <v>88</v>
      </c>
      <c r="F140" s="9" t="s">
        <v>55</v>
      </c>
      <c r="G140" s="10" t="s">
        <v>17</v>
      </c>
      <c r="H140" s="10" t="s">
        <v>17</v>
      </c>
      <c r="I140" s="10" t="s">
        <v>17</v>
      </c>
      <c r="J140" s="11" t="str">
        <f t="shared" ca="1" si="2"/>
        <v>/A.</v>
      </c>
      <c r="K140" s="10" t="str">
        <f ca="1">IFERROR(__xludf.dummyfunction("CONCATENATE(ArrayFormula(""; ""&amp;QUERY(Hallazgos!A:F,""SELECT B WHERE E CONTAINS '""&amp;B140&amp;""' LABEL B ''"")))"),"#N/A")</f>
        <v>#N/A</v>
      </c>
    </row>
    <row r="141" spans="1:11" x14ac:dyDescent="0.25">
      <c r="A141" s="7" t="s">
        <v>323</v>
      </c>
      <c r="B141" s="8" t="s">
        <v>324</v>
      </c>
      <c r="C141" s="9" t="s">
        <v>13</v>
      </c>
      <c r="D141" s="9" t="s">
        <v>294</v>
      </c>
      <c r="E141" s="9" t="s">
        <v>15</v>
      </c>
      <c r="F141" s="9" t="s">
        <v>55</v>
      </c>
      <c r="G141" s="10" t="s">
        <v>17</v>
      </c>
      <c r="H141" s="10" t="s">
        <v>17</v>
      </c>
      <c r="I141" s="10" t="s">
        <v>17</v>
      </c>
      <c r="J141" s="11" t="str">
        <f t="shared" ca="1" si="2"/>
        <v>/A.</v>
      </c>
      <c r="K141" s="10" t="str">
        <f ca="1">IFERROR(__xludf.dummyfunction("CONCATENATE(ArrayFormula(""; ""&amp;QUERY(Hallazgos!A:F,""SELECT B WHERE E CONTAINS '""&amp;B141&amp;""' LABEL B ''"")))"),"#N/A")</f>
        <v>#N/A</v>
      </c>
    </row>
    <row r="142" spans="1:11" x14ac:dyDescent="0.25">
      <c r="A142" s="7" t="s">
        <v>325</v>
      </c>
      <c r="B142" s="8" t="s">
        <v>326</v>
      </c>
      <c r="C142" s="9" t="s">
        <v>13</v>
      </c>
      <c r="D142" s="9" t="s">
        <v>294</v>
      </c>
      <c r="E142" s="9" t="s">
        <v>15</v>
      </c>
      <c r="F142" s="9" t="s">
        <v>55</v>
      </c>
      <c r="G142" s="10" t="s">
        <v>17</v>
      </c>
      <c r="H142" s="10" t="s">
        <v>17</v>
      </c>
      <c r="I142" s="10" t="s">
        <v>17</v>
      </c>
      <c r="J142" s="11" t="str">
        <f t="shared" ca="1" si="2"/>
        <v>/A.</v>
      </c>
      <c r="K142" s="10" t="str">
        <f ca="1">IFERROR(__xludf.dummyfunction("CONCATENATE(ArrayFormula(""; ""&amp;QUERY(Hallazgos!A:F,""SELECT B WHERE E CONTAINS '""&amp;B142&amp;""' LABEL B ''"")))"),"#N/A")</f>
        <v>#N/A</v>
      </c>
    </row>
    <row r="143" spans="1:11" x14ac:dyDescent="0.25">
      <c r="A143" s="7" t="s">
        <v>327</v>
      </c>
      <c r="B143" s="8" t="s">
        <v>328</v>
      </c>
      <c r="C143" s="9" t="s">
        <v>41</v>
      </c>
      <c r="D143" s="9" t="s">
        <v>294</v>
      </c>
      <c r="E143" s="9" t="s">
        <v>88</v>
      </c>
      <c r="F143" s="9" t="s">
        <v>55</v>
      </c>
      <c r="G143" s="10" t="s">
        <v>17</v>
      </c>
      <c r="H143" s="10" t="s">
        <v>17</v>
      </c>
      <c r="I143" s="10" t="s">
        <v>17</v>
      </c>
      <c r="J143" s="11" t="str">
        <f t="shared" ca="1" si="2"/>
        <v>/A.</v>
      </c>
      <c r="K143" s="10" t="str">
        <f ca="1">IFERROR(__xludf.dummyfunction("CONCATENATE(ArrayFormula(""; ""&amp;QUERY(Hallazgos!A:F,""SELECT B WHERE E CONTAINS '""&amp;B143&amp;""' LABEL B ''"")))"),"#N/A")</f>
        <v>#N/A</v>
      </c>
    </row>
    <row r="144" spans="1:11" x14ac:dyDescent="0.25">
      <c r="A144" s="7" t="s">
        <v>329</v>
      </c>
      <c r="B144" s="8" t="s">
        <v>330</v>
      </c>
      <c r="C144" s="9" t="s">
        <v>38</v>
      </c>
      <c r="D144" s="9" t="s">
        <v>294</v>
      </c>
      <c r="E144" s="9" t="s">
        <v>81</v>
      </c>
      <c r="F144" s="9" t="s">
        <v>104</v>
      </c>
      <c r="G144" s="10" t="s">
        <v>17</v>
      </c>
      <c r="H144" s="10" t="s">
        <v>17</v>
      </c>
      <c r="I144" s="10" t="s">
        <v>17</v>
      </c>
      <c r="J144" s="11" t="str">
        <f t="shared" ca="1" si="2"/>
        <v>/A.</v>
      </c>
      <c r="K144" s="10" t="str">
        <f ca="1">IFERROR(__xludf.dummyfunction("CONCATENATE(ArrayFormula(""; ""&amp;QUERY(Hallazgos!A:F,""SELECT B WHERE E CONTAINS '""&amp;B144&amp;""' LABEL B ''"")))"),"#N/A")</f>
        <v>#N/A</v>
      </c>
    </row>
    <row r="145" spans="1:11" x14ac:dyDescent="0.25">
      <c r="A145" s="7" t="s">
        <v>331</v>
      </c>
      <c r="B145" s="8" t="s">
        <v>332</v>
      </c>
      <c r="C145" s="9" t="s">
        <v>41</v>
      </c>
      <c r="D145" s="9" t="s">
        <v>294</v>
      </c>
      <c r="E145" s="9" t="s">
        <v>88</v>
      </c>
      <c r="F145" s="9" t="s">
        <v>55</v>
      </c>
      <c r="G145" s="10" t="s">
        <v>17</v>
      </c>
      <c r="H145" s="10" t="s">
        <v>17</v>
      </c>
      <c r="I145" s="10" t="s">
        <v>17</v>
      </c>
      <c r="J145" s="11" t="str">
        <f t="shared" ca="1" si="2"/>
        <v>/A.</v>
      </c>
      <c r="K145" s="10" t="str">
        <f ca="1">IFERROR(__xludf.dummyfunction("CONCATENATE(ArrayFormula(""; ""&amp;QUERY(Hallazgos!A:F,""SELECT B WHERE E CONTAINS '""&amp;B145&amp;""' LABEL B ''"")))"),"#N/A")</f>
        <v>#N/A</v>
      </c>
    </row>
    <row r="146" spans="1:11" x14ac:dyDescent="0.25">
      <c r="A146" s="7" t="s">
        <v>333</v>
      </c>
      <c r="B146" s="8" t="s">
        <v>334</v>
      </c>
      <c r="C146" s="9" t="s">
        <v>38</v>
      </c>
      <c r="D146" s="9" t="s">
        <v>294</v>
      </c>
      <c r="E146" s="9" t="s">
        <v>15</v>
      </c>
      <c r="F146" s="9" t="s">
        <v>55</v>
      </c>
      <c r="G146" s="10" t="s">
        <v>17</v>
      </c>
      <c r="H146" s="10" t="s">
        <v>17</v>
      </c>
      <c r="I146" s="10" t="s">
        <v>17</v>
      </c>
      <c r="J146" s="11" t="str">
        <f t="shared" ca="1" si="2"/>
        <v>/A.</v>
      </c>
      <c r="K146" s="10" t="str">
        <f ca="1">IFERROR(__xludf.dummyfunction("CONCATENATE(ArrayFormula(""; ""&amp;QUERY(Hallazgos!A:F,""SELECT B WHERE E CONTAINS '""&amp;B146&amp;""' LABEL B ''"")))"),"#N/A")</f>
        <v>#N/A</v>
      </c>
    </row>
    <row r="147" spans="1:11" x14ac:dyDescent="0.25">
      <c r="A147" s="7" t="s">
        <v>335</v>
      </c>
      <c r="B147" s="8" t="s">
        <v>336</v>
      </c>
      <c r="C147" s="9" t="s">
        <v>41</v>
      </c>
      <c r="D147" s="9" t="s">
        <v>337</v>
      </c>
      <c r="E147" s="9" t="s">
        <v>81</v>
      </c>
      <c r="F147" s="9" t="s">
        <v>104</v>
      </c>
      <c r="G147" s="10" t="s">
        <v>17</v>
      </c>
      <c r="H147" s="10" t="s">
        <v>17</v>
      </c>
      <c r="I147" s="10" t="s">
        <v>17</v>
      </c>
      <c r="J147" s="11" t="str">
        <f t="shared" ca="1" si="2"/>
        <v>/A.</v>
      </c>
      <c r="K147" s="10" t="str">
        <f ca="1">IFERROR(__xludf.dummyfunction("CONCATENATE(ArrayFormula(""; ""&amp;QUERY(Hallazgos!A:F,""SELECT B WHERE E CONTAINS '""&amp;B147&amp;""' LABEL B ''"")))"),"#N/A")</f>
        <v>#N/A</v>
      </c>
    </row>
    <row r="148" spans="1:11" x14ac:dyDescent="0.25">
      <c r="A148" s="7" t="s">
        <v>338</v>
      </c>
      <c r="B148" s="8" t="s">
        <v>339</v>
      </c>
      <c r="C148" s="9" t="s">
        <v>41</v>
      </c>
      <c r="D148" s="9" t="s">
        <v>337</v>
      </c>
      <c r="E148" s="9" t="s">
        <v>81</v>
      </c>
      <c r="F148" s="9" t="s">
        <v>55</v>
      </c>
      <c r="G148" s="10" t="s">
        <v>17</v>
      </c>
      <c r="H148" s="10" t="s">
        <v>17</v>
      </c>
      <c r="I148" s="10" t="s">
        <v>17</v>
      </c>
      <c r="J148" s="11" t="str">
        <f t="shared" ca="1" si="2"/>
        <v>/A.</v>
      </c>
      <c r="K148" s="10" t="str">
        <f ca="1">IFERROR(__xludf.dummyfunction("CONCATENATE(ArrayFormula(""; ""&amp;QUERY(Hallazgos!A:F,""SELECT B WHERE E CONTAINS '""&amp;B148&amp;""' LABEL B ''"")))"),"#N/A")</f>
        <v>#N/A</v>
      </c>
    </row>
    <row r="149" spans="1:11" x14ac:dyDescent="0.25">
      <c r="A149" s="7" t="s">
        <v>340</v>
      </c>
      <c r="B149" s="8" t="s">
        <v>341</v>
      </c>
      <c r="C149" s="9" t="s">
        <v>41</v>
      </c>
      <c r="D149" s="9" t="s">
        <v>337</v>
      </c>
      <c r="E149" s="9" t="s">
        <v>15</v>
      </c>
      <c r="F149" s="9" t="s">
        <v>73</v>
      </c>
      <c r="G149" s="10" t="s">
        <v>17</v>
      </c>
      <c r="H149" s="10" t="s">
        <v>17</v>
      </c>
      <c r="I149" s="10" t="s">
        <v>17</v>
      </c>
      <c r="J149" s="11" t="str">
        <f t="shared" ca="1" si="2"/>
        <v>/A.</v>
      </c>
      <c r="K149" s="10" t="str">
        <f ca="1">IFERROR(__xludf.dummyfunction("CONCATENATE(ArrayFormula(""; ""&amp;QUERY(Hallazgos!A:F,""SELECT B WHERE E CONTAINS '""&amp;B149&amp;""' LABEL B ''"")))"),"#N/A")</f>
        <v>#N/A</v>
      </c>
    </row>
    <row r="150" spans="1:11" x14ac:dyDescent="0.25">
      <c r="A150" s="7" t="s">
        <v>342</v>
      </c>
      <c r="B150" s="8" t="s">
        <v>343</v>
      </c>
      <c r="C150" s="9" t="s">
        <v>41</v>
      </c>
      <c r="D150" s="9" t="s">
        <v>337</v>
      </c>
      <c r="E150" s="9" t="s">
        <v>81</v>
      </c>
      <c r="F150" s="9" t="s">
        <v>55</v>
      </c>
      <c r="G150" s="10" t="s">
        <v>17</v>
      </c>
      <c r="H150" s="10" t="s">
        <v>17</v>
      </c>
      <c r="I150" s="10" t="s">
        <v>17</v>
      </c>
      <c r="J150" s="11" t="str">
        <f t="shared" ca="1" si="2"/>
        <v>/A.</v>
      </c>
      <c r="K150" s="10" t="str">
        <f ca="1">IFERROR(__xludf.dummyfunction("CONCATENATE(ArrayFormula(""; ""&amp;QUERY(Hallazgos!A:F,""SELECT B WHERE E CONTAINS '""&amp;B150&amp;""' LABEL B ''"")))"),"#N/A")</f>
        <v>#N/A</v>
      </c>
    </row>
    <row r="151" spans="1:11" x14ac:dyDescent="0.25">
      <c r="A151" s="7" t="s">
        <v>344</v>
      </c>
      <c r="B151" s="8" t="s">
        <v>345</v>
      </c>
      <c r="C151" s="9" t="s">
        <v>41</v>
      </c>
      <c r="D151" s="9" t="s">
        <v>337</v>
      </c>
      <c r="E151" s="9" t="s">
        <v>81</v>
      </c>
      <c r="F151" s="9" t="s">
        <v>55</v>
      </c>
      <c r="G151" s="10" t="s">
        <v>17</v>
      </c>
      <c r="H151" s="10" t="s">
        <v>17</v>
      </c>
      <c r="I151" s="10" t="s">
        <v>17</v>
      </c>
      <c r="J151" s="11" t="str">
        <f t="shared" ca="1" si="2"/>
        <v>/A.</v>
      </c>
      <c r="K151" s="10" t="str">
        <f ca="1">IFERROR(__xludf.dummyfunction("CONCATENATE(ArrayFormula(""; ""&amp;QUERY(Hallazgos!A:F,""SELECT B WHERE E CONTAINS '""&amp;B151&amp;""' LABEL B ''"")))"),"#N/A")</f>
        <v>#N/A</v>
      </c>
    </row>
    <row r="152" spans="1:11" x14ac:dyDescent="0.25">
      <c r="A152" s="7" t="s">
        <v>346</v>
      </c>
      <c r="B152" s="8" t="s">
        <v>347</v>
      </c>
      <c r="C152" s="9" t="s">
        <v>41</v>
      </c>
      <c r="D152" s="9" t="s">
        <v>337</v>
      </c>
      <c r="E152" s="9" t="s">
        <v>76</v>
      </c>
      <c r="F152" s="9" t="s">
        <v>55</v>
      </c>
      <c r="G152" s="10" t="s">
        <v>17</v>
      </c>
      <c r="H152" s="10" t="s">
        <v>17</v>
      </c>
      <c r="I152" s="10" t="s">
        <v>17</v>
      </c>
      <c r="J152" s="11" t="str">
        <f t="shared" ca="1" si="2"/>
        <v>/A.</v>
      </c>
      <c r="K152" s="10" t="str">
        <f ca="1">IFERROR(__xludf.dummyfunction("CONCATENATE(ArrayFormula(""; ""&amp;QUERY(Hallazgos!A:F,""SELECT B WHERE E CONTAINS '""&amp;B152&amp;""' LABEL B ''"")))"),"#N/A")</f>
        <v>#N/A</v>
      </c>
    </row>
    <row r="153" spans="1:11" x14ac:dyDescent="0.25">
      <c r="A153" s="7" t="s">
        <v>348</v>
      </c>
      <c r="B153" s="8" t="s">
        <v>349</v>
      </c>
      <c r="C153" s="9" t="s">
        <v>41</v>
      </c>
      <c r="D153" s="9" t="s">
        <v>337</v>
      </c>
      <c r="E153" s="9" t="s">
        <v>54</v>
      </c>
      <c r="F153" s="9" t="s">
        <v>55</v>
      </c>
      <c r="G153" s="10" t="s">
        <v>17</v>
      </c>
      <c r="H153" s="10" t="s">
        <v>17</v>
      </c>
      <c r="I153" s="10" t="s">
        <v>17</v>
      </c>
      <c r="J153" s="11" t="str">
        <f t="shared" ca="1" si="2"/>
        <v>/A.</v>
      </c>
      <c r="K153" s="10" t="str">
        <f ca="1">IFERROR(__xludf.dummyfunction("CONCATENATE(ArrayFormula(""; ""&amp;QUERY(Hallazgos!A:F,""SELECT B WHERE E CONTAINS '""&amp;B153&amp;""' LABEL B ''"")))"),"#N/A")</f>
        <v>#N/A</v>
      </c>
    </row>
    <row r="154" spans="1:11" x14ac:dyDescent="0.25">
      <c r="A154" s="7" t="s">
        <v>350</v>
      </c>
      <c r="B154" s="8" t="s">
        <v>351</v>
      </c>
      <c r="C154" s="9" t="s">
        <v>41</v>
      </c>
      <c r="D154" s="9" t="s">
        <v>352</v>
      </c>
      <c r="E154" s="9" t="s">
        <v>181</v>
      </c>
      <c r="F154" s="9" t="s">
        <v>73</v>
      </c>
      <c r="G154" s="10" t="s">
        <v>17</v>
      </c>
      <c r="H154" s="10" t="s">
        <v>17</v>
      </c>
      <c r="I154" s="10" t="s">
        <v>17</v>
      </c>
      <c r="J154" s="11" t="str">
        <f t="shared" ca="1" si="2"/>
        <v>/A.</v>
      </c>
      <c r="K154" s="10" t="str">
        <f ca="1">IFERROR(__xludf.dummyfunction("CONCATENATE(ArrayFormula(""; ""&amp;QUERY(Hallazgos!A:F,""SELECT B WHERE E CONTAINS '""&amp;B154&amp;""' LABEL B ''"")))"),"#N/A")</f>
        <v>#N/A</v>
      </c>
    </row>
    <row r="155" spans="1:11" x14ac:dyDescent="0.25">
      <c r="A155" s="7" t="s">
        <v>353</v>
      </c>
      <c r="B155" s="8" t="s">
        <v>354</v>
      </c>
      <c r="C155" s="9" t="s">
        <v>13</v>
      </c>
      <c r="D155" s="9" t="s">
        <v>352</v>
      </c>
      <c r="E155" s="9" t="s">
        <v>88</v>
      </c>
      <c r="F155" s="9" t="s">
        <v>55</v>
      </c>
      <c r="G155" s="10" t="s">
        <v>17</v>
      </c>
      <c r="H155" s="10" t="s">
        <v>17</v>
      </c>
      <c r="I155" s="10" t="s">
        <v>17</v>
      </c>
      <c r="J155" s="11" t="str">
        <f t="shared" ca="1" si="2"/>
        <v>/A.</v>
      </c>
      <c r="K155" s="10" t="str">
        <f ca="1">IFERROR(__xludf.dummyfunction("CONCATENATE(ArrayFormula(""; ""&amp;QUERY(Hallazgos!A:F,""SELECT B WHERE E CONTAINS '""&amp;B155&amp;""' LABEL B ''"")))"),"#N/A")</f>
        <v>#N/A</v>
      </c>
    </row>
    <row r="156" spans="1:11" x14ac:dyDescent="0.25">
      <c r="A156" s="7" t="s">
        <v>355</v>
      </c>
      <c r="B156" s="8" t="s">
        <v>356</v>
      </c>
      <c r="C156" s="9" t="s">
        <v>38</v>
      </c>
      <c r="D156" s="9" t="s">
        <v>352</v>
      </c>
      <c r="E156" s="9" t="s">
        <v>15</v>
      </c>
      <c r="F156" s="9" t="s">
        <v>73</v>
      </c>
      <c r="G156" s="10" t="s">
        <v>17</v>
      </c>
      <c r="H156" s="10" t="s">
        <v>17</v>
      </c>
      <c r="I156" s="10" t="s">
        <v>17</v>
      </c>
      <c r="J156" s="11" t="str">
        <f t="shared" ca="1" si="2"/>
        <v>/A.</v>
      </c>
      <c r="K156" s="10" t="str">
        <f ca="1">IFERROR(__xludf.dummyfunction("CONCATENATE(ArrayFormula(""; ""&amp;QUERY(Hallazgos!A:F,""SELECT B WHERE E CONTAINS '""&amp;B156&amp;""' LABEL B ''"")))"),"#N/A")</f>
        <v>#N/A</v>
      </c>
    </row>
    <row r="157" spans="1:11" x14ac:dyDescent="0.25">
      <c r="A157" s="7" t="s">
        <v>357</v>
      </c>
      <c r="B157" s="8" t="s">
        <v>358</v>
      </c>
      <c r="C157" s="9" t="s">
        <v>38</v>
      </c>
      <c r="D157" s="9" t="s">
        <v>352</v>
      </c>
      <c r="E157" s="9" t="s">
        <v>116</v>
      </c>
      <c r="F157" s="9" t="s">
        <v>73</v>
      </c>
      <c r="G157" s="10" t="s">
        <v>17</v>
      </c>
      <c r="H157" s="10" t="s">
        <v>17</v>
      </c>
      <c r="I157" s="10" t="s">
        <v>17</v>
      </c>
      <c r="J157" s="11" t="str">
        <f t="shared" ca="1" si="2"/>
        <v>/A.</v>
      </c>
      <c r="K157" s="10" t="str">
        <f ca="1">IFERROR(__xludf.dummyfunction("CONCATENATE(ArrayFormula(""; ""&amp;QUERY(Hallazgos!A:F,""SELECT B WHERE E CONTAINS '""&amp;B157&amp;""' LABEL B ''"")))"),"#N/A")</f>
        <v>#N/A</v>
      </c>
    </row>
    <row r="158" spans="1:11" x14ac:dyDescent="0.25">
      <c r="A158" s="7" t="s">
        <v>359</v>
      </c>
      <c r="B158" s="8" t="s">
        <v>360</v>
      </c>
      <c r="C158" s="9" t="s">
        <v>41</v>
      </c>
      <c r="D158" s="9" t="s">
        <v>352</v>
      </c>
      <c r="E158" s="9" t="s">
        <v>81</v>
      </c>
      <c r="F158" s="9" t="s">
        <v>73</v>
      </c>
      <c r="G158" s="10" t="s">
        <v>17</v>
      </c>
      <c r="H158" s="10" t="s">
        <v>17</v>
      </c>
      <c r="I158" s="10" t="s">
        <v>17</v>
      </c>
      <c r="J158" s="11" t="str">
        <f t="shared" ca="1" si="2"/>
        <v>/A.</v>
      </c>
      <c r="K158" s="10" t="str">
        <f ca="1">IFERROR(__xludf.dummyfunction("CONCATENATE(ArrayFormula(""; ""&amp;QUERY(Hallazgos!A:F,""SELECT B WHERE E CONTAINS '""&amp;B158&amp;""' LABEL B ''"")))"),"#N/A")</f>
        <v>#N/A</v>
      </c>
    </row>
    <row r="159" spans="1:11" x14ac:dyDescent="0.25">
      <c r="A159" s="7" t="s">
        <v>361</v>
      </c>
      <c r="B159" s="8" t="s">
        <v>362</v>
      </c>
      <c r="C159" s="9" t="s">
        <v>41</v>
      </c>
      <c r="D159" s="9" t="s">
        <v>352</v>
      </c>
      <c r="E159" s="9" t="s">
        <v>116</v>
      </c>
      <c r="F159" s="9" t="s">
        <v>73</v>
      </c>
      <c r="G159" s="10" t="s">
        <v>17</v>
      </c>
      <c r="H159" s="10" t="s">
        <v>17</v>
      </c>
      <c r="I159" s="10" t="s">
        <v>17</v>
      </c>
      <c r="J159" s="11" t="str">
        <f t="shared" ca="1" si="2"/>
        <v>/A.</v>
      </c>
      <c r="K159" s="10" t="str">
        <f ca="1">IFERROR(__xludf.dummyfunction("CONCATENATE(ArrayFormula(""; ""&amp;QUERY(Hallazgos!A:F,""SELECT B WHERE E CONTAINS '""&amp;B159&amp;""' LABEL B ''"")))"),"#N/A")</f>
        <v>#N/A</v>
      </c>
    </row>
    <row r="160" spans="1:11" x14ac:dyDescent="0.25">
      <c r="A160" s="7" t="s">
        <v>363</v>
      </c>
      <c r="B160" s="8" t="s">
        <v>364</v>
      </c>
      <c r="C160" s="9" t="s">
        <v>13</v>
      </c>
      <c r="D160" s="9" t="s">
        <v>352</v>
      </c>
      <c r="E160" s="9" t="s">
        <v>116</v>
      </c>
      <c r="F160" s="9" t="s">
        <v>73</v>
      </c>
      <c r="G160" s="10" t="s">
        <v>17</v>
      </c>
      <c r="H160" s="10" t="s">
        <v>17</v>
      </c>
      <c r="I160" s="10" t="s">
        <v>17</v>
      </c>
      <c r="J160" s="11" t="str">
        <f t="shared" ca="1" si="2"/>
        <v>/A.</v>
      </c>
      <c r="K160" s="10" t="str">
        <f ca="1">IFERROR(__xludf.dummyfunction("CONCATENATE(ArrayFormula(""; ""&amp;QUERY(Hallazgos!A:F,""SELECT B WHERE E CONTAINS '""&amp;B160&amp;""' LABEL B ''"")))"),"#N/A")</f>
        <v>#N/A</v>
      </c>
    </row>
    <row r="161" spans="1:11" x14ac:dyDescent="0.25">
      <c r="A161" s="7" t="s">
        <v>365</v>
      </c>
      <c r="B161" s="8" t="s">
        <v>366</v>
      </c>
      <c r="C161" s="9" t="s">
        <v>41</v>
      </c>
      <c r="D161" s="9" t="s">
        <v>352</v>
      </c>
      <c r="E161" s="9" t="s">
        <v>81</v>
      </c>
      <c r="F161" s="9" t="s">
        <v>104</v>
      </c>
      <c r="G161" s="10" t="s">
        <v>17</v>
      </c>
      <c r="H161" s="10" t="s">
        <v>17</v>
      </c>
      <c r="I161" s="10" t="s">
        <v>17</v>
      </c>
      <c r="J161" s="11" t="str">
        <f t="shared" ca="1" si="2"/>
        <v>/A.</v>
      </c>
      <c r="K161" s="10" t="str">
        <f ca="1">IFERROR(__xludf.dummyfunction("CONCATENATE(ArrayFormula(""; ""&amp;QUERY(Hallazgos!A:F,""SELECT B WHERE E CONTAINS '""&amp;B161&amp;""' LABEL B ''"")))"),"#N/A")</f>
        <v>#N/A</v>
      </c>
    </row>
    <row r="162" spans="1:11" x14ac:dyDescent="0.25">
      <c r="A162" s="7" t="s">
        <v>367</v>
      </c>
      <c r="B162" s="8" t="s">
        <v>368</v>
      </c>
      <c r="C162" s="9" t="s">
        <v>41</v>
      </c>
      <c r="D162" s="9" t="s">
        <v>352</v>
      </c>
      <c r="E162" s="9" t="s">
        <v>116</v>
      </c>
      <c r="F162" s="9" t="s">
        <v>73</v>
      </c>
      <c r="G162" s="10" t="s">
        <v>17</v>
      </c>
      <c r="H162" s="10" t="s">
        <v>17</v>
      </c>
      <c r="I162" s="10" t="s">
        <v>17</v>
      </c>
      <c r="J162" s="11" t="str">
        <f t="shared" ca="1" si="2"/>
        <v>/A.</v>
      </c>
      <c r="K162" s="10" t="str">
        <f ca="1">IFERROR(__xludf.dummyfunction("CONCATENATE(ArrayFormula(""; ""&amp;QUERY(Hallazgos!A:F,""SELECT B WHERE E CONTAINS '""&amp;B162&amp;""' LABEL B ''"")))"),"#N/A")</f>
        <v>#N/A</v>
      </c>
    </row>
    <row r="163" spans="1:11" x14ac:dyDescent="0.25">
      <c r="A163" s="7" t="s">
        <v>369</v>
      </c>
      <c r="B163" s="8" t="s">
        <v>370</v>
      </c>
      <c r="C163" s="9" t="s">
        <v>41</v>
      </c>
      <c r="D163" s="9" t="s">
        <v>352</v>
      </c>
      <c r="E163" s="9" t="s">
        <v>116</v>
      </c>
      <c r="F163" s="9" t="s">
        <v>73</v>
      </c>
      <c r="G163" s="10" t="s">
        <v>17</v>
      </c>
      <c r="H163" s="10" t="s">
        <v>17</v>
      </c>
      <c r="I163" s="10" t="s">
        <v>17</v>
      </c>
      <c r="J163" s="11" t="str">
        <f t="shared" ca="1" si="2"/>
        <v>/A.</v>
      </c>
      <c r="K163" s="10" t="str">
        <f ca="1">IFERROR(__xludf.dummyfunction("CONCATENATE(ArrayFormula(""; ""&amp;QUERY(Hallazgos!A:F,""SELECT B WHERE E CONTAINS '""&amp;B163&amp;""' LABEL B ''"")))"),"#N/A")</f>
        <v>#N/A</v>
      </c>
    </row>
    <row r="164" spans="1:11" x14ac:dyDescent="0.25">
      <c r="A164" s="7" t="s">
        <v>371</v>
      </c>
      <c r="B164" s="8" t="s">
        <v>372</v>
      </c>
      <c r="C164" s="9" t="s">
        <v>41</v>
      </c>
      <c r="D164" s="9" t="s">
        <v>352</v>
      </c>
      <c r="E164" s="9" t="s">
        <v>132</v>
      </c>
      <c r="F164" s="9" t="s">
        <v>73</v>
      </c>
      <c r="G164" s="10" t="s">
        <v>17</v>
      </c>
      <c r="H164" s="10" t="s">
        <v>17</v>
      </c>
      <c r="I164" s="10" t="s">
        <v>17</v>
      </c>
      <c r="J164" s="11" t="str">
        <f t="shared" ca="1" si="2"/>
        <v>/A.</v>
      </c>
      <c r="K164" s="10" t="str">
        <f ca="1">IFERROR(__xludf.dummyfunction("CONCATENATE(ArrayFormula(""; ""&amp;QUERY(Hallazgos!A:F,""SELECT B WHERE E CONTAINS '""&amp;B164&amp;""' LABEL B ''"")))"),"#N/A")</f>
        <v>#N/A</v>
      </c>
    </row>
    <row r="165" spans="1:11" x14ac:dyDescent="0.25">
      <c r="A165" s="7" t="s">
        <v>373</v>
      </c>
      <c r="B165" s="8" t="s">
        <v>374</v>
      </c>
      <c r="C165" s="9" t="s">
        <v>41</v>
      </c>
      <c r="D165" s="9" t="s">
        <v>352</v>
      </c>
      <c r="E165" s="9" t="s">
        <v>132</v>
      </c>
      <c r="F165" s="9" t="s">
        <v>73</v>
      </c>
      <c r="G165" s="10" t="s">
        <v>17</v>
      </c>
      <c r="H165" s="10" t="s">
        <v>17</v>
      </c>
      <c r="I165" s="10" t="s">
        <v>17</v>
      </c>
      <c r="J165" s="11" t="str">
        <f t="shared" ca="1" si="2"/>
        <v>/A.</v>
      </c>
      <c r="K165" s="10" t="str">
        <f ca="1">IFERROR(__xludf.dummyfunction("CONCATENATE(ArrayFormula(""; ""&amp;QUERY(Hallazgos!A:F,""SELECT B WHERE E CONTAINS '""&amp;B165&amp;""' LABEL B ''"")))"),"#N/A")</f>
        <v>#N/A</v>
      </c>
    </row>
    <row r="166" spans="1:11" x14ac:dyDescent="0.25">
      <c r="A166" s="7" t="s">
        <v>375</v>
      </c>
      <c r="B166" s="8" t="s">
        <v>376</v>
      </c>
      <c r="C166" s="9" t="s">
        <v>41</v>
      </c>
      <c r="D166" s="9" t="s">
        <v>352</v>
      </c>
      <c r="E166" s="9" t="s">
        <v>181</v>
      </c>
      <c r="F166" s="9" t="s">
        <v>73</v>
      </c>
      <c r="G166" s="10" t="s">
        <v>17</v>
      </c>
      <c r="H166" s="10" t="s">
        <v>17</v>
      </c>
      <c r="I166" s="10" t="s">
        <v>17</v>
      </c>
      <c r="J166" s="11" t="str">
        <f t="shared" ca="1" si="2"/>
        <v>/A.</v>
      </c>
      <c r="K166" s="10" t="str">
        <f ca="1">IFERROR(__xludf.dummyfunction("CONCATENATE(ArrayFormula(""; ""&amp;QUERY(Hallazgos!A:F,""SELECT B WHERE E CONTAINS '""&amp;B166&amp;""' LABEL B ''"")))"),"#N/A")</f>
        <v>#N/A</v>
      </c>
    </row>
    <row r="167" spans="1:11" x14ac:dyDescent="0.25">
      <c r="A167" s="7" t="s">
        <v>377</v>
      </c>
      <c r="B167" s="8" t="s">
        <v>378</v>
      </c>
      <c r="C167" s="9" t="s">
        <v>41</v>
      </c>
      <c r="D167" s="9" t="s">
        <v>352</v>
      </c>
      <c r="E167" s="9" t="s">
        <v>132</v>
      </c>
      <c r="F167" s="9" t="s">
        <v>73</v>
      </c>
      <c r="G167" s="10" t="s">
        <v>17</v>
      </c>
      <c r="H167" s="10" t="s">
        <v>17</v>
      </c>
      <c r="I167" s="10" t="s">
        <v>17</v>
      </c>
      <c r="J167" s="11" t="str">
        <f t="shared" ca="1" si="2"/>
        <v>/A.</v>
      </c>
      <c r="K167" s="10" t="str">
        <f ca="1">IFERROR(__xludf.dummyfunction("CONCATENATE(ArrayFormula(""; ""&amp;QUERY(Hallazgos!A:F,""SELECT B WHERE E CONTAINS '""&amp;B167&amp;""' LABEL B ''"")))"),"#N/A")</f>
        <v>#N/A</v>
      </c>
    </row>
    <row r="168" spans="1:11" x14ac:dyDescent="0.25">
      <c r="A168" s="7" t="s">
        <v>379</v>
      </c>
      <c r="B168" s="8" t="s">
        <v>380</v>
      </c>
      <c r="C168" s="9" t="s">
        <v>41</v>
      </c>
      <c r="D168" s="9" t="s">
        <v>352</v>
      </c>
      <c r="E168" s="9" t="s">
        <v>181</v>
      </c>
      <c r="F168" s="9" t="s">
        <v>73</v>
      </c>
      <c r="G168" s="10" t="s">
        <v>17</v>
      </c>
      <c r="H168" s="10" t="s">
        <v>17</v>
      </c>
      <c r="I168" s="10" t="s">
        <v>17</v>
      </c>
      <c r="J168" s="11" t="str">
        <f t="shared" ca="1" si="2"/>
        <v>/A.</v>
      </c>
      <c r="K168" s="10" t="str">
        <f ca="1">IFERROR(__xludf.dummyfunction("CONCATENATE(ArrayFormula(""; ""&amp;QUERY(Hallazgos!A:F,""SELECT B WHERE E CONTAINS '""&amp;B168&amp;""' LABEL B ''"")))"),"#N/A")</f>
        <v>#N/A</v>
      </c>
    </row>
    <row r="169" spans="1:11" x14ac:dyDescent="0.25">
      <c r="A169" s="7" t="s">
        <v>381</v>
      </c>
      <c r="B169" s="8" t="s">
        <v>382</v>
      </c>
      <c r="C169" s="9" t="s">
        <v>41</v>
      </c>
      <c r="D169" s="9" t="s">
        <v>352</v>
      </c>
      <c r="E169" s="9" t="s">
        <v>132</v>
      </c>
      <c r="F169" s="9" t="s">
        <v>73</v>
      </c>
      <c r="G169" s="10" t="s">
        <v>17</v>
      </c>
      <c r="H169" s="10" t="s">
        <v>17</v>
      </c>
      <c r="I169" s="10" t="s">
        <v>17</v>
      </c>
      <c r="J169" s="11" t="str">
        <f t="shared" ca="1" si="2"/>
        <v>/A.</v>
      </c>
      <c r="K169" s="10" t="str">
        <f ca="1">IFERROR(__xludf.dummyfunction("CONCATENATE(ArrayFormula(""; ""&amp;QUERY(Hallazgos!A:F,""SELECT B WHERE E CONTAINS '""&amp;B169&amp;""' LABEL B ''"")))"),"#N/A")</f>
        <v>#N/A</v>
      </c>
    </row>
    <row r="170" spans="1:11" x14ac:dyDescent="0.25">
      <c r="A170" s="7" t="s">
        <v>383</v>
      </c>
      <c r="B170" s="8" t="s">
        <v>384</v>
      </c>
      <c r="C170" s="9" t="s">
        <v>41</v>
      </c>
      <c r="D170" s="9" t="s">
        <v>352</v>
      </c>
      <c r="E170" s="9" t="s">
        <v>116</v>
      </c>
      <c r="F170" s="9" t="s">
        <v>73</v>
      </c>
      <c r="G170" s="10" t="s">
        <v>17</v>
      </c>
      <c r="H170" s="10" t="s">
        <v>17</v>
      </c>
      <c r="I170" s="10" t="s">
        <v>17</v>
      </c>
      <c r="J170" s="11" t="str">
        <f t="shared" ca="1" si="2"/>
        <v>/A.</v>
      </c>
      <c r="K170" s="10" t="str">
        <f ca="1">IFERROR(__xludf.dummyfunction("CONCATENATE(ArrayFormula(""; ""&amp;QUERY(Hallazgos!A:F,""SELECT B WHERE E CONTAINS '""&amp;B170&amp;""' LABEL B ''"")))"),"#N/A")</f>
        <v>#N/A</v>
      </c>
    </row>
    <row r="171" spans="1:11" x14ac:dyDescent="0.25">
      <c r="A171" s="7" t="s">
        <v>385</v>
      </c>
      <c r="B171" s="8" t="s">
        <v>386</v>
      </c>
      <c r="C171" s="9" t="s">
        <v>41</v>
      </c>
      <c r="D171" s="9" t="s">
        <v>352</v>
      </c>
      <c r="E171" s="9" t="s">
        <v>132</v>
      </c>
      <c r="F171" s="9" t="s">
        <v>73</v>
      </c>
      <c r="G171" s="10" t="s">
        <v>17</v>
      </c>
      <c r="H171" s="10" t="s">
        <v>17</v>
      </c>
      <c r="I171" s="10" t="s">
        <v>17</v>
      </c>
      <c r="J171" s="11" t="str">
        <f t="shared" ca="1" si="2"/>
        <v>/A.</v>
      </c>
      <c r="K171" s="10" t="str">
        <f ca="1">IFERROR(__xludf.dummyfunction("CONCATENATE(ArrayFormula(""; ""&amp;QUERY(Hallazgos!A:F,""SELECT B WHERE E CONTAINS '""&amp;B171&amp;""' LABEL B ''"")))"),"#N/A")</f>
        <v>#N/A</v>
      </c>
    </row>
    <row r="172" spans="1:11" x14ac:dyDescent="0.25">
      <c r="A172" s="7" t="s">
        <v>387</v>
      </c>
      <c r="B172" s="8" t="s">
        <v>388</v>
      </c>
      <c r="C172" s="9" t="s">
        <v>41</v>
      </c>
      <c r="D172" s="9" t="s">
        <v>352</v>
      </c>
      <c r="E172" s="9" t="s">
        <v>81</v>
      </c>
      <c r="F172" s="9" t="s">
        <v>104</v>
      </c>
      <c r="G172" s="10" t="s">
        <v>17</v>
      </c>
      <c r="H172" s="10" t="s">
        <v>17</v>
      </c>
      <c r="I172" s="10" t="s">
        <v>17</v>
      </c>
      <c r="J172" s="11" t="str">
        <f t="shared" ca="1" si="2"/>
        <v>/A.</v>
      </c>
      <c r="K172" s="10" t="str">
        <f ca="1">IFERROR(__xludf.dummyfunction("CONCATENATE(ArrayFormula(""; ""&amp;QUERY(Hallazgos!A:F,""SELECT B WHERE E CONTAINS '""&amp;B172&amp;""' LABEL B ''"")))"),"#N/A")</f>
        <v>#N/A</v>
      </c>
    </row>
    <row r="173" spans="1:11" x14ac:dyDescent="0.25">
      <c r="A173" s="7" t="s">
        <v>389</v>
      </c>
      <c r="B173" s="8" t="s">
        <v>390</v>
      </c>
      <c r="C173" s="9" t="s">
        <v>41</v>
      </c>
      <c r="D173" s="9" t="s">
        <v>352</v>
      </c>
      <c r="E173" s="9" t="s">
        <v>81</v>
      </c>
      <c r="F173" s="9" t="s">
        <v>73</v>
      </c>
      <c r="G173" s="10" t="s">
        <v>17</v>
      </c>
      <c r="H173" s="10" t="s">
        <v>17</v>
      </c>
      <c r="I173" s="10" t="s">
        <v>17</v>
      </c>
      <c r="J173" s="11" t="str">
        <f t="shared" ca="1" si="2"/>
        <v>/A.</v>
      </c>
      <c r="K173" s="10" t="str">
        <f ca="1">IFERROR(__xludf.dummyfunction("CONCATENATE(ArrayFormula(""; ""&amp;QUERY(Hallazgos!A:F,""SELECT B WHERE E CONTAINS '""&amp;B173&amp;""' LABEL B ''"")))"),"#N/A")</f>
        <v>#N/A</v>
      </c>
    </row>
    <row r="174" spans="1:11" x14ac:dyDescent="0.25">
      <c r="A174" s="7" t="s">
        <v>391</v>
      </c>
      <c r="B174" s="8" t="s">
        <v>392</v>
      </c>
      <c r="C174" s="9" t="s">
        <v>41</v>
      </c>
      <c r="D174" s="9" t="s">
        <v>352</v>
      </c>
      <c r="E174" s="9" t="s">
        <v>116</v>
      </c>
      <c r="F174" s="9" t="s">
        <v>73</v>
      </c>
      <c r="G174" s="10" t="s">
        <v>17</v>
      </c>
      <c r="H174" s="10" t="s">
        <v>17</v>
      </c>
      <c r="I174" s="10" t="s">
        <v>17</v>
      </c>
      <c r="J174" s="11" t="str">
        <f t="shared" ca="1" si="2"/>
        <v>/A.</v>
      </c>
      <c r="K174" s="10" t="str">
        <f ca="1">IFERROR(__xludf.dummyfunction("CONCATENATE(ArrayFormula(""; ""&amp;QUERY(Hallazgos!A:F,""SELECT B WHERE E CONTAINS '""&amp;B174&amp;""' LABEL B ''"")))"),"#N/A")</f>
        <v>#N/A</v>
      </c>
    </row>
    <row r="175" spans="1:11" x14ac:dyDescent="0.25">
      <c r="A175" s="7" t="s">
        <v>393</v>
      </c>
      <c r="B175" s="8" t="s">
        <v>394</v>
      </c>
      <c r="C175" s="9" t="s">
        <v>41</v>
      </c>
      <c r="D175" s="9" t="s">
        <v>352</v>
      </c>
      <c r="E175" s="9" t="s">
        <v>116</v>
      </c>
      <c r="F175" s="9" t="s">
        <v>73</v>
      </c>
      <c r="G175" s="10" t="s">
        <v>17</v>
      </c>
      <c r="H175" s="10" t="s">
        <v>17</v>
      </c>
      <c r="I175" s="10" t="s">
        <v>17</v>
      </c>
      <c r="J175" s="11" t="str">
        <f t="shared" ca="1" si="2"/>
        <v>/A.</v>
      </c>
      <c r="K175" s="10" t="str">
        <f ca="1">IFERROR(__xludf.dummyfunction("CONCATENATE(ArrayFormula(""; ""&amp;QUERY(Hallazgos!A:F,""SELECT B WHERE E CONTAINS '""&amp;B175&amp;""' LABEL B ''"")))"),"#N/A")</f>
        <v>#N/A</v>
      </c>
    </row>
    <row r="176" spans="1:11" x14ac:dyDescent="0.25">
      <c r="A176" s="7" t="s">
        <v>395</v>
      </c>
      <c r="B176" s="8" t="s">
        <v>396</v>
      </c>
      <c r="C176" s="9" t="s">
        <v>41</v>
      </c>
      <c r="D176" s="9" t="s">
        <v>352</v>
      </c>
      <c r="E176" s="9" t="s">
        <v>116</v>
      </c>
      <c r="F176" s="9" t="s">
        <v>73</v>
      </c>
      <c r="G176" s="10" t="s">
        <v>17</v>
      </c>
      <c r="H176" s="10" t="s">
        <v>17</v>
      </c>
      <c r="I176" s="10" t="s">
        <v>17</v>
      </c>
      <c r="J176" s="11" t="str">
        <f t="shared" ca="1" si="2"/>
        <v>/A.</v>
      </c>
      <c r="K176" s="10" t="str">
        <f ca="1">IFERROR(__xludf.dummyfunction("CONCATENATE(ArrayFormula(""; ""&amp;QUERY(Hallazgos!A:F,""SELECT B WHERE E CONTAINS '""&amp;B176&amp;""' LABEL B ''"")))"),"#N/A")</f>
        <v>#N/A</v>
      </c>
    </row>
    <row r="177" spans="1:11" x14ac:dyDescent="0.25">
      <c r="A177" s="7" t="s">
        <v>397</v>
      </c>
      <c r="B177" s="8" t="s">
        <v>398</v>
      </c>
      <c r="C177" s="9" t="s">
        <v>41</v>
      </c>
      <c r="D177" s="9" t="s">
        <v>399</v>
      </c>
      <c r="E177" s="9" t="s">
        <v>98</v>
      </c>
      <c r="F177" s="9" t="s">
        <v>55</v>
      </c>
      <c r="G177" s="10" t="s">
        <v>17</v>
      </c>
      <c r="H177" s="10" t="s">
        <v>17</v>
      </c>
      <c r="I177" s="10" t="s">
        <v>17</v>
      </c>
      <c r="J177" s="11" t="str">
        <f t="shared" ca="1" si="2"/>
        <v>/A.</v>
      </c>
      <c r="K177" s="10" t="str">
        <f ca="1">IFERROR(__xludf.dummyfunction("CONCATENATE(ArrayFormula(""; ""&amp;QUERY(Hallazgos!A:F,""SELECT B WHERE E CONTAINS '""&amp;B177&amp;""' LABEL B ''"")))"),"#N/A")</f>
        <v>#N/A</v>
      </c>
    </row>
    <row r="178" spans="1:11" ht="199.5" x14ac:dyDescent="0.25">
      <c r="A178" s="7" t="s">
        <v>400</v>
      </c>
      <c r="B178" s="12" t="s">
        <v>401</v>
      </c>
      <c r="C178" s="9" t="s">
        <v>41</v>
      </c>
      <c r="D178" s="9" t="s">
        <v>399</v>
      </c>
      <c r="E178" s="9" t="s">
        <v>81</v>
      </c>
      <c r="F178" s="9" t="s">
        <v>55</v>
      </c>
      <c r="G178" s="10" t="s">
        <v>17</v>
      </c>
      <c r="H178" s="10" t="s">
        <v>17</v>
      </c>
      <c r="I178" s="10" t="s">
        <v>17</v>
      </c>
      <c r="J178" s="11" t="str">
        <f t="shared" ca="1" si="2"/>
        <v>/A.</v>
      </c>
      <c r="K178" s="10" t="str">
        <f ca="1">IFERROR(__xludf.dummyfunction("CONCATENATE(ArrayFormula(""; ""&amp;QUERY(Hallazgos!A:F,""SELECT B WHERE E CONTAINS '""&amp;B178&amp;""' LABEL B ''"")))"),"#N/A")</f>
        <v>#N/A</v>
      </c>
    </row>
    <row r="179" spans="1:11" x14ac:dyDescent="0.25">
      <c r="A179" s="7" t="s">
        <v>402</v>
      </c>
      <c r="B179" s="8" t="s">
        <v>403</v>
      </c>
      <c r="C179" s="9" t="s">
        <v>41</v>
      </c>
      <c r="D179" s="9" t="s">
        <v>399</v>
      </c>
      <c r="E179" s="9" t="s">
        <v>88</v>
      </c>
      <c r="F179" s="9" t="s">
        <v>55</v>
      </c>
      <c r="G179" s="10" t="s">
        <v>17</v>
      </c>
      <c r="H179" s="10" t="s">
        <v>17</v>
      </c>
      <c r="I179" s="10" t="s">
        <v>17</v>
      </c>
      <c r="J179" s="11" t="str">
        <f t="shared" ca="1" si="2"/>
        <v>/A.</v>
      </c>
      <c r="K179" s="10" t="str">
        <f ca="1">IFERROR(__xludf.dummyfunction("CONCATENATE(ArrayFormula(""; ""&amp;QUERY(Hallazgos!A:F,""SELECT B WHERE E CONTAINS '""&amp;B179&amp;""' LABEL B ''"")))"),"#N/A")</f>
        <v>#N/A</v>
      </c>
    </row>
    <row r="180" spans="1:11" x14ac:dyDescent="0.25">
      <c r="A180" s="7" t="s">
        <v>404</v>
      </c>
      <c r="B180" s="8" t="s">
        <v>405</v>
      </c>
      <c r="C180" s="9" t="s">
        <v>38</v>
      </c>
      <c r="D180" s="9" t="s">
        <v>399</v>
      </c>
      <c r="E180" s="9" t="s">
        <v>406</v>
      </c>
      <c r="F180" s="9" t="s">
        <v>55</v>
      </c>
      <c r="G180" s="10" t="s">
        <v>17</v>
      </c>
      <c r="H180" s="10" t="s">
        <v>17</v>
      </c>
      <c r="I180" s="10" t="s">
        <v>17</v>
      </c>
      <c r="J180" s="11" t="str">
        <f t="shared" ca="1" si="2"/>
        <v>/A.</v>
      </c>
      <c r="K180" s="10" t="str">
        <f ca="1">IFERROR(__xludf.dummyfunction("CONCATENATE(ArrayFormula(""; ""&amp;QUERY(Hallazgos!A:F,""SELECT B WHERE E CONTAINS '""&amp;B180&amp;""' LABEL B ''"")))"),"#N/A")</f>
        <v>#N/A</v>
      </c>
    </row>
    <row r="181" spans="1:11" x14ac:dyDescent="0.25">
      <c r="A181" s="7" t="s">
        <v>407</v>
      </c>
      <c r="B181" s="8" t="s">
        <v>408</v>
      </c>
      <c r="C181" s="9" t="s">
        <v>13</v>
      </c>
      <c r="D181" s="9" t="s">
        <v>399</v>
      </c>
      <c r="E181" s="9" t="s">
        <v>81</v>
      </c>
      <c r="F181" s="9" t="s">
        <v>55</v>
      </c>
      <c r="G181" s="10" t="s">
        <v>17</v>
      </c>
      <c r="H181" s="10" t="s">
        <v>17</v>
      </c>
      <c r="I181" s="10" t="s">
        <v>17</v>
      </c>
      <c r="J181" s="11" t="str">
        <f t="shared" ca="1" si="2"/>
        <v>/A.</v>
      </c>
      <c r="K181" s="10" t="str">
        <f ca="1">IFERROR(__xludf.dummyfunction("CONCATENATE(ArrayFormula(""; ""&amp;QUERY(Hallazgos!A:F,""SELECT B WHERE E CONTAINS '""&amp;B181&amp;""' LABEL B ''"")))"),"#N/A")</f>
        <v>#N/A</v>
      </c>
    </row>
    <row r="182" spans="1:11" x14ac:dyDescent="0.25">
      <c r="A182" s="7" t="s">
        <v>409</v>
      </c>
      <c r="B182" s="8" t="s">
        <v>410</v>
      </c>
      <c r="C182" s="9" t="s">
        <v>13</v>
      </c>
      <c r="D182" s="9" t="s">
        <v>399</v>
      </c>
      <c r="E182" s="9" t="s">
        <v>81</v>
      </c>
      <c r="F182" s="9" t="s">
        <v>55</v>
      </c>
      <c r="G182" s="10" t="s">
        <v>17</v>
      </c>
      <c r="H182" s="10" t="s">
        <v>17</v>
      </c>
      <c r="I182" s="10" t="s">
        <v>17</v>
      </c>
      <c r="J182" s="11" t="str">
        <f t="shared" ca="1" si="2"/>
        <v>/A.</v>
      </c>
      <c r="K182" s="10" t="str">
        <f ca="1">IFERROR(__xludf.dummyfunction("CONCATENATE(ArrayFormula(""; ""&amp;QUERY(Hallazgos!A:F,""SELECT B WHERE E CONTAINS '""&amp;B182&amp;""' LABEL B ''"")))"),"#N/A")</f>
        <v>#N/A</v>
      </c>
    </row>
    <row r="183" spans="1:11" x14ac:dyDescent="0.25">
      <c r="A183" s="7" t="s">
        <v>411</v>
      </c>
      <c r="B183" s="8" t="s">
        <v>412</v>
      </c>
      <c r="C183" s="9" t="s">
        <v>13</v>
      </c>
      <c r="D183" s="9" t="s">
        <v>399</v>
      </c>
      <c r="E183" s="9" t="s">
        <v>406</v>
      </c>
      <c r="F183" s="9" t="s">
        <v>55</v>
      </c>
      <c r="G183" s="10" t="s">
        <v>17</v>
      </c>
      <c r="H183" s="10" t="s">
        <v>17</v>
      </c>
      <c r="I183" s="10" t="s">
        <v>17</v>
      </c>
      <c r="J183" s="11" t="str">
        <f t="shared" ca="1" si="2"/>
        <v>/A.</v>
      </c>
      <c r="K183" s="10" t="str">
        <f ca="1">IFERROR(__xludf.dummyfunction("CONCATENATE(ArrayFormula(""; ""&amp;QUERY(Hallazgos!A:F,""SELECT B WHERE E CONTAINS '""&amp;B183&amp;""' LABEL B ''"")))"),"#N/A")</f>
        <v>#N/A</v>
      </c>
    </row>
    <row r="184" spans="1:11" x14ac:dyDescent="0.25">
      <c r="A184" s="7" t="s">
        <v>413</v>
      </c>
      <c r="B184" s="8" t="s">
        <v>414</v>
      </c>
      <c r="C184" s="9" t="s">
        <v>41</v>
      </c>
      <c r="D184" s="9" t="s">
        <v>399</v>
      </c>
      <c r="E184" s="9" t="s">
        <v>81</v>
      </c>
      <c r="F184" s="9" t="s">
        <v>55</v>
      </c>
      <c r="G184" s="10" t="s">
        <v>17</v>
      </c>
      <c r="H184" s="10" t="s">
        <v>17</v>
      </c>
      <c r="I184" s="10" t="s">
        <v>17</v>
      </c>
      <c r="J184" s="11" t="str">
        <f t="shared" ca="1" si="2"/>
        <v>/A.</v>
      </c>
      <c r="K184" s="10" t="str">
        <f ca="1">IFERROR(__xludf.dummyfunction("CONCATENATE(ArrayFormula(""; ""&amp;QUERY(Hallazgos!A:F,""SELECT B WHERE E CONTAINS '""&amp;B184&amp;""' LABEL B ''"")))"),"#N/A")</f>
        <v>#N/A</v>
      </c>
    </row>
    <row r="185" spans="1:11" x14ac:dyDescent="0.25">
      <c r="A185" s="7" t="s">
        <v>415</v>
      </c>
      <c r="B185" s="8" t="s">
        <v>416</v>
      </c>
      <c r="C185" s="9" t="s">
        <v>41</v>
      </c>
      <c r="D185" s="9" t="s">
        <v>399</v>
      </c>
      <c r="E185" s="9" t="s">
        <v>81</v>
      </c>
      <c r="F185" s="9" t="s">
        <v>55</v>
      </c>
      <c r="G185" s="10" t="s">
        <v>17</v>
      </c>
      <c r="H185" s="10" t="s">
        <v>17</v>
      </c>
      <c r="I185" s="10" t="s">
        <v>17</v>
      </c>
      <c r="J185" s="11" t="str">
        <f t="shared" ca="1" si="2"/>
        <v>/A.</v>
      </c>
      <c r="K185" s="10" t="str">
        <f ca="1">IFERROR(__xludf.dummyfunction("CONCATENATE(ArrayFormula(""; ""&amp;QUERY(Hallazgos!A:F,""SELECT B WHERE E CONTAINS '""&amp;B185&amp;""' LABEL B ''"")))"),"#N/A")</f>
        <v>#N/A</v>
      </c>
    </row>
    <row r="186" spans="1:11" x14ac:dyDescent="0.25">
      <c r="A186" s="7" t="s">
        <v>417</v>
      </c>
      <c r="B186" s="8" t="s">
        <v>418</v>
      </c>
      <c r="C186" s="9" t="s">
        <v>13</v>
      </c>
      <c r="D186" s="9" t="s">
        <v>399</v>
      </c>
      <c r="E186" s="9" t="s">
        <v>81</v>
      </c>
      <c r="F186" s="9" t="s">
        <v>55</v>
      </c>
      <c r="G186" s="10" t="s">
        <v>17</v>
      </c>
      <c r="H186" s="10" t="s">
        <v>17</v>
      </c>
      <c r="I186" s="10" t="s">
        <v>17</v>
      </c>
      <c r="J186" s="11" t="str">
        <f t="shared" ca="1" si="2"/>
        <v>/A.</v>
      </c>
      <c r="K186" s="10" t="str">
        <f ca="1">IFERROR(__xludf.dummyfunction("CONCATENATE(ArrayFormula(""; ""&amp;QUERY(Hallazgos!A:F,""SELECT B WHERE E CONTAINS '""&amp;B186&amp;""' LABEL B ''"")))"),"#N/A")</f>
        <v>#N/A</v>
      </c>
    </row>
    <row r="187" spans="1:11" x14ac:dyDescent="0.25">
      <c r="A187" s="7" t="s">
        <v>419</v>
      </c>
      <c r="B187" s="8" t="s">
        <v>420</v>
      </c>
      <c r="C187" s="9" t="s">
        <v>13</v>
      </c>
      <c r="D187" s="9" t="s">
        <v>399</v>
      </c>
      <c r="E187" s="9" t="s">
        <v>81</v>
      </c>
      <c r="F187" s="9" t="s">
        <v>55</v>
      </c>
      <c r="G187" s="10" t="s">
        <v>17</v>
      </c>
      <c r="H187" s="10" t="s">
        <v>17</v>
      </c>
      <c r="I187" s="10" t="s">
        <v>17</v>
      </c>
      <c r="J187" s="11" t="str">
        <f t="shared" ca="1" si="2"/>
        <v>/A.</v>
      </c>
      <c r="K187" s="10" t="str">
        <f ca="1">IFERROR(__xludf.dummyfunction("CONCATENATE(ArrayFormula(""; ""&amp;QUERY(Hallazgos!A:F,""SELECT B WHERE E CONTAINS '""&amp;B187&amp;""' LABEL B ''"")))"),"#N/A")</f>
        <v>#N/A</v>
      </c>
    </row>
    <row r="188" spans="1:11" x14ac:dyDescent="0.25">
      <c r="A188" s="7" t="s">
        <v>421</v>
      </c>
      <c r="B188" s="8" t="s">
        <v>422</v>
      </c>
      <c r="C188" s="9" t="s">
        <v>13</v>
      </c>
      <c r="D188" s="9" t="s">
        <v>399</v>
      </c>
      <c r="E188" s="9" t="s">
        <v>81</v>
      </c>
      <c r="F188" s="9" t="s">
        <v>16</v>
      </c>
      <c r="G188" s="10" t="s">
        <v>17</v>
      </c>
      <c r="H188" s="10" t="s">
        <v>17</v>
      </c>
      <c r="I188" s="10" t="s">
        <v>17</v>
      </c>
      <c r="J188" s="11" t="str">
        <f t="shared" ca="1" si="2"/>
        <v>/A.</v>
      </c>
      <c r="K188" s="10" t="str">
        <f ca="1">IFERROR(__xludf.dummyfunction("CONCATENATE(ArrayFormula(""; ""&amp;QUERY(Hallazgos!A:F,""SELECT B WHERE E CONTAINS '""&amp;B188&amp;""' LABEL B ''"")))"),"#N/A")</f>
        <v>#N/A</v>
      </c>
    </row>
    <row r="189" spans="1:11" x14ac:dyDescent="0.25">
      <c r="A189" s="7" t="s">
        <v>423</v>
      </c>
      <c r="B189" s="8" t="s">
        <v>424</v>
      </c>
      <c r="C189" s="9" t="s">
        <v>13</v>
      </c>
      <c r="D189" s="9" t="s">
        <v>399</v>
      </c>
      <c r="E189" s="9" t="s">
        <v>81</v>
      </c>
      <c r="F189" s="9" t="s">
        <v>16</v>
      </c>
      <c r="G189" s="10" t="s">
        <v>17</v>
      </c>
      <c r="H189" s="10" t="s">
        <v>17</v>
      </c>
      <c r="I189" s="10" t="s">
        <v>17</v>
      </c>
      <c r="J189" s="11" t="str">
        <f t="shared" ca="1" si="2"/>
        <v>/A.</v>
      </c>
      <c r="K189" s="10" t="str">
        <f ca="1">IFERROR(__xludf.dummyfunction("CONCATENATE(ArrayFormula(""; ""&amp;QUERY(Hallazgos!A:F,""SELECT B WHERE E CONTAINS '""&amp;B189&amp;""' LABEL B ''"")))"),"#N/A")</f>
        <v>#N/A</v>
      </c>
    </row>
    <row r="190" spans="1:11" x14ac:dyDescent="0.25">
      <c r="A190" s="7" t="s">
        <v>425</v>
      </c>
      <c r="B190" s="8" t="s">
        <v>426</v>
      </c>
      <c r="C190" s="9" t="s">
        <v>13</v>
      </c>
      <c r="D190" s="9" t="s">
        <v>399</v>
      </c>
      <c r="E190" s="9" t="s">
        <v>81</v>
      </c>
      <c r="F190" s="9" t="s">
        <v>44</v>
      </c>
      <c r="G190" s="10" t="s">
        <v>17</v>
      </c>
      <c r="H190" s="10" t="s">
        <v>17</v>
      </c>
      <c r="I190" s="10" t="s">
        <v>17</v>
      </c>
      <c r="J190" s="11" t="str">
        <f t="shared" ca="1" si="2"/>
        <v>/A.</v>
      </c>
      <c r="K190" s="10" t="str">
        <f ca="1">IFERROR(__xludf.dummyfunction("CONCATENATE(ArrayFormula(""; ""&amp;QUERY(Hallazgos!A:F,""SELECT B WHERE E CONTAINS '""&amp;B190&amp;""' LABEL B ''"")))"),"#N/A")</f>
        <v>#N/A</v>
      </c>
    </row>
    <row r="191" spans="1:11" x14ac:dyDescent="0.25">
      <c r="A191" s="7" t="s">
        <v>427</v>
      </c>
      <c r="B191" s="8" t="s">
        <v>428</v>
      </c>
      <c r="C191" s="9" t="s">
        <v>13</v>
      </c>
      <c r="D191" s="9" t="s">
        <v>399</v>
      </c>
      <c r="E191" s="9" t="s">
        <v>81</v>
      </c>
      <c r="F191" s="9" t="s">
        <v>73</v>
      </c>
      <c r="G191" s="10" t="s">
        <v>17</v>
      </c>
      <c r="H191" s="10" t="s">
        <v>17</v>
      </c>
      <c r="I191" s="10" t="s">
        <v>17</v>
      </c>
      <c r="J191" s="11" t="str">
        <f t="shared" ca="1" si="2"/>
        <v>/A.</v>
      </c>
      <c r="K191" s="10" t="str">
        <f ca="1">IFERROR(__xludf.dummyfunction("CONCATENATE(ArrayFormula(""; ""&amp;QUERY(Hallazgos!A:F,""SELECT B WHERE E CONTAINS '""&amp;B191&amp;""' LABEL B ''"")))"),"#N/A")</f>
        <v>#N/A</v>
      </c>
    </row>
    <row r="192" spans="1:11" x14ac:dyDescent="0.25">
      <c r="A192" s="7" t="s">
        <v>429</v>
      </c>
      <c r="B192" s="8" t="s">
        <v>430</v>
      </c>
      <c r="C192" s="9" t="s">
        <v>13</v>
      </c>
      <c r="D192" s="9" t="s">
        <v>399</v>
      </c>
      <c r="E192" s="9" t="s">
        <v>81</v>
      </c>
      <c r="F192" s="9" t="s">
        <v>55</v>
      </c>
      <c r="G192" s="10" t="s">
        <v>17</v>
      </c>
      <c r="H192" s="10" t="s">
        <v>17</v>
      </c>
      <c r="I192" s="10" t="s">
        <v>17</v>
      </c>
      <c r="J192" s="11" t="str">
        <f t="shared" ca="1" si="2"/>
        <v>/A.</v>
      </c>
      <c r="K192" s="10" t="str">
        <f ca="1">IFERROR(__xludf.dummyfunction("CONCATENATE(ArrayFormula(""; ""&amp;QUERY(Hallazgos!A:F,""SELECT B WHERE E CONTAINS '""&amp;B192&amp;""' LABEL B ''"")))"),"#N/A")</f>
        <v>#N/A</v>
      </c>
    </row>
    <row r="193" spans="1:11" x14ac:dyDescent="0.25">
      <c r="A193" s="7" t="s">
        <v>431</v>
      </c>
      <c r="B193" s="8" t="s">
        <v>432</v>
      </c>
      <c r="C193" s="9" t="s">
        <v>41</v>
      </c>
      <c r="D193" s="9" t="s">
        <v>399</v>
      </c>
      <c r="E193" s="9" t="s">
        <v>81</v>
      </c>
      <c r="F193" s="9" t="s">
        <v>55</v>
      </c>
      <c r="G193" s="10" t="s">
        <v>17</v>
      </c>
      <c r="H193" s="10" t="s">
        <v>17</v>
      </c>
      <c r="I193" s="10" t="s">
        <v>17</v>
      </c>
      <c r="J193" s="11" t="str">
        <f t="shared" ca="1" si="2"/>
        <v>/A.</v>
      </c>
      <c r="K193" s="10" t="str">
        <f ca="1">IFERROR(__xludf.dummyfunction("CONCATENATE(ArrayFormula(""; ""&amp;QUERY(Hallazgos!A:F,""SELECT B WHERE E CONTAINS '""&amp;B193&amp;""' LABEL B ''"")))"),"#N/A")</f>
        <v>#N/A</v>
      </c>
    </row>
    <row r="194" spans="1:11" x14ac:dyDescent="0.25">
      <c r="A194" s="7" t="s">
        <v>433</v>
      </c>
      <c r="B194" s="8" t="s">
        <v>434</v>
      </c>
      <c r="C194" s="9" t="s">
        <v>41</v>
      </c>
      <c r="D194" s="9" t="s">
        <v>399</v>
      </c>
      <c r="E194" s="9" t="s">
        <v>406</v>
      </c>
      <c r="F194" s="9" t="s">
        <v>55</v>
      </c>
      <c r="G194" s="10" t="s">
        <v>17</v>
      </c>
      <c r="H194" s="10" t="s">
        <v>17</v>
      </c>
      <c r="I194" s="10" t="s">
        <v>17</v>
      </c>
      <c r="J194" s="11" t="str">
        <f t="shared" ca="1" si="2"/>
        <v>/A.</v>
      </c>
      <c r="K194" s="10" t="str">
        <f ca="1">IFERROR(__xludf.dummyfunction("CONCATENATE(ArrayFormula(""; ""&amp;QUERY(Hallazgos!A:F,""SELECT B WHERE E CONTAINS '""&amp;B194&amp;""' LABEL B ''"")))"),"#N/A")</f>
        <v>#N/A</v>
      </c>
    </row>
    <row r="195" spans="1:11" x14ac:dyDescent="0.25">
      <c r="A195" s="7" t="s">
        <v>435</v>
      </c>
      <c r="B195" s="8" t="s">
        <v>436</v>
      </c>
      <c r="C195" s="9" t="s">
        <v>13</v>
      </c>
      <c r="D195" s="9" t="s">
        <v>437</v>
      </c>
      <c r="E195" s="9" t="s">
        <v>98</v>
      </c>
      <c r="F195" s="9" t="s">
        <v>55</v>
      </c>
      <c r="G195" s="10" t="s">
        <v>17</v>
      </c>
      <c r="H195" s="10" t="s">
        <v>17</v>
      </c>
      <c r="I195" s="10" t="s">
        <v>17</v>
      </c>
      <c r="J195" s="11" t="str">
        <f t="shared" ref="J195:J258" ca="1" si="3">IF(IFERROR(K195,7)=7,"",RIGHT(K195,LEN(K195)-2)&amp;".")</f>
        <v>/A.</v>
      </c>
      <c r="K195" s="10" t="str">
        <f ca="1">IFERROR(__xludf.dummyfunction("CONCATENATE(ArrayFormula(""; ""&amp;QUERY(Hallazgos!A:F,""SELECT B WHERE E CONTAINS '""&amp;B195&amp;""' LABEL B ''"")))"),"#N/A")</f>
        <v>#N/A</v>
      </c>
    </row>
    <row r="196" spans="1:11" x14ac:dyDescent="0.25">
      <c r="A196" s="7" t="s">
        <v>438</v>
      </c>
      <c r="B196" s="8" t="s">
        <v>439</v>
      </c>
      <c r="C196" s="9" t="s">
        <v>13</v>
      </c>
      <c r="D196" s="9" t="s">
        <v>437</v>
      </c>
      <c r="E196" s="9" t="s">
        <v>98</v>
      </c>
      <c r="F196" s="9" t="s">
        <v>55</v>
      </c>
      <c r="G196" s="10" t="s">
        <v>17</v>
      </c>
      <c r="H196" s="10" t="s">
        <v>17</v>
      </c>
      <c r="I196" s="10" t="s">
        <v>17</v>
      </c>
      <c r="J196" s="11" t="str">
        <f t="shared" ca="1" si="3"/>
        <v>/A.</v>
      </c>
      <c r="K196" s="10" t="str">
        <f ca="1">IFERROR(__xludf.dummyfunction("CONCATENATE(ArrayFormula(""; ""&amp;QUERY(Hallazgos!A:F,""SELECT B WHERE E CONTAINS '""&amp;B196&amp;""' LABEL B ''"")))"),"#N/A")</f>
        <v>#N/A</v>
      </c>
    </row>
    <row r="197" spans="1:11" x14ac:dyDescent="0.25">
      <c r="A197" s="7" t="s">
        <v>440</v>
      </c>
      <c r="B197" s="8" t="s">
        <v>441</v>
      </c>
      <c r="C197" s="9" t="s">
        <v>13</v>
      </c>
      <c r="D197" s="9" t="s">
        <v>437</v>
      </c>
      <c r="E197" s="9" t="s">
        <v>98</v>
      </c>
      <c r="F197" s="9" t="s">
        <v>55</v>
      </c>
      <c r="G197" s="10" t="s">
        <v>17</v>
      </c>
      <c r="H197" s="10" t="s">
        <v>17</v>
      </c>
      <c r="I197" s="10" t="s">
        <v>17</v>
      </c>
      <c r="J197" s="11" t="str">
        <f t="shared" ca="1" si="3"/>
        <v>/A.</v>
      </c>
      <c r="K197" s="10" t="str">
        <f ca="1">IFERROR(__xludf.dummyfunction("CONCATENATE(ArrayFormula(""; ""&amp;QUERY(Hallazgos!A:F,""SELECT B WHERE E CONTAINS '""&amp;B197&amp;""' LABEL B ''"")))"),"#N/A")</f>
        <v>#N/A</v>
      </c>
    </row>
    <row r="198" spans="1:11" x14ac:dyDescent="0.25">
      <c r="A198" s="7" t="s">
        <v>442</v>
      </c>
      <c r="B198" s="8" t="s">
        <v>443</v>
      </c>
      <c r="C198" s="9" t="s">
        <v>13</v>
      </c>
      <c r="D198" s="9" t="s">
        <v>437</v>
      </c>
      <c r="E198" s="9" t="s">
        <v>98</v>
      </c>
      <c r="F198" s="9" t="s">
        <v>55</v>
      </c>
      <c r="G198" s="10" t="s">
        <v>17</v>
      </c>
      <c r="H198" s="10" t="s">
        <v>17</v>
      </c>
      <c r="I198" s="10" t="s">
        <v>17</v>
      </c>
      <c r="J198" s="11" t="str">
        <f t="shared" ca="1" si="3"/>
        <v>/A.</v>
      </c>
      <c r="K198" s="10" t="str">
        <f ca="1">IFERROR(__xludf.dummyfunction("CONCATENATE(ArrayFormula(""; ""&amp;QUERY(Hallazgos!A:F,""SELECT B WHERE E CONTAINS '""&amp;B198&amp;""' LABEL B ''"")))"),"#N/A")</f>
        <v>#N/A</v>
      </c>
    </row>
    <row r="199" spans="1:11" x14ac:dyDescent="0.25">
      <c r="A199" s="7" t="s">
        <v>444</v>
      </c>
      <c r="B199" s="8" t="s">
        <v>445</v>
      </c>
      <c r="C199" s="9" t="s">
        <v>13</v>
      </c>
      <c r="D199" s="9" t="s">
        <v>437</v>
      </c>
      <c r="E199" s="9" t="s">
        <v>98</v>
      </c>
      <c r="F199" s="9" t="s">
        <v>55</v>
      </c>
      <c r="G199" s="10" t="s">
        <v>17</v>
      </c>
      <c r="H199" s="10" t="s">
        <v>17</v>
      </c>
      <c r="I199" s="10" t="s">
        <v>17</v>
      </c>
      <c r="J199" s="11" t="str">
        <f t="shared" ca="1" si="3"/>
        <v>/A.</v>
      </c>
      <c r="K199" s="10" t="str">
        <f ca="1">IFERROR(__xludf.dummyfunction("CONCATENATE(ArrayFormula(""; ""&amp;QUERY(Hallazgos!A:F,""SELECT B WHERE E CONTAINS '""&amp;B199&amp;""' LABEL B ''"")))"),"#N/A")</f>
        <v>#N/A</v>
      </c>
    </row>
    <row r="200" spans="1:11" x14ac:dyDescent="0.25">
      <c r="A200" s="7" t="s">
        <v>446</v>
      </c>
      <c r="B200" s="8" t="s">
        <v>447</v>
      </c>
      <c r="C200" s="9" t="s">
        <v>13</v>
      </c>
      <c r="D200" s="9" t="s">
        <v>437</v>
      </c>
      <c r="E200" s="9" t="s">
        <v>98</v>
      </c>
      <c r="F200" s="9" t="s">
        <v>55</v>
      </c>
      <c r="G200" s="10" t="s">
        <v>17</v>
      </c>
      <c r="H200" s="10" t="s">
        <v>17</v>
      </c>
      <c r="I200" s="10" t="s">
        <v>17</v>
      </c>
      <c r="J200" s="11" t="str">
        <f t="shared" ca="1" si="3"/>
        <v>/A.</v>
      </c>
      <c r="K200" s="10" t="str">
        <f ca="1">IFERROR(__xludf.dummyfunction("CONCATENATE(ArrayFormula(""; ""&amp;QUERY(Hallazgos!A:F,""SELECT B WHERE E CONTAINS '""&amp;B200&amp;""' LABEL B ''"")))"),"#N/A")</f>
        <v>#N/A</v>
      </c>
    </row>
    <row r="201" spans="1:11" x14ac:dyDescent="0.25">
      <c r="A201" s="7" t="s">
        <v>448</v>
      </c>
      <c r="B201" s="8" t="s">
        <v>449</v>
      </c>
      <c r="C201" s="9" t="s">
        <v>13</v>
      </c>
      <c r="D201" s="9" t="s">
        <v>437</v>
      </c>
      <c r="E201" s="9" t="s">
        <v>98</v>
      </c>
      <c r="F201" s="9" t="s">
        <v>55</v>
      </c>
      <c r="G201" s="10" t="s">
        <v>17</v>
      </c>
      <c r="H201" s="10" t="s">
        <v>17</v>
      </c>
      <c r="I201" s="10" t="s">
        <v>17</v>
      </c>
      <c r="J201" s="11" t="str">
        <f t="shared" ca="1" si="3"/>
        <v>/A.</v>
      </c>
      <c r="K201" s="10" t="str">
        <f ca="1">IFERROR(__xludf.dummyfunction("CONCATENATE(ArrayFormula(""; ""&amp;QUERY(Hallazgos!A:F,""SELECT B WHERE E CONTAINS '""&amp;B201&amp;""' LABEL B ''"")))"),"#N/A")</f>
        <v>#N/A</v>
      </c>
    </row>
    <row r="202" spans="1:11" x14ac:dyDescent="0.25">
      <c r="A202" s="7" t="s">
        <v>450</v>
      </c>
      <c r="B202" s="8" t="s">
        <v>451</v>
      </c>
      <c r="C202" s="9" t="s">
        <v>13</v>
      </c>
      <c r="D202" s="9" t="s">
        <v>452</v>
      </c>
      <c r="E202" s="9" t="s">
        <v>76</v>
      </c>
      <c r="F202" s="9" t="s">
        <v>55</v>
      </c>
      <c r="G202" s="10" t="s">
        <v>17</v>
      </c>
      <c r="H202" s="10" t="s">
        <v>17</v>
      </c>
      <c r="I202" s="10" t="s">
        <v>17</v>
      </c>
      <c r="J202" s="11" t="str">
        <f t="shared" ca="1" si="3"/>
        <v>/A.</v>
      </c>
      <c r="K202" s="10" t="str">
        <f ca="1">IFERROR(__xludf.dummyfunction("CONCATENATE(ArrayFormula(""; ""&amp;QUERY(Hallazgos!A:F,""SELECT B WHERE E CONTAINS '""&amp;B202&amp;""' LABEL B ''"")))"),"#N/A")</f>
        <v>#N/A</v>
      </c>
    </row>
    <row r="203" spans="1:11" x14ac:dyDescent="0.25">
      <c r="A203" s="7" t="s">
        <v>453</v>
      </c>
      <c r="B203" s="8" t="s">
        <v>454</v>
      </c>
      <c r="C203" s="9" t="s">
        <v>13</v>
      </c>
      <c r="D203" s="9" t="s">
        <v>452</v>
      </c>
      <c r="E203" s="9" t="s">
        <v>76</v>
      </c>
      <c r="F203" s="9" t="s">
        <v>55</v>
      </c>
      <c r="G203" s="10" t="s">
        <v>17</v>
      </c>
      <c r="H203" s="10" t="s">
        <v>17</v>
      </c>
      <c r="I203" s="10" t="s">
        <v>17</v>
      </c>
      <c r="J203" s="11" t="str">
        <f t="shared" ca="1" si="3"/>
        <v>/A.</v>
      </c>
      <c r="K203" s="10" t="str">
        <f ca="1">IFERROR(__xludf.dummyfunction("CONCATENATE(ArrayFormula(""; ""&amp;QUERY(Hallazgos!A:F,""SELECT B WHERE E CONTAINS '""&amp;B203&amp;""' LABEL B ''"")))"),"#N/A")</f>
        <v>#N/A</v>
      </c>
    </row>
    <row r="204" spans="1:11" x14ac:dyDescent="0.25">
      <c r="A204" s="7" t="s">
        <v>455</v>
      </c>
      <c r="B204" s="8" t="s">
        <v>456</v>
      </c>
      <c r="C204" s="9" t="s">
        <v>13</v>
      </c>
      <c r="D204" s="9" t="s">
        <v>452</v>
      </c>
      <c r="E204" s="9" t="s">
        <v>81</v>
      </c>
      <c r="F204" s="9" t="s">
        <v>55</v>
      </c>
      <c r="G204" s="10" t="s">
        <v>17</v>
      </c>
      <c r="H204" s="10" t="s">
        <v>17</v>
      </c>
      <c r="I204" s="10" t="s">
        <v>17</v>
      </c>
      <c r="J204" s="11" t="str">
        <f t="shared" ca="1" si="3"/>
        <v>/A.</v>
      </c>
      <c r="K204" s="10" t="str">
        <f ca="1">IFERROR(__xludf.dummyfunction("CONCATENATE(ArrayFormula(""; ""&amp;QUERY(Hallazgos!A:F,""SELECT B WHERE E CONTAINS '""&amp;B204&amp;""' LABEL B ''"")))"),"#N/A")</f>
        <v>#N/A</v>
      </c>
    </row>
    <row r="205" spans="1:11" x14ac:dyDescent="0.25">
      <c r="A205" s="7" t="s">
        <v>457</v>
      </c>
      <c r="B205" s="8" t="s">
        <v>458</v>
      </c>
      <c r="C205" s="9" t="s">
        <v>13</v>
      </c>
      <c r="D205" s="9" t="s">
        <v>452</v>
      </c>
      <c r="E205" s="9" t="s">
        <v>81</v>
      </c>
      <c r="F205" s="9" t="s">
        <v>55</v>
      </c>
      <c r="G205" s="10" t="s">
        <v>17</v>
      </c>
      <c r="H205" s="10" t="s">
        <v>17</v>
      </c>
      <c r="I205" s="10" t="s">
        <v>17</v>
      </c>
      <c r="J205" s="11" t="str">
        <f t="shared" ca="1" si="3"/>
        <v>/A.</v>
      </c>
      <c r="K205" s="10" t="str">
        <f ca="1">IFERROR(__xludf.dummyfunction("CONCATENATE(ArrayFormula(""; ""&amp;QUERY(Hallazgos!A:F,""SELECT B WHERE E CONTAINS '""&amp;B205&amp;""' LABEL B ''"")))"),"#N/A")</f>
        <v>#N/A</v>
      </c>
    </row>
    <row r="206" spans="1:11" x14ac:dyDescent="0.25">
      <c r="A206" s="7" t="s">
        <v>459</v>
      </c>
      <c r="B206" s="8" t="s">
        <v>460</v>
      </c>
      <c r="C206" s="9" t="s">
        <v>13</v>
      </c>
      <c r="D206" s="9" t="s">
        <v>461</v>
      </c>
      <c r="E206" s="9" t="s">
        <v>81</v>
      </c>
      <c r="F206" s="9" t="s">
        <v>55</v>
      </c>
      <c r="G206" s="10" t="s">
        <v>17</v>
      </c>
      <c r="H206" s="10" t="s">
        <v>17</v>
      </c>
      <c r="I206" s="10" t="s">
        <v>17</v>
      </c>
      <c r="J206" s="11" t="str">
        <f t="shared" ca="1" si="3"/>
        <v>/A.</v>
      </c>
      <c r="K206" s="10" t="str">
        <f ca="1">IFERROR(__xludf.dummyfunction("CONCATENATE(ArrayFormula(""; ""&amp;QUERY(Hallazgos!A:F,""SELECT B WHERE E CONTAINS '""&amp;B206&amp;""' LABEL B ''"")))"),"#N/A")</f>
        <v>#N/A</v>
      </c>
    </row>
    <row r="207" spans="1:11" x14ac:dyDescent="0.25">
      <c r="A207" s="7" t="s">
        <v>462</v>
      </c>
      <c r="B207" s="8" t="s">
        <v>463</v>
      </c>
      <c r="C207" s="9" t="s">
        <v>13</v>
      </c>
      <c r="D207" s="9" t="s">
        <v>461</v>
      </c>
      <c r="E207" s="9" t="s">
        <v>81</v>
      </c>
      <c r="F207" s="9" t="s">
        <v>55</v>
      </c>
      <c r="G207" s="10" t="s">
        <v>17</v>
      </c>
      <c r="H207" s="10" t="s">
        <v>17</v>
      </c>
      <c r="I207" s="10" t="s">
        <v>17</v>
      </c>
      <c r="J207" s="11" t="str">
        <f t="shared" ca="1" si="3"/>
        <v>/A.</v>
      </c>
      <c r="K207" s="10" t="str">
        <f ca="1">IFERROR(__xludf.dummyfunction("CONCATENATE(ArrayFormula(""; ""&amp;QUERY(Hallazgos!A:F,""SELECT B WHERE E CONTAINS '""&amp;B207&amp;""' LABEL B ''"")))"),"#N/A")</f>
        <v>#N/A</v>
      </c>
    </row>
    <row r="208" spans="1:11" x14ac:dyDescent="0.25">
      <c r="A208" s="7" t="s">
        <v>464</v>
      </c>
      <c r="B208" s="8" t="s">
        <v>465</v>
      </c>
      <c r="C208" s="9" t="s">
        <v>13</v>
      </c>
      <c r="D208" s="9" t="s">
        <v>461</v>
      </c>
      <c r="E208" s="9" t="s">
        <v>81</v>
      </c>
      <c r="F208" s="9" t="s">
        <v>55</v>
      </c>
      <c r="G208" s="10" t="s">
        <v>17</v>
      </c>
      <c r="H208" s="10" t="s">
        <v>17</v>
      </c>
      <c r="I208" s="10" t="s">
        <v>17</v>
      </c>
      <c r="J208" s="11" t="str">
        <f t="shared" ca="1" si="3"/>
        <v>/A.</v>
      </c>
      <c r="K208" s="10" t="str">
        <f ca="1">IFERROR(__xludf.dummyfunction("CONCATENATE(ArrayFormula(""; ""&amp;QUERY(Hallazgos!A:F,""SELECT B WHERE E CONTAINS '""&amp;B208&amp;""' LABEL B ''"")))"),"#N/A")</f>
        <v>#N/A</v>
      </c>
    </row>
    <row r="209" spans="1:11" x14ac:dyDescent="0.25">
      <c r="A209" s="7" t="s">
        <v>466</v>
      </c>
      <c r="B209" s="8" t="s">
        <v>467</v>
      </c>
      <c r="C209" s="9" t="s">
        <v>13</v>
      </c>
      <c r="D209" s="9" t="s">
        <v>461</v>
      </c>
      <c r="E209" s="9" t="s">
        <v>88</v>
      </c>
      <c r="F209" s="9" t="s">
        <v>55</v>
      </c>
      <c r="G209" s="10" t="s">
        <v>17</v>
      </c>
      <c r="H209" s="10" t="s">
        <v>17</v>
      </c>
      <c r="I209" s="10" t="s">
        <v>17</v>
      </c>
      <c r="J209" s="11" t="str">
        <f t="shared" ca="1" si="3"/>
        <v>/A.</v>
      </c>
      <c r="K209" s="10" t="str">
        <f ca="1">IFERROR(__xludf.dummyfunction("CONCATENATE(ArrayFormula(""; ""&amp;QUERY(Hallazgos!A:F,""SELECT B WHERE E CONTAINS '""&amp;B209&amp;""' LABEL B ''"")))"),"#N/A")</f>
        <v>#N/A</v>
      </c>
    </row>
    <row r="210" spans="1:11" x14ac:dyDescent="0.25">
      <c r="A210" s="7" t="s">
        <v>468</v>
      </c>
      <c r="B210" s="8" t="s">
        <v>469</v>
      </c>
      <c r="C210" s="9" t="s">
        <v>41</v>
      </c>
      <c r="D210" s="9" t="s">
        <v>461</v>
      </c>
      <c r="E210" s="9" t="s">
        <v>88</v>
      </c>
      <c r="F210" s="9" t="s">
        <v>55</v>
      </c>
      <c r="G210" s="10" t="s">
        <v>17</v>
      </c>
      <c r="H210" s="10" t="s">
        <v>17</v>
      </c>
      <c r="I210" s="10" t="s">
        <v>17</v>
      </c>
      <c r="J210" s="11" t="str">
        <f t="shared" ca="1" si="3"/>
        <v>/A.</v>
      </c>
      <c r="K210" s="10" t="str">
        <f ca="1">IFERROR(__xludf.dummyfunction("CONCATENATE(ArrayFormula(""; ""&amp;QUERY(Hallazgos!A:F,""SELECT B WHERE E CONTAINS '""&amp;B210&amp;""' LABEL B ''"")))"),"#N/A")</f>
        <v>#N/A</v>
      </c>
    </row>
    <row r="211" spans="1:11" x14ac:dyDescent="0.25">
      <c r="A211" s="7" t="s">
        <v>470</v>
      </c>
      <c r="B211" s="8" t="s">
        <v>471</v>
      </c>
      <c r="C211" s="9" t="s">
        <v>13</v>
      </c>
      <c r="D211" s="9" t="s">
        <v>461</v>
      </c>
      <c r="E211" s="9" t="s">
        <v>81</v>
      </c>
      <c r="F211" s="9" t="s">
        <v>55</v>
      </c>
      <c r="G211" s="10" t="s">
        <v>17</v>
      </c>
      <c r="H211" s="10" t="s">
        <v>17</v>
      </c>
      <c r="I211" s="10" t="s">
        <v>17</v>
      </c>
      <c r="J211" s="11" t="str">
        <f t="shared" ca="1" si="3"/>
        <v>/A.</v>
      </c>
      <c r="K211" s="10" t="str">
        <f ca="1">IFERROR(__xludf.dummyfunction("CONCATENATE(ArrayFormula(""; ""&amp;QUERY(Hallazgos!A:F,""SELECT B WHERE E CONTAINS '""&amp;B211&amp;""' LABEL B ''"")))"),"#N/A")</f>
        <v>#N/A</v>
      </c>
    </row>
    <row r="212" spans="1:11" x14ac:dyDescent="0.25">
      <c r="A212" s="7" t="s">
        <v>472</v>
      </c>
      <c r="B212" s="8" t="s">
        <v>473</v>
      </c>
      <c r="C212" s="9" t="s">
        <v>13</v>
      </c>
      <c r="D212" s="9" t="s">
        <v>461</v>
      </c>
      <c r="E212" s="9" t="s">
        <v>15</v>
      </c>
      <c r="F212" s="9" t="s">
        <v>55</v>
      </c>
      <c r="G212" s="10" t="s">
        <v>17</v>
      </c>
      <c r="H212" s="10" t="s">
        <v>17</v>
      </c>
      <c r="I212" s="10" t="s">
        <v>17</v>
      </c>
      <c r="J212" s="11" t="str">
        <f t="shared" ca="1" si="3"/>
        <v>/A.</v>
      </c>
      <c r="K212" s="10" t="str">
        <f ca="1">IFERROR(__xludf.dummyfunction("CONCATENATE(ArrayFormula(""; ""&amp;QUERY(Hallazgos!A:F,""SELECT B WHERE E CONTAINS '""&amp;B212&amp;""' LABEL B ''"")))"),"#N/A")</f>
        <v>#N/A</v>
      </c>
    </row>
    <row r="213" spans="1:11" x14ac:dyDescent="0.25">
      <c r="A213" s="7" t="s">
        <v>474</v>
      </c>
      <c r="B213" s="8" t="s">
        <v>475</v>
      </c>
      <c r="C213" s="9" t="s">
        <v>13</v>
      </c>
      <c r="D213" s="9" t="s">
        <v>461</v>
      </c>
      <c r="E213" s="9" t="s">
        <v>81</v>
      </c>
      <c r="F213" s="9" t="s">
        <v>55</v>
      </c>
      <c r="G213" s="10" t="s">
        <v>17</v>
      </c>
      <c r="H213" s="10" t="s">
        <v>17</v>
      </c>
      <c r="I213" s="10" t="s">
        <v>17</v>
      </c>
      <c r="J213" s="11" t="str">
        <f t="shared" ca="1" si="3"/>
        <v>/A.</v>
      </c>
      <c r="K213" s="10" t="str">
        <f ca="1">IFERROR(__xludf.dummyfunction("CONCATENATE(ArrayFormula(""; ""&amp;QUERY(Hallazgos!A:F,""SELECT B WHERE E CONTAINS '""&amp;B213&amp;""' LABEL B ''"")))"),"#N/A")</f>
        <v>#N/A</v>
      </c>
    </row>
    <row r="214" spans="1:11" x14ac:dyDescent="0.25">
      <c r="A214" s="7" t="s">
        <v>476</v>
      </c>
      <c r="B214" s="8" t="s">
        <v>477</v>
      </c>
      <c r="C214" s="9" t="s">
        <v>13</v>
      </c>
      <c r="D214" s="9" t="s">
        <v>461</v>
      </c>
      <c r="E214" s="9" t="s">
        <v>406</v>
      </c>
      <c r="F214" s="9" t="s">
        <v>55</v>
      </c>
      <c r="G214" s="10" t="s">
        <v>17</v>
      </c>
      <c r="H214" s="10" t="s">
        <v>17</v>
      </c>
      <c r="I214" s="10" t="s">
        <v>17</v>
      </c>
      <c r="J214" s="11" t="str">
        <f t="shared" ca="1" si="3"/>
        <v>/A.</v>
      </c>
      <c r="K214" s="10" t="str">
        <f ca="1">IFERROR(__xludf.dummyfunction("CONCATENATE(ArrayFormula(""; ""&amp;QUERY(Hallazgos!A:F,""SELECT B WHERE E CONTAINS '""&amp;B214&amp;""' LABEL B ''"")))"),"#N/A")</f>
        <v>#N/A</v>
      </c>
    </row>
    <row r="215" spans="1:11" x14ac:dyDescent="0.25">
      <c r="A215" s="7" t="s">
        <v>478</v>
      </c>
      <c r="B215" s="8" t="s">
        <v>479</v>
      </c>
      <c r="C215" s="9" t="s">
        <v>13</v>
      </c>
      <c r="D215" s="9" t="s">
        <v>461</v>
      </c>
      <c r="E215" s="9" t="s">
        <v>116</v>
      </c>
      <c r="F215" s="9" t="s">
        <v>55</v>
      </c>
      <c r="G215" s="10" t="s">
        <v>17</v>
      </c>
      <c r="H215" s="10" t="s">
        <v>17</v>
      </c>
      <c r="I215" s="10" t="s">
        <v>17</v>
      </c>
      <c r="J215" s="11" t="str">
        <f t="shared" ca="1" si="3"/>
        <v>/A.</v>
      </c>
      <c r="K215" s="10" t="str">
        <f ca="1">IFERROR(__xludf.dummyfunction("CONCATENATE(ArrayFormula(""; ""&amp;QUERY(Hallazgos!A:F,""SELECT B WHERE E CONTAINS '""&amp;B215&amp;""' LABEL B ''"")))"),"#N/A")</f>
        <v>#N/A</v>
      </c>
    </row>
    <row r="216" spans="1:11" x14ac:dyDescent="0.25">
      <c r="A216" s="7" t="s">
        <v>480</v>
      </c>
      <c r="B216" s="8" t="s">
        <v>481</v>
      </c>
      <c r="C216" s="9" t="s">
        <v>13</v>
      </c>
      <c r="D216" s="9" t="s">
        <v>482</v>
      </c>
      <c r="E216" s="9" t="s">
        <v>132</v>
      </c>
      <c r="F216" s="9" t="s">
        <v>55</v>
      </c>
      <c r="G216" s="10" t="s">
        <v>17</v>
      </c>
      <c r="H216" s="10" t="s">
        <v>17</v>
      </c>
      <c r="I216" s="10" t="s">
        <v>17</v>
      </c>
      <c r="J216" s="11" t="str">
        <f t="shared" ca="1" si="3"/>
        <v>/A.</v>
      </c>
      <c r="K216" s="10" t="str">
        <f ca="1">IFERROR(__xludf.dummyfunction("CONCATENATE(ArrayFormula(""; ""&amp;QUERY(Hallazgos!A:F,""SELECT B WHERE E CONTAINS '""&amp;B216&amp;""' LABEL B ''"")))"),"#N/A")</f>
        <v>#N/A</v>
      </c>
    </row>
    <row r="217" spans="1:11" x14ac:dyDescent="0.25">
      <c r="A217" s="7" t="s">
        <v>483</v>
      </c>
      <c r="B217" s="8" t="s">
        <v>484</v>
      </c>
      <c r="C217" s="9" t="s">
        <v>13</v>
      </c>
      <c r="D217" s="9" t="s">
        <v>482</v>
      </c>
      <c r="E217" s="9" t="s">
        <v>181</v>
      </c>
      <c r="F217" s="9" t="s">
        <v>55</v>
      </c>
      <c r="G217" s="10" t="s">
        <v>17</v>
      </c>
      <c r="H217" s="10" t="s">
        <v>17</v>
      </c>
      <c r="I217" s="10" t="s">
        <v>17</v>
      </c>
      <c r="J217" s="11" t="str">
        <f t="shared" ca="1" si="3"/>
        <v>/A.</v>
      </c>
      <c r="K217" s="10" t="str">
        <f ca="1">IFERROR(__xludf.dummyfunction("CONCATENATE(ArrayFormula(""; ""&amp;QUERY(Hallazgos!A:F,""SELECT B WHERE E CONTAINS '""&amp;B217&amp;""' LABEL B ''"")))"),"#N/A")</f>
        <v>#N/A</v>
      </c>
    </row>
    <row r="218" spans="1:11" x14ac:dyDescent="0.25">
      <c r="A218" s="7" t="s">
        <v>485</v>
      </c>
      <c r="B218" s="8" t="s">
        <v>486</v>
      </c>
      <c r="C218" s="9" t="s">
        <v>13</v>
      </c>
      <c r="D218" s="9" t="s">
        <v>482</v>
      </c>
      <c r="E218" s="9" t="s">
        <v>181</v>
      </c>
      <c r="F218" s="9" t="s">
        <v>55</v>
      </c>
      <c r="G218" s="10" t="s">
        <v>17</v>
      </c>
      <c r="H218" s="10" t="s">
        <v>17</v>
      </c>
      <c r="I218" s="10" t="s">
        <v>17</v>
      </c>
      <c r="J218" s="11" t="str">
        <f t="shared" ca="1" si="3"/>
        <v>/A.</v>
      </c>
      <c r="K218" s="10" t="str">
        <f ca="1">IFERROR(__xludf.dummyfunction("CONCATENATE(ArrayFormula(""; ""&amp;QUERY(Hallazgos!A:F,""SELECT B WHERE E CONTAINS '""&amp;B218&amp;""' LABEL B ''"")))"),"#N/A")</f>
        <v>#N/A</v>
      </c>
    </row>
    <row r="219" spans="1:11" x14ac:dyDescent="0.25">
      <c r="A219" s="7" t="s">
        <v>487</v>
      </c>
      <c r="B219" s="8" t="s">
        <v>488</v>
      </c>
      <c r="C219" s="9" t="s">
        <v>13</v>
      </c>
      <c r="D219" s="9" t="s">
        <v>489</v>
      </c>
      <c r="E219" s="9" t="s">
        <v>98</v>
      </c>
      <c r="F219" s="9" t="s">
        <v>55</v>
      </c>
      <c r="G219" s="10" t="s">
        <v>17</v>
      </c>
      <c r="H219" s="10" t="s">
        <v>17</v>
      </c>
      <c r="I219" s="10" t="s">
        <v>17</v>
      </c>
      <c r="J219" s="11" t="str">
        <f t="shared" ca="1" si="3"/>
        <v>/A.</v>
      </c>
      <c r="K219" s="10" t="str">
        <f ca="1">IFERROR(__xludf.dummyfunction("CONCATENATE(ArrayFormula(""; ""&amp;QUERY(Hallazgos!A:F,""SELECT B WHERE E CONTAINS '""&amp;B219&amp;""' LABEL B ''"")))"),"#N/A")</f>
        <v>#N/A</v>
      </c>
    </row>
    <row r="220" spans="1:11" x14ac:dyDescent="0.25">
      <c r="A220" s="7" t="s">
        <v>490</v>
      </c>
      <c r="B220" s="8" t="s">
        <v>491</v>
      </c>
      <c r="C220" s="9" t="s">
        <v>13</v>
      </c>
      <c r="D220" s="9" t="s">
        <v>489</v>
      </c>
      <c r="E220" s="9" t="s">
        <v>184</v>
      </c>
      <c r="F220" s="9" t="s">
        <v>55</v>
      </c>
      <c r="G220" s="10" t="s">
        <v>17</v>
      </c>
      <c r="H220" s="10" t="s">
        <v>17</v>
      </c>
      <c r="I220" s="10" t="s">
        <v>17</v>
      </c>
      <c r="J220" s="11" t="str">
        <f t="shared" ca="1" si="3"/>
        <v>/A.</v>
      </c>
      <c r="K220" s="10" t="str">
        <f ca="1">IFERROR(__xludf.dummyfunction("CONCATENATE(ArrayFormula(""; ""&amp;QUERY(Hallazgos!A:F,""SELECT B WHERE E CONTAINS '""&amp;B220&amp;""' LABEL B ''"")))"),"#N/A")</f>
        <v>#N/A</v>
      </c>
    </row>
    <row r="221" spans="1:11" x14ac:dyDescent="0.25">
      <c r="A221" s="7" t="s">
        <v>492</v>
      </c>
      <c r="B221" s="8" t="s">
        <v>493</v>
      </c>
      <c r="C221" s="9" t="s">
        <v>13</v>
      </c>
      <c r="D221" s="9" t="s">
        <v>489</v>
      </c>
      <c r="E221" s="9" t="s">
        <v>76</v>
      </c>
      <c r="F221" s="9" t="s">
        <v>55</v>
      </c>
      <c r="G221" s="10" t="s">
        <v>17</v>
      </c>
      <c r="H221" s="10" t="s">
        <v>17</v>
      </c>
      <c r="I221" s="10" t="s">
        <v>17</v>
      </c>
      <c r="J221" s="11" t="str">
        <f t="shared" ca="1" si="3"/>
        <v>/A.</v>
      </c>
      <c r="K221" s="10" t="str">
        <f ca="1">IFERROR(__xludf.dummyfunction("CONCATENATE(ArrayFormula(""; ""&amp;QUERY(Hallazgos!A:F,""SELECT B WHERE E CONTAINS '""&amp;B221&amp;""' LABEL B ''"")))"),"#N/A")</f>
        <v>#N/A</v>
      </c>
    </row>
    <row r="222" spans="1:11" x14ac:dyDescent="0.25">
      <c r="A222" s="7" t="s">
        <v>494</v>
      </c>
      <c r="B222" s="8" t="s">
        <v>495</v>
      </c>
      <c r="C222" s="9" t="s">
        <v>13</v>
      </c>
      <c r="D222" s="9" t="s">
        <v>496</v>
      </c>
      <c r="E222" s="9" t="s">
        <v>15</v>
      </c>
      <c r="F222" s="9" t="s">
        <v>55</v>
      </c>
      <c r="G222" s="10" t="s">
        <v>17</v>
      </c>
      <c r="H222" s="10" t="s">
        <v>17</v>
      </c>
      <c r="I222" s="10" t="s">
        <v>17</v>
      </c>
      <c r="J222" s="11" t="str">
        <f t="shared" ca="1" si="3"/>
        <v>/A.</v>
      </c>
      <c r="K222" s="10" t="str">
        <f ca="1">IFERROR(__xludf.dummyfunction("CONCATENATE(ArrayFormula(""; ""&amp;QUERY(Hallazgos!A:F,""SELECT B WHERE E CONTAINS '""&amp;B222&amp;""' LABEL B ''"")))"),"#N/A")</f>
        <v>#N/A</v>
      </c>
    </row>
    <row r="223" spans="1:11" x14ac:dyDescent="0.25">
      <c r="A223" s="7" t="s">
        <v>497</v>
      </c>
      <c r="B223" s="8" t="s">
        <v>498</v>
      </c>
      <c r="C223" s="9" t="s">
        <v>13</v>
      </c>
      <c r="D223" s="9" t="s">
        <v>496</v>
      </c>
      <c r="E223" s="9" t="s">
        <v>15</v>
      </c>
      <c r="F223" s="9" t="s">
        <v>55</v>
      </c>
      <c r="G223" s="10" t="s">
        <v>17</v>
      </c>
      <c r="H223" s="10" t="s">
        <v>17</v>
      </c>
      <c r="I223" s="10" t="s">
        <v>17</v>
      </c>
      <c r="J223" s="11" t="str">
        <f t="shared" ca="1" si="3"/>
        <v>/A.</v>
      </c>
      <c r="K223" s="10" t="str">
        <f ca="1">IFERROR(__xludf.dummyfunction("CONCATENATE(ArrayFormula(""; ""&amp;QUERY(Hallazgos!A:F,""SELECT B WHERE E CONTAINS '""&amp;B223&amp;""' LABEL B ''"")))"),"#N/A")</f>
        <v>#N/A</v>
      </c>
    </row>
    <row r="224" spans="1:11" x14ac:dyDescent="0.25">
      <c r="A224" s="7" t="s">
        <v>499</v>
      </c>
      <c r="B224" s="8" t="s">
        <v>500</v>
      </c>
      <c r="C224" s="9" t="s">
        <v>41</v>
      </c>
      <c r="D224" s="9" t="s">
        <v>501</v>
      </c>
      <c r="E224" s="9" t="s">
        <v>15</v>
      </c>
      <c r="F224" s="9" t="s">
        <v>73</v>
      </c>
      <c r="G224" s="10" t="s">
        <v>17</v>
      </c>
      <c r="H224" s="10" t="s">
        <v>17</v>
      </c>
      <c r="I224" s="10" t="s">
        <v>17</v>
      </c>
      <c r="J224" s="11" t="str">
        <f t="shared" ca="1" si="3"/>
        <v>/A.</v>
      </c>
      <c r="K224" s="10" t="str">
        <f ca="1">IFERROR(__xludf.dummyfunction("CONCATENATE(ArrayFormula(""; ""&amp;QUERY(Hallazgos!A:F,""SELECT B WHERE E CONTAINS '""&amp;B224&amp;""' LABEL B ''"")))"),"#N/A")</f>
        <v>#N/A</v>
      </c>
    </row>
    <row r="225" spans="1:11" x14ac:dyDescent="0.25">
      <c r="A225" s="7" t="s">
        <v>502</v>
      </c>
      <c r="B225" s="8" t="s">
        <v>503</v>
      </c>
      <c r="C225" s="9" t="s">
        <v>41</v>
      </c>
      <c r="D225" s="9" t="s">
        <v>501</v>
      </c>
      <c r="E225" s="9" t="s">
        <v>15</v>
      </c>
      <c r="F225" s="9" t="s">
        <v>73</v>
      </c>
      <c r="G225" s="10" t="s">
        <v>17</v>
      </c>
      <c r="H225" s="10" t="s">
        <v>17</v>
      </c>
      <c r="I225" s="10" t="s">
        <v>17</v>
      </c>
      <c r="J225" s="11" t="str">
        <f t="shared" ca="1" si="3"/>
        <v>/A.</v>
      </c>
      <c r="K225" s="10" t="str">
        <f ca="1">IFERROR(__xludf.dummyfunction("CONCATENATE(ArrayFormula(""; ""&amp;QUERY(Hallazgos!A:F,""SELECT B WHERE E CONTAINS '""&amp;B225&amp;""' LABEL B ''"")))"),"#N/A")</f>
        <v>#N/A</v>
      </c>
    </row>
    <row r="226" spans="1:11" x14ac:dyDescent="0.25">
      <c r="A226" s="7" t="s">
        <v>504</v>
      </c>
      <c r="B226" s="8" t="s">
        <v>505</v>
      </c>
      <c r="C226" s="9" t="s">
        <v>41</v>
      </c>
      <c r="D226" s="9" t="s">
        <v>506</v>
      </c>
      <c r="E226" s="9" t="s">
        <v>81</v>
      </c>
      <c r="F226" s="9" t="s">
        <v>55</v>
      </c>
      <c r="G226" s="10" t="s">
        <v>17</v>
      </c>
      <c r="H226" s="10" t="s">
        <v>17</v>
      </c>
      <c r="I226" s="10" t="s">
        <v>17</v>
      </c>
      <c r="J226" s="11" t="str">
        <f t="shared" ca="1" si="3"/>
        <v>/A.</v>
      </c>
      <c r="K226" s="10" t="str">
        <f ca="1">IFERROR(__xludf.dummyfunction("CONCATENATE(ArrayFormula(""; ""&amp;QUERY(Hallazgos!A:F,""SELECT B WHERE E CONTAINS '""&amp;B226&amp;""' LABEL B ''"")))"),"#N/A")</f>
        <v>#N/A</v>
      </c>
    </row>
    <row r="227" spans="1:11" x14ac:dyDescent="0.25">
      <c r="A227" s="7" t="s">
        <v>507</v>
      </c>
      <c r="B227" s="8" t="s">
        <v>508</v>
      </c>
      <c r="C227" s="9" t="s">
        <v>41</v>
      </c>
      <c r="D227" s="9" t="s">
        <v>506</v>
      </c>
      <c r="E227" s="9" t="s">
        <v>111</v>
      </c>
      <c r="F227" s="9" t="s">
        <v>55</v>
      </c>
      <c r="G227" s="10" t="s">
        <v>17</v>
      </c>
      <c r="H227" s="10" t="s">
        <v>17</v>
      </c>
      <c r="I227" s="10" t="s">
        <v>17</v>
      </c>
      <c r="J227" s="11" t="str">
        <f t="shared" ca="1" si="3"/>
        <v>/A.</v>
      </c>
      <c r="K227" s="10" t="str">
        <f ca="1">IFERROR(__xludf.dummyfunction("CONCATENATE(ArrayFormula(""; ""&amp;QUERY(Hallazgos!A:F,""SELECT B WHERE E CONTAINS '""&amp;B227&amp;""' LABEL B ''"")))"),"#N/A")</f>
        <v>#N/A</v>
      </c>
    </row>
    <row r="228" spans="1:11" x14ac:dyDescent="0.25">
      <c r="A228" s="7" t="s">
        <v>509</v>
      </c>
      <c r="B228" s="8" t="s">
        <v>510</v>
      </c>
      <c r="C228" s="9" t="s">
        <v>41</v>
      </c>
      <c r="D228" s="9" t="s">
        <v>506</v>
      </c>
      <c r="E228" s="9" t="s">
        <v>54</v>
      </c>
      <c r="F228" s="9" t="s">
        <v>55</v>
      </c>
      <c r="G228" s="10" t="s">
        <v>17</v>
      </c>
      <c r="H228" s="10" t="s">
        <v>17</v>
      </c>
      <c r="I228" s="10" t="s">
        <v>17</v>
      </c>
      <c r="J228" s="11" t="str">
        <f t="shared" ca="1" si="3"/>
        <v>/A.</v>
      </c>
      <c r="K228" s="10" t="str">
        <f ca="1">IFERROR(__xludf.dummyfunction("CONCATENATE(ArrayFormula(""; ""&amp;QUERY(Hallazgos!A:F,""SELECT B WHERE E CONTAINS '""&amp;B228&amp;""' LABEL B ''"")))"),"#N/A")</f>
        <v>#N/A</v>
      </c>
    </row>
    <row r="229" spans="1:11" x14ac:dyDescent="0.25">
      <c r="A229" s="7" t="s">
        <v>511</v>
      </c>
      <c r="B229" s="8" t="s">
        <v>512</v>
      </c>
      <c r="C229" s="9" t="s">
        <v>41</v>
      </c>
      <c r="D229" s="9" t="s">
        <v>506</v>
      </c>
      <c r="E229" s="9" t="s">
        <v>72</v>
      </c>
      <c r="F229" s="9" t="s">
        <v>55</v>
      </c>
      <c r="G229" s="10" t="s">
        <v>17</v>
      </c>
      <c r="H229" s="10" t="s">
        <v>17</v>
      </c>
      <c r="I229" s="10" t="s">
        <v>17</v>
      </c>
      <c r="J229" s="11" t="str">
        <f t="shared" ca="1" si="3"/>
        <v>/A.</v>
      </c>
      <c r="K229" s="10" t="str">
        <f ca="1">IFERROR(__xludf.dummyfunction("CONCATENATE(ArrayFormula(""; ""&amp;QUERY(Hallazgos!A:F,""SELECT B WHERE E CONTAINS '""&amp;B229&amp;""' LABEL B ''"")))"),"#N/A")</f>
        <v>#N/A</v>
      </c>
    </row>
    <row r="230" spans="1:11" x14ac:dyDescent="0.25">
      <c r="A230" s="7" t="s">
        <v>513</v>
      </c>
      <c r="B230" s="8" t="s">
        <v>514</v>
      </c>
      <c r="C230" s="9" t="s">
        <v>41</v>
      </c>
      <c r="D230" s="9" t="s">
        <v>506</v>
      </c>
      <c r="E230" s="9" t="s">
        <v>88</v>
      </c>
      <c r="F230" s="9" t="s">
        <v>55</v>
      </c>
      <c r="G230" s="10" t="s">
        <v>17</v>
      </c>
      <c r="H230" s="10" t="s">
        <v>17</v>
      </c>
      <c r="I230" s="10" t="s">
        <v>17</v>
      </c>
      <c r="J230" s="11" t="str">
        <f t="shared" ca="1" si="3"/>
        <v>/A.</v>
      </c>
      <c r="K230" s="10" t="str">
        <f ca="1">IFERROR(__xludf.dummyfunction("CONCATENATE(ArrayFormula(""; ""&amp;QUERY(Hallazgos!A:F,""SELECT B WHERE E CONTAINS '""&amp;B230&amp;""' LABEL B ''"")))"),"#N/A")</f>
        <v>#N/A</v>
      </c>
    </row>
    <row r="231" spans="1:11" x14ac:dyDescent="0.25">
      <c r="A231" s="7" t="s">
        <v>515</v>
      </c>
      <c r="B231" s="8" t="s">
        <v>516</v>
      </c>
      <c r="C231" s="9" t="s">
        <v>41</v>
      </c>
      <c r="D231" s="9" t="s">
        <v>506</v>
      </c>
      <c r="E231" s="9" t="s">
        <v>88</v>
      </c>
      <c r="F231" s="9" t="s">
        <v>55</v>
      </c>
      <c r="G231" s="10" t="s">
        <v>17</v>
      </c>
      <c r="H231" s="10" t="s">
        <v>17</v>
      </c>
      <c r="I231" s="10" t="s">
        <v>17</v>
      </c>
      <c r="J231" s="11" t="str">
        <f t="shared" ca="1" si="3"/>
        <v>/A.</v>
      </c>
      <c r="K231" s="10" t="str">
        <f ca="1">IFERROR(__xludf.dummyfunction("CONCATENATE(ArrayFormula(""; ""&amp;QUERY(Hallazgos!A:F,""SELECT B WHERE E CONTAINS '""&amp;B231&amp;""' LABEL B ''"")))"),"#N/A")</f>
        <v>#N/A</v>
      </c>
    </row>
    <row r="232" spans="1:11" x14ac:dyDescent="0.25">
      <c r="A232" s="7" t="s">
        <v>517</v>
      </c>
      <c r="B232" s="8" t="s">
        <v>518</v>
      </c>
      <c r="C232" s="9" t="s">
        <v>41</v>
      </c>
      <c r="D232" s="9" t="s">
        <v>506</v>
      </c>
      <c r="E232" s="9" t="s">
        <v>88</v>
      </c>
      <c r="F232" s="9" t="s">
        <v>55</v>
      </c>
      <c r="G232" s="10" t="s">
        <v>17</v>
      </c>
      <c r="H232" s="10" t="s">
        <v>17</v>
      </c>
      <c r="I232" s="10" t="s">
        <v>17</v>
      </c>
      <c r="J232" s="11" t="str">
        <f t="shared" ca="1" si="3"/>
        <v>/A.</v>
      </c>
      <c r="K232" s="10" t="str">
        <f ca="1">IFERROR(__xludf.dummyfunction("CONCATENATE(ArrayFormula(""; ""&amp;QUERY(Hallazgos!A:F,""SELECT B WHERE E CONTAINS '""&amp;B232&amp;""' LABEL B ''"")))"),"#N/A")</f>
        <v>#N/A</v>
      </c>
    </row>
    <row r="233" spans="1:11" x14ac:dyDescent="0.25">
      <c r="A233" s="7" t="s">
        <v>519</v>
      </c>
      <c r="B233" s="8" t="s">
        <v>520</v>
      </c>
      <c r="C233" s="9" t="s">
        <v>41</v>
      </c>
      <c r="D233" s="9" t="s">
        <v>506</v>
      </c>
      <c r="E233" s="9" t="s">
        <v>88</v>
      </c>
      <c r="F233" s="9" t="s">
        <v>55</v>
      </c>
      <c r="G233" s="10" t="s">
        <v>17</v>
      </c>
      <c r="H233" s="10" t="s">
        <v>17</v>
      </c>
      <c r="I233" s="10" t="s">
        <v>17</v>
      </c>
      <c r="J233" s="11" t="str">
        <f t="shared" ca="1" si="3"/>
        <v>/A.</v>
      </c>
      <c r="K233" s="10" t="str">
        <f ca="1">IFERROR(__xludf.dummyfunction("CONCATENATE(ArrayFormula(""; ""&amp;QUERY(Hallazgos!A:F,""SELECT B WHERE E CONTAINS '""&amp;B233&amp;""' LABEL B ''"")))"),"#N/A")</f>
        <v>#N/A</v>
      </c>
    </row>
    <row r="234" spans="1:11" x14ac:dyDescent="0.25">
      <c r="A234" s="7" t="s">
        <v>521</v>
      </c>
      <c r="B234" s="8" t="s">
        <v>522</v>
      </c>
      <c r="C234" s="9" t="s">
        <v>41</v>
      </c>
      <c r="D234" s="9" t="s">
        <v>506</v>
      </c>
      <c r="E234" s="9" t="s">
        <v>81</v>
      </c>
      <c r="F234" s="9" t="s">
        <v>55</v>
      </c>
      <c r="G234" s="10" t="s">
        <v>17</v>
      </c>
      <c r="H234" s="10" t="s">
        <v>17</v>
      </c>
      <c r="I234" s="10" t="s">
        <v>17</v>
      </c>
      <c r="J234" s="11" t="str">
        <f t="shared" ca="1" si="3"/>
        <v>/A.</v>
      </c>
      <c r="K234" s="10" t="str">
        <f ca="1">IFERROR(__xludf.dummyfunction("CONCATENATE(ArrayFormula(""; ""&amp;QUERY(Hallazgos!A:F,""SELECT B WHERE E CONTAINS '""&amp;B234&amp;""' LABEL B ''"")))"),"#N/A")</f>
        <v>#N/A</v>
      </c>
    </row>
    <row r="235" spans="1:11" x14ac:dyDescent="0.25">
      <c r="A235" s="7" t="s">
        <v>523</v>
      </c>
      <c r="B235" s="8" t="s">
        <v>524</v>
      </c>
      <c r="C235" s="9" t="s">
        <v>41</v>
      </c>
      <c r="D235" s="9" t="s">
        <v>506</v>
      </c>
      <c r="E235" s="9" t="s">
        <v>88</v>
      </c>
      <c r="F235" s="9" t="s">
        <v>55</v>
      </c>
      <c r="G235" s="10" t="s">
        <v>17</v>
      </c>
      <c r="H235" s="10" t="s">
        <v>17</v>
      </c>
      <c r="I235" s="10" t="s">
        <v>17</v>
      </c>
      <c r="J235" s="11" t="str">
        <f t="shared" ca="1" si="3"/>
        <v>/A.</v>
      </c>
      <c r="K235" s="10" t="str">
        <f ca="1">IFERROR(__xludf.dummyfunction("CONCATENATE(ArrayFormula(""; ""&amp;QUERY(Hallazgos!A:F,""SELECT B WHERE E CONTAINS '""&amp;B235&amp;""' LABEL B ''"")))"),"#N/A")</f>
        <v>#N/A</v>
      </c>
    </row>
    <row r="236" spans="1:11" x14ac:dyDescent="0.25">
      <c r="A236" s="7" t="s">
        <v>525</v>
      </c>
      <c r="B236" s="8" t="s">
        <v>526</v>
      </c>
      <c r="C236" s="9" t="s">
        <v>41</v>
      </c>
      <c r="D236" s="9" t="s">
        <v>506</v>
      </c>
      <c r="E236" s="9" t="s">
        <v>81</v>
      </c>
      <c r="F236" s="9" t="s">
        <v>55</v>
      </c>
      <c r="G236" s="10" t="s">
        <v>17</v>
      </c>
      <c r="H236" s="10" t="s">
        <v>17</v>
      </c>
      <c r="I236" s="10" t="s">
        <v>17</v>
      </c>
      <c r="J236" s="11" t="str">
        <f t="shared" ca="1" si="3"/>
        <v>/A.</v>
      </c>
      <c r="K236" s="10" t="str">
        <f ca="1">IFERROR(__xludf.dummyfunction("CONCATENATE(ArrayFormula(""; ""&amp;QUERY(Hallazgos!A:F,""SELECT B WHERE E CONTAINS '""&amp;B236&amp;""' LABEL B ''"")))"),"#N/A")</f>
        <v>#N/A</v>
      </c>
    </row>
    <row r="237" spans="1:11" x14ac:dyDescent="0.25">
      <c r="A237" s="7" t="s">
        <v>527</v>
      </c>
      <c r="B237" s="8" t="s">
        <v>528</v>
      </c>
      <c r="C237" s="9" t="s">
        <v>41</v>
      </c>
      <c r="D237" s="9" t="s">
        <v>506</v>
      </c>
      <c r="E237" s="9" t="s">
        <v>81</v>
      </c>
      <c r="F237" s="9" t="s">
        <v>55</v>
      </c>
      <c r="G237" s="10" t="s">
        <v>17</v>
      </c>
      <c r="H237" s="10" t="s">
        <v>17</v>
      </c>
      <c r="I237" s="10" t="s">
        <v>17</v>
      </c>
      <c r="J237" s="11" t="str">
        <f t="shared" ca="1" si="3"/>
        <v>/A.</v>
      </c>
      <c r="K237" s="10" t="str">
        <f ca="1">IFERROR(__xludf.dummyfunction("CONCATENATE(ArrayFormula(""; ""&amp;QUERY(Hallazgos!A:F,""SELECT B WHERE E CONTAINS '""&amp;B237&amp;""' LABEL B ''"")))"),"#N/A")</f>
        <v>#N/A</v>
      </c>
    </row>
    <row r="238" spans="1:11" x14ac:dyDescent="0.25">
      <c r="A238" s="7" t="s">
        <v>529</v>
      </c>
      <c r="B238" s="8" t="s">
        <v>530</v>
      </c>
      <c r="C238" s="9" t="s">
        <v>41</v>
      </c>
      <c r="D238" s="9" t="s">
        <v>506</v>
      </c>
      <c r="E238" s="9" t="s">
        <v>54</v>
      </c>
      <c r="F238" s="9" t="s">
        <v>55</v>
      </c>
      <c r="G238" s="10" t="s">
        <v>17</v>
      </c>
      <c r="H238" s="10" t="s">
        <v>17</v>
      </c>
      <c r="I238" s="10" t="s">
        <v>17</v>
      </c>
      <c r="J238" s="11" t="str">
        <f t="shared" ca="1" si="3"/>
        <v>/A.</v>
      </c>
      <c r="K238" s="10" t="str">
        <f ca="1">IFERROR(__xludf.dummyfunction("CONCATENATE(ArrayFormula(""; ""&amp;QUERY(Hallazgos!A:F,""SELECT B WHERE E CONTAINS '""&amp;B238&amp;""' LABEL B ''"")))"),"#N/A")</f>
        <v>#N/A</v>
      </c>
    </row>
    <row r="239" spans="1:11" x14ac:dyDescent="0.25">
      <c r="A239" s="7" t="s">
        <v>531</v>
      </c>
      <c r="B239" s="8" t="s">
        <v>532</v>
      </c>
      <c r="C239" s="9" t="s">
        <v>41</v>
      </c>
      <c r="D239" s="9" t="s">
        <v>506</v>
      </c>
      <c r="E239" s="9" t="s">
        <v>88</v>
      </c>
      <c r="F239" s="9" t="s">
        <v>55</v>
      </c>
      <c r="G239" s="10" t="s">
        <v>17</v>
      </c>
      <c r="H239" s="10" t="s">
        <v>17</v>
      </c>
      <c r="I239" s="10" t="s">
        <v>17</v>
      </c>
      <c r="J239" s="11" t="str">
        <f t="shared" ca="1" si="3"/>
        <v>/A.</v>
      </c>
      <c r="K239" s="10" t="str">
        <f ca="1">IFERROR(__xludf.dummyfunction("CONCATENATE(ArrayFormula(""; ""&amp;QUERY(Hallazgos!A:F,""SELECT B WHERE E CONTAINS '""&amp;B239&amp;""' LABEL B ''"")))"),"#N/A")</f>
        <v>#N/A</v>
      </c>
    </row>
    <row r="240" spans="1:11" x14ac:dyDescent="0.25">
      <c r="A240" s="7" t="s">
        <v>533</v>
      </c>
      <c r="B240" s="8" t="s">
        <v>534</v>
      </c>
      <c r="C240" s="9" t="s">
        <v>38</v>
      </c>
      <c r="D240" s="9" t="s">
        <v>535</v>
      </c>
      <c r="E240" s="9" t="s">
        <v>15</v>
      </c>
      <c r="F240" s="9" t="s">
        <v>16</v>
      </c>
      <c r="G240" s="10" t="s">
        <v>17</v>
      </c>
      <c r="H240" s="10" t="s">
        <v>17</v>
      </c>
      <c r="I240" s="10" t="s">
        <v>17</v>
      </c>
      <c r="J240" s="11" t="str">
        <f t="shared" ca="1" si="3"/>
        <v>/A.</v>
      </c>
      <c r="K240" s="10" t="str">
        <f ca="1">IFERROR(__xludf.dummyfunction("CONCATENATE(ArrayFormula(""; ""&amp;QUERY(Hallazgos!A:F,""SELECT B WHERE E CONTAINS '""&amp;B240&amp;""' LABEL B ''"")))"),"#N/A")</f>
        <v>#N/A</v>
      </c>
    </row>
    <row r="241" spans="1:11" x14ac:dyDescent="0.25">
      <c r="A241" s="7" t="s">
        <v>536</v>
      </c>
      <c r="B241" s="8" t="s">
        <v>537</v>
      </c>
      <c r="C241" s="9" t="s">
        <v>38</v>
      </c>
      <c r="D241" s="9" t="s">
        <v>535</v>
      </c>
      <c r="E241" s="9" t="s">
        <v>15</v>
      </c>
      <c r="F241" s="9" t="s">
        <v>49</v>
      </c>
      <c r="G241" s="10" t="s">
        <v>17</v>
      </c>
      <c r="H241" s="10" t="s">
        <v>17</v>
      </c>
      <c r="I241" s="10" t="s">
        <v>17</v>
      </c>
      <c r="J241" s="11" t="str">
        <f t="shared" ca="1" si="3"/>
        <v>/A.</v>
      </c>
      <c r="K241" s="10" t="str">
        <f ca="1">IFERROR(__xludf.dummyfunction("CONCATENATE(ArrayFormula(""; ""&amp;QUERY(Hallazgos!A:F,""SELECT B WHERE E CONTAINS '""&amp;B241&amp;""' LABEL B ''"")))"),"#N/A")</f>
        <v>#N/A</v>
      </c>
    </row>
    <row r="242" spans="1:11" x14ac:dyDescent="0.25">
      <c r="A242" s="7" t="s">
        <v>538</v>
      </c>
      <c r="B242" s="8" t="s">
        <v>539</v>
      </c>
      <c r="C242" s="9" t="s">
        <v>38</v>
      </c>
      <c r="D242" s="9" t="s">
        <v>535</v>
      </c>
      <c r="E242" s="9" t="s">
        <v>15</v>
      </c>
      <c r="F242" s="9" t="s">
        <v>44</v>
      </c>
      <c r="G242" s="10" t="s">
        <v>17</v>
      </c>
      <c r="H242" s="10" t="s">
        <v>17</v>
      </c>
      <c r="I242" s="10" t="s">
        <v>17</v>
      </c>
      <c r="J242" s="11" t="str">
        <f t="shared" ca="1" si="3"/>
        <v>/A.</v>
      </c>
      <c r="K242" s="10" t="str">
        <f ca="1">IFERROR(__xludf.dummyfunction("CONCATENATE(ArrayFormula(""; ""&amp;QUERY(Hallazgos!A:F,""SELECT B WHERE E CONTAINS '""&amp;B242&amp;""' LABEL B ''"")))"),"#N/A")</f>
        <v>#N/A</v>
      </c>
    </row>
    <row r="243" spans="1:11" x14ac:dyDescent="0.25">
      <c r="A243" s="7" t="s">
        <v>540</v>
      </c>
      <c r="B243" s="8" t="s">
        <v>541</v>
      </c>
      <c r="C243" s="9" t="s">
        <v>38</v>
      </c>
      <c r="D243" s="9" t="s">
        <v>535</v>
      </c>
      <c r="E243" s="9" t="s">
        <v>15</v>
      </c>
      <c r="F243" s="9" t="s">
        <v>44</v>
      </c>
      <c r="G243" s="10" t="s">
        <v>17</v>
      </c>
      <c r="H243" s="10" t="s">
        <v>17</v>
      </c>
      <c r="I243" s="10" t="s">
        <v>17</v>
      </c>
      <c r="J243" s="11" t="str">
        <f t="shared" ca="1" si="3"/>
        <v>/A.</v>
      </c>
      <c r="K243" s="10" t="str">
        <f ca="1">IFERROR(__xludf.dummyfunction("CONCATENATE(ArrayFormula(""; ""&amp;QUERY(Hallazgos!A:F,""SELECT B WHERE E CONTAINS '""&amp;B243&amp;""' LABEL B ''"")))"),"#N/A")</f>
        <v>#N/A</v>
      </c>
    </row>
    <row r="244" spans="1:11" x14ac:dyDescent="0.25">
      <c r="A244" s="7" t="s">
        <v>542</v>
      </c>
      <c r="B244" s="8" t="s">
        <v>543</v>
      </c>
      <c r="C244" s="9" t="s">
        <v>38</v>
      </c>
      <c r="D244" s="9" t="s">
        <v>544</v>
      </c>
      <c r="E244" s="9" t="s">
        <v>15</v>
      </c>
      <c r="F244" s="9" t="s">
        <v>44</v>
      </c>
      <c r="G244" s="10" t="s">
        <v>17</v>
      </c>
      <c r="H244" s="10" t="s">
        <v>17</v>
      </c>
      <c r="I244" s="10" t="s">
        <v>17</v>
      </c>
      <c r="J244" s="11" t="str">
        <f t="shared" ca="1" si="3"/>
        <v>/A.</v>
      </c>
      <c r="K244" s="10" t="str">
        <f ca="1">IFERROR(__xludf.dummyfunction("CONCATENATE(ArrayFormula(""; ""&amp;QUERY(Hallazgos!A:F,""SELECT B WHERE E CONTAINS '""&amp;B244&amp;""' LABEL B ''"")))"),"#N/A")</f>
        <v>#N/A</v>
      </c>
    </row>
    <row r="245" spans="1:11" x14ac:dyDescent="0.25">
      <c r="A245" s="7" t="s">
        <v>545</v>
      </c>
      <c r="B245" s="8" t="s">
        <v>546</v>
      </c>
      <c r="C245" s="9" t="s">
        <v>38</v>
      </c>
      <c r="D245" s="9" t="s">
        <v>544</v>
      </c>
      <c r="E245" s="9" t="s">
        <v>15</v>
      </c>
      <c r="F245" s="9" t="s">
        <v>44</v>
      </c>
      <c r="G245" s="10" t="s">
        <v>17</v>
      </c>
      <c r="H245" s="10" t="s">
        <v>17</v>
      </c>
      <c r="I245" s="10" t="s">
        <v>17</v>
      </c>
      <c r="J245" s="11" t="str">
        <f t="shared" ca="1" si="3"/>
        <v>/A.</v>
      </c>
      <c r="K245" s="10" t="str">
        <f ca="1">IFERROR(__xludf.dummyfunction("CONCATENATE(ArrayFormula(""; ""&amp;QUERY(Hallazgos!A:F,""SELECT B WHERE E CONTAINS '""&amp;B245&amp;""' LABEL B ''"")))"),"#N/A")</f>
        <v>#N/A</v>
      </c>
    </row>
    <row r="246" spans="1:11" x14ac:dyDescent="0.25">
      <c r="A246" s="7" t="s">
        <v>547</v>
      </c>
      <c r="B246" s="8" t="s">
        <v>548</v>
      </c>
      <c r="C246" s="9" t="s">
        <v>38</v>
      </c>
      <c r="D246" s="9" t="s">
        <v>544</v>
      </c>
      <c r="E246" s="9" t="s">
        <v>15</v>
      </c>
      <c r="F246" s="9" t="s">
        <v>44</v>
      </c>
      <c r="G246" s="10" t="s">
        <v>17</v>
      </c>
      <c r="H246" s="10" t="s">
        <v>17</v>
      </c>
      <c r="I246" s="10" t="s">
        <v>17</v>
      </c>
      <c r="J246" s="11" t="str">
        <f t="shared" ca="1" si="3"/>
        <v>/A.</v>
      </c>
      <c r="K246" s="10" t="str">
        <f ca="1">IFERROR(__xludf.dummyfunction("CONCATENATE(ArrayFormula(""; ""&amp;QUERY(Hallazgos!A:F,""SELECT B WHERE E CONTAINS '""&amp;B246&amp;""' LABEL B ''"")))"),"#N/A")</f>
        <v>#N/A</v>
      </c>
    </row>
    <row r="247" spans="1:11" x14ac:dyDescent="0.25">
      <c r="A247" s="7" t="s">
        <v>549</v>
      </c>
      <c r="B247" s="8" t="s">
        <v>550</v>
      </c>
      <c r="C247" s="9" t="s">
        <v>38</v>
      </c>
      <c r="D247" s="9" t="s">
        <v>544</v>
      </c>
      <c r="E247" s="9" t="s">
        <v>15</v>
      </c>
      <c r="F247" s="9" t="s">
        <v>44</v>
      </c>
      <c r="G247" s="10" t="s">
        <v>17</v>
      </c>
      <c r="H247" s="10" t="s">
        <v>17</v>
      </c>
      <c r="I247" s="10" t="s">
        <v>17</v>
      </c>
      <c r="J247" s="11" t="str">
        <f t="shared" ca="1" si="3"/>
        <v>/A.</v>
      </c>
      <c r="K247" s="10" t="str">
        <f ca="1">IFERROR(__xludf.dummyfunction("CONCATENATE(ArrayFormula(""; ""&amp;QUERY(Hallazgos!A:F,""SELECT B WHERE E CONTAINS '""&amp;B247&amp;""' LABEL B ''"")))"),"#N/A")</f>
        <v>#N/A</v>
      </c>
    </row>
    <row r="248" spans="1:11" x14ac:dyDescent="0.25">
      <c r="A248" s="7" t="s">
        <v>551</v>
      </c>
      <c r="B248" s="8" t="s">
        <v>552</v>
      </c>
      <c r="C248" s="9" t="s">
        <v>13</v>
      </c>
      <c r="D248" s="9" t="s">
        <v>553</v>
      </c>
      <c r="E248" s="9" t="s">
        <v>81</v>
      </c>
      <c r="F248" s="9" t="s">
        <v>55</v>
      </c>
      <c r="G248" s="10" t="s">
        <v>17</v>
      </c>
      <c r="H248" s="10" t="s">
        <v>17</v>
      </c>
      <c r="I248" s="10" t="s">
        <v>17</v>
      </c>
      <c r="J248" s="11" t="str">
        <f t="shared" ca="1" si="3"/>
        <v>/A.</v>
      </c>
      <c r="K248" s="10" t="str">
        <f ca="1">IFERROR(__xludf.dummyfunction("CONCATENATE(ArrayFormula(""; ""&amp;QUERY(Hallazgos!A:F,""SELECT B WHERE E CONTAINS '""&amp;B248&amp;""' LABEL B ''"")))"),"#N/A")</f>
        <v>#N/A</v>
      </c>
    </row>
    <row r="249" spans="1:11" x14ac:dyDescent="0.25">
      <c r="A249" s="7" t="s">
        <v>554</v>
      </c>
      <c r="B249" s="8" t="s">
        <v>555</v>
      </c>
      <c r="C249" s="9" t="s">
        <v>13</v>
      </c>
      <c r="D249" s="9" t="s">
        <v>553</v>
      </c>
      <c r="E249" s="9" t="s">
        <v>81</v>
      </c>
      <c r="F249" s="9" t="s">
        <v>55</v>
      </c>
      <c r="G249" s="10" t="s">
        <v>17</v>
      </c>
      <c r="H249" s="10" t="s">
        <v>17</v>
      </c>
      <c r="I249" s="10" t="s">
        <v>17</v>
      </c>
      <c r="J249" s="11" t="str">
        <f t="shared" ca="1" si="3"/>
        <v>/A.</v>
      </c>
      <c r="K249" s="10" t="str">
        <f ca="1">IFERROR(__xludf.dummyfunction("CONCATENATE(ArrayFormula(""; ""&amp;QUERY(Hallazgos!A:F,""SELECT B WHERE E CONTAINS '""&amp;B249&amp;""' LABEL B ''"")))"),"#N/A")</f>
        <v>#N/A</v>
      </c>
    </row>
    <row r="250" spans="1:11" x14ac:dyDescent="0.25">
      <c r="A250" s="7" t="s">
        <v>556</v>
      </c>
      <c r="B250" s="8" t="s">
        <v>557</v>
      </c>
      <c r="C250" s="9" t="s">
        <v>13</v>
      </c>
      <c r="D250" s="9" t="s">
        <v>553</v>
      </c>
      <c r="E250" s="9" t="s">
        <v>81</v>
      </c>
      <c r="F250" s="9" t="s">
        <v>55</v>
      </c>
      <c r="G250" s="10" t="s">
        <v>17</v>
      </c>
      <c r="H250" s="10" t="s">
        <v>17</v>
      </c>
      <c r="I250" s="10" t="s">
        <v>17</v>
      </c>
      <c r="J250" s="11" t="str">
        <f t="shared" ca="1" si="3"/>
        <v>/A.</v>
      </c>
      <c r="K250" s="10" t="str">
        <f ca="1">IFERROR(__xludf.dummyfunction("CONCATENATE(ArrayFormula(""; ""&amp;QUERY(Hallazgos!A:F,""SELECT B WHERE E CONTAINS '""&amp;B250&amp;""' LABEL B ''"")))"),"#N/A")</f>
        <v>#N/A</v>
      </c>
    </row>
    <row r="251" spans="1:11" x14ac:dyDescent="0.25">
      <c r="A251" s="7" t="s">
        <v>558</v>
      </c>
      <c r="B251" s="8" t="s">
        <v>559</v>
      </c>
      <c r="C251" s="9" t="s">
        <v>13</v>
      </c>
      <c r="D251" s="9" t="s">
        <v>553</v>
      </c>
      <c r="E251" s="9" t="s">
        <v>98</v>
      </c>
      <c r="F251" s="9" t="s">
        <v>55</v>
      </c>
      <c r="G251" s="10" t="s">
        <v>17</v>
      </c>
      <c r="H251" s="10" t="s">
        <v>17</v>
      </c>
      <c r="I251" s="10" t="s">
        <v>17</v>
      </c>
      <c r="J251" s="11" t="str">
        <f t="shared" ca="1" si="3"/>
        <v>/A.</v>
      </c>
      <c r="K251" s="10" t="str">
        <f ca="1">IFERROR(__xludf.dummyfunction("CONCATENATE(ArrayFormula(""; ""&amp;QUERY(Hallazgos!A:F,""SELECT B WHERE E CONTAINS '""&amp;B251&amp;""' LABEL B ''"")))"),"#N/A")</f>
        <v>#N/A</v>
      </c>
    </row>
    <row r="252" spans="1:11" x14ac:dyDescent="0.25">
      <c r="A252" s="7" t="s">
        <v>560</v>
      </c>
      <c r="B252" s="8" t="s">
        <v>561</v>
      </c>
      <c r="C252" s="9" t="s">
        <v>13</v>
      </c>
      <c r="D252" s="9" t="s">
        <v>553</v>
      </c>
      <c r="E252" s="9" t="s">
        <v>72</v>
      </c>
      <c r="F252" s="9" t="s">
        <v>55</v>
      </c>
      <c r="G252" s="10" t="s">
        <v>17</v>
      </c>
      <c r="H252" s="10" t="s">
        <v>17</v>
      </c>
      <c r="I252" s="10" t="s">
        <v>17</v>
      </c>
      <c r="J252" s="11" t="str">
        <f t="shared" ca="1" si="3"/>
        <v>/A.</v>
      </c>
      <c r="K252" s="10" t="str">
        <f ca="1">IFERROR(__xludf.dummyfunction("CONCATENATE(ArrayFormula(""; ""&amp;QUERY(Hallazgos!A:F,""SELECT B WHERE E CONTAINS '""&amp;B252&amp;""' LABEL B ''"")))"),"#N/A")</f>
        <v>#N/A</v>
      </c>
    </row>
    <row r="253" spans="1:11" x14ac:dyDescent="0.25">
      <c r="A253" s="7" t="s">
        <v>562</v>
      </c>
      <c r="B253" s="8" t="s">
        <v>563</v>
      </c>
      <c r="C253" s="9" t="s">
        <v>13</v>
      </c>
      <c r="D253" s="9" t="s">
        <v>553</v>
      </c>
      <c r="E253" s="9" t="s">
        <v>15</v>
      </c>
      <c r="F253" s="9" t="s">
        <v>55</v>
      </c>
      <c r="G253" s="10" t="s">
        <v>17</v>
      </c>
      <c r="H253" s="10" t="s">
        <v>17</v>
      </c>
      <c r="I253" s="10" t="s">
        <v>17</v>
      </c>
      <c r="J253" s="11" t="str">
        <f t="shared" ca="1" si="3"/>
        <v>/A.</v>
      </c>
      <c r="K253" s="10" t="str">
        <f ca="1">IFERROR(__xludf.dummyfunction("CONCATENATE(ArrayFormula(""; ""&amp;QUERY(Hallazgos!A:F,""SELECT B WHERE E CONTAINS '""&amp;B253&amp;""' LABEL B ''"")))"),"#N/A")</f>
        <v>#N/A</v>
      </c>
    </row>
    <row r="254" spans="1:11" x14ac:dyDescent="0.25">
      <c r="A254" s="7" t="s">
        <v>564</v>
      </c>
      <c r="B254" s="8" t="s">
        <v>565</v>
      </c>
      <c r="C254" s="9" t="s">
        <v>13</v>
      </c>
      <c r="D254" s="9" t="s">
        <v>553</v>
      </c>
      <c r="E254" s="9" t="s">
        <v>88</v>
      </c>
      <c r="F254" s="9" t="s">
        <v>55</v>
      </c>
      <c r="G254" s="10" t="s">
        <v>17</v>
      </c>
      <c r="H254" s="10" t="s">
        <v>17</v>
      </c>
      <c r="I254" s="10" t="s">
        <v>17</v>
      </c>
      <c r="J254" s="11" t="str">
        <f t="shared" ca="1" si="3"/>
        <v>/A.</v>
      </c>
      <c r="K254" s="10" t="str">
        <f ca="1">IFERROR(__xludf.dummyfunction("CONCATENATE(ArrayFormula(""; ""&amp;QUERY(Hallazgos!A:F,""SELECT B WHERE E CONTAINS '""&amp;B254&amp;""' LABEL B ''"")))"),"#N/A")</f>
        <v>#N/A</v>
      </c>
    </row>
    <row r="255" spans="1:11" x14ac:dyDescent="0.25">
      <c r="A255" s="7" t="s">
        <v>566</v>
      </c>
      <c r="B255" s="8" t="s">
        <v>567</v>
      </c>
      <c r="C255" s="9" t="s">
        <v>13</v>
      </c>
      <c r="D255" s="9" t="s">
        <v>553</v>
      </c>
      <c r="E255" s="9" t="s">
        <v>81</v>
      </c>
      <c r="F255" s="9" t="s">
        <v>55</v>
      </c>
      <c r="G255" s="10" t="s">
        <v>17</v>
      </c>
      <c r="H255" s="10" t="s">
        <v>17</v>
      </c>
      <c r="I255" s="10" t="s">
        <v>17</v>
      </c>
      <c r="J255" s="11" t="str">
        <f t="shared" ca="1" si="3"/>
        <v>/A.</v>
      </c>
      <c r="K255" s="10" t="str">
        <f ca="1">IFERROR(__xludf.dummyfunction("CONCATENATE(ArrayFormula(""; ""&amp;QUERY(Hallazgos!A:F,""SELECT B WHERE E CONTAINS '""&amp;B255&amp;""' LABEL B ''"")))"),"#N/A")</f>
        <v>#N/A</v>
      </c>
    </row>
    <row r="256" spans="1:11" x14ac:dyDescent="0.25">
      <c r="A256" s="7" t="s">
        <v>568</v>
      </c>
      <c r="B256" s="8" t="s">
        <v>569</v>
      </c>
      <c r="C256" s="9" t="s">
        <v>13</v>
      </c>
      <c r="D256" s="9" t="s">
        <v>570</v>
      </c>
      <c r="E256" s="9" t="s">
        <v>72</v>
      </c>
      <c r="F256" s="9" t="s">
        <v>55</v>
      </c>
      <c r="G256" s="10" t="s">
        <v>17</v>
      </c>
      <c r="H256" s="10" t="s">
        <v>17</v>
      </c>
      <c r="I256" s="10" t="s">
        <v>17</v>
      </c>
      <c r="J256" s="11" t="str">
        <f t="shared" ca="1" si="3"/>
        <v>/A.</v>
      </c>
      <c r="K256" s="10" t="str">
        <f ca="1">IFERROR(__xludf.dummyfunction("CONCATENATE(ArrayFormula(""; ""&amp;QUERY(Hallazgos!A:F,""SELECT B WHERE E CONTAINS '""&amp;B256&amp;""' LABEL B ''"")))"),"#N/A")</f>
        <v>#N/A</v>
      </c>
    </row>
    <row r="257" spans="1:11" x14ac:dyDescent="0.25">
      <c r="A257" s="7" t="s">
        <v>571</v>
      </c>
      <c r="B257" s="8" t="s">
        <v>572</v>
      </c>
      <c r="C257" s="9" t="s">
        <v>13</v>
      </c>
      <c r="D257" s="9" t="s">
        <v>570</v>
      </c>
      <c r="E257" s="9" t="s">
        <v>72</v>
      </c>
      <c r="F257" s="9" t="s">
        <v>55</v>
      </c>
      <c r="G257" s="10" t="s">
        <v>17</v>
      </c>
      <c r="H257" s="10" t="s">
        <v>17</v>
      </c>
      <c r="I257" s="10" t="s">
        <v>17</v>
      </c>
      <c r="J257" s="11" t="str">
        <f t="shared" ca="1" si="3"/>
        <v>/A.</v>
      </c>
      <c r="K257" s="10" t="str">
        <f ca="1">IFERROR(__xludf.dummyfunction("CONCATENATE(ArrayFormula(""; ""&amp;QUERY(Hallazgos!A:F,""SELECT B WHERE E CONTAINS '""&amp;B257&amp;""' LABEL B ''"")))"),"#N/A")</f>
        <v>#N/A</v>
      </c>
    </row>
    <row r="258" spans="1:11" x14ac:dyDescent="0.25">
      <c r="A258" s="7" t="s">
        <v>573</v>
      </c>
      <c r="B258" s="8" t="s">
        <v>574</v>
      </c>
      <c r="C258" s="9" t="s">
        <v>38</v>
      </c>
      <c r="D258" s="9" t="s">
        <v>570</v>
      </c>
      <c r="E258" s="9" t="s">
        <v>98</v>
      </c>
      <c r="F258" s="9" t="s">
        <v>55</v>
      </c>
      <c r="G258" s="10" t="s">
        <v>17</v>
      </c>
      <c r="H258" s="10" t="s">
        <v>17</v>
      </c>
      <c r="I258" s="10" t="s">
        <v>17</v>
      </c>
      <c r="J258" s="11" t="str">
        <f t="shared" ca="1" si="3"/>
        <v>/A.</v>
      </c>
      <c r="K258" s="10" t="str">
        <f ca="1">IFERROR(__xludf.dummyfunction("CONCATENATE(ArrayFormula(""; ""&amp;QUERY(Hallazgos!A:F,""SELECT B WHERE E CONTAINS '""&amp;B258&amp;""' LABEL B ''"")))"),"#N/A")</f>
        <v>#N/A</v>
      </c>
    </row>
    <row r="259" spans="1:11" x14ac:dyDescent="0.25">
      <c r="A259" s="7" t="s">
        <v>575</v>
      </c>
      <c r="B259" s="8" t="s">
        <v>576</v>
      </c>
      <c r="C259" s="9" t="s">
        <v>38</v>
      </c>
      <c r="D259" s="9" t="s">
        <v>570</v>
      </c>
      <c r="E259" s="9" t="s">
        <v>54</v>
      </c>
      <c r="F259" s="9" t="s">
        <v>55</v>
      </c>
      <c r="G259" s="10" t="s">
        <v>17</v>
      </c>
      <c r="H259" s="10" t="s">
        <v>17</v>
      </c>
      <c r="I259" s="10" t="s">
        <v>17</v>
      </c>
      <c r="J259" s="11" t="str">
        <f t="shared" ref="J259:J295" ca="1" si="4">IF(IFERROR(K259,7)=7,"",RIGHT(K259,LEN(K259)-2)&amp;".")</f>
        <v>/A.</v>
      </c>
      <c r="K259" s="10" t="str">
        <f ca="1">IFERROR(__xludf.dummyfunction("CONCATENATE(ArrayFormula(""; ""&amp;QUERY(Hallazgos!A:F,""SELECT B WHERE E CONTAINS '""&amp;B259&amp;""' LABEL B ''"")))"),"#N/A")</f>
        <v>#N/A</v>
      </c>
    </row>
    <row r="260" spans="1:11" x14ac:dyDescent="0.25">
      <c r="A260" s="7" t="s">
        <v>577</v>
      </c>
      <c r="B260" s="8" t="s">
        <v>578</v>
      </c>
      <c r="C260" s="9" t="s">
        <v>13</v>
      </c>
      <c r="D260" s="9" t="s">
        <v>570</v>
      </c>
      <c r="E260" s="9" t="s">
        <v>184</v>
      </c>
      <c r="F260" s="9" t="s">
        <v>55</v>
      </c>
      <c r="G260" s="10" t="s">
        <v>17</v>
      </c>
      <c r="H260" s="10" t="s">
        <v>17</v>
      </c>
      <c r="I260" s="10" t="s">
        <v>17</v>
      </c>
      <c r="J260" s="11" t="str">
        <f t="shared" ca="1" si="4"/>
        <v>/A.</v>
      </c>
      <c r="K260" s="10" t="str">
        <f ca="1">IFERROR(__xludf.dummyfunction("CONCATENATE(ArrayFormula(""; ""&amp;QUERY(Hallazgos!A:F,""SELECT B WHERE E CONTAINS '""&amp;B260&amp;""' LABEL B ''"")))"),"#N/A")</f>
        <v>#N/A</v>
      </c>
    </row>
    <row r="261" spans="1:11" x14ac:dyDescent="0.25">
      <c r="A261" s="7" t="s">
        <v>579</v>
      </c>
      <c r="B261" s="8" t="s">
        <v>580</v>
      </c>
      <c r="C261" s="9" t="s">
        <v>38</v>
      </c>
      <c r="D261" s="9" t="s">
        <v>581</v>
      </c>
      <c r="E261" s="9" t="s">
        <v>81</v>
      </c>
      <c r="F261" s="9" t="s">
        <v>55</v>
      </c>
      <c r="G261" s="10" t="s">
        <v>17</v>
      </c>
      <c r="H261" s="10" t="s">
        <v>17</v>
      </c>
      <c r="I261" s="10" t="s">
        <v>17</v>
      </c>
      <c r="J261" s="11" t="str">
        <f t="shared" ca="1" si="4"/>
        <v>/A.</v>
      </c>
      <c r="K261" s="10" t="str">
        <f ca="1">IFERROR(__xludf.dummyfunction("CONCATENATE(ArrayFormula(""; ""&amp;QUERY(Hallazgos!A:F,""SELECT B WHERE E CONTAINS '""&amp;B261&amp;""' LABEL B ''"")))"),"#N/A")</f>
        <v>#N/A</v>
      </c>
    </row>
    <row r="262" spans="1:11" x14ac:dyDescent="0.25">
      <c r="A262" s="7" t="s">
        <v>582</v>
      </c>
      <c r="B262" s="8" t="s">
        <v>583</v>
      </c>
      <c r="C262" s="9" t="s">
        <v>38</v>
      </c>
      <c r="D262" s="9" t="s">
        <v>581</v>
      </c>
      <c r="E262" s="9" t="s">
        <v>81</v>
      </c>
      <c r="F262" s="9" t="s">
        <v>55</v>
      </c>
      <c r="G262" s="10" t="s">
        <v>17</v>
      </c>
      <c r="H262" s="10" t="s">
        <v>17</v>
      </c>
      <c r="I262" s="10" t="s">
        <v>17</v>
      </c>
      <c r="J262" s="11" t="str">
        <f t="shared" ca="1" si="4"/>
        <v>/A.</v>
      </c>
      <c r="K262" s="10" t="str">
        <f ca="1">IFERROR(__xludf.dummyfunction("CONCATENATE(ArrayFormula(""; ""&amp;QUERY(Hallazgos!A:F,""SELECT B WHERE E CONTAINS '""&amp;B262&amp;""' LABEL B ''"")))"),"#N/A")</f>
        <v>#N/A</v>
      </c>
    </row>
    <row r="263" spans="1:11" x14ac:dyDescent="0.25">
      <c r="A263" s="7" t="s">
        <v>584</v>
      </c>
      <c r="B263" s="8" t="s">
        <v>585</v>
      </c>
      <c r="C263" s="9" t="s">
        <v>41</v>
      </c>
      <c r="D263" s="9" t="s">
        <v>586</v>
      </c>
      <c r="E263" s="9" t="s">
        <v>184</v>
      </c>
      <c r="F263" s="9" t="s">
        <v>55</v>
      </c>
      <c r="G263" s="10" t="s">
        <v>17</v>
      </c>
      <c r="H263" s="10" t="s">
        <v>17</v>
      </c>
      <c r="I263" s="10" t="s">
        <v>17</v>
      </c>
      <c r="J263" s="11" t="str">
        <f t="shared" ca="1" si="4"/>
        <v>/A.</v>
      </c>
      <c r="K263" s="10" t="str">
        <f ca="1">IFERROR(__xludf.dummyfunction("CONCATENATE(ArrayFormula(""; ""&amp;QUERY(Hallazgos!A:F,""SELECT B WHERE E CONTAINS '""&amp;B263&amp;""' LABEL B ''"")))"),"#N/A")</f>
        <v>#N/A</v>
      </c>
    </row>
    <row r="264" spans="1:11" x14ac:dyDescent="0.25">
      <c r="A264" s="7" t="s">
        <v>587</v>
      </c>
      <c r="B264" s="8" t="s">
        <v>588</v>
      </c>
      <c r="C264" s="9" t="s">
        <v>41</v>
      </c>
      <c r="D264" s="9" t="s">
        <v>586</v>
      </c>
      <c r="E264" s="9" t="s">
        <v>15</v>
      </c>
      <c r="F264" s="9" t="s">
        <v>55</v>
      </c>
      <c r="G264" s="10" t="s">
        <v>17</v>
      </c>
      <c r="H264" s="10" t="s">
        <v>17</v>
      </c>
      <c r="I264" s="10" t="s">
        <v>17</v>
      </c>
      <c r="J264" s="11" t="str">
        <f t="shared" ca="1" si="4"/>
        <v>/A.</v>
      </c>
      <c r="K264" s="10" t="str">
        <f ca="1">IFERROR(__xludf.dummyfunction("CONCATENATE(ArrayFormula(""; ""&amp;QUERY(Hallazgos!A:F,""SELECT B WHERE E CONTAINS '""&amp;B264&amp;""' LABEL B ''"")))"),"#N/A")</f>
        <v>#N/A</v>
      </c>
    </row>
    <row r="265" spans="1:11" x14ac:dyDescent="0.25">
      <c r="A265" s="7" t="s">
        <v>589</v>
      </c>
      <c r="B265" s="8" t="s">
        <v>590</v>
      </c>
      <c r="C265" s="9" t="s">
        <v>41</v>
      </c>
      <c r="D265" s="9" t="s">
        <v>586</v>
      </c>
      <c r="E265" s="9" t="s">
        <v>98</v>
      </c>
      <c r="F265" s="9" t="s">
        <v>55</v>
      </c>
      <c r="G265" s="10" t="s">
        <v>17</v>
      </c>
      <c r="H265" s="10" t="s">
        <v>17</v>
      </c>
      <c r="I265" s="10" t="s">
        <v>17</v>
      </c>
      <c r="J265" s="11" t="str">
        <f t="shared" ca="1" si="4"/>
        <v>/A.</v>
      </c>
      <c r="K265" s="10" t="str">
        <f ca="1">IFERROR(__xludf.dummyfunction("CONCATENATE(ArrayFormula(""; ""&amp;QUERY(Hallazgos!A:F,""SELECT B WHERE E CONTAINS '""&amp;B265&amp;""' LABEL B ''"")))"),"#N/A")</f>
        <v>#N/A</v>
      </c>
    </row>
    <row r="266" spans="1:11" x14ac:dyDescent="0.25">
      <c r="A266" s="7" t="s">
        <v>591</v>
      </c>
      <c r="B266" s="8" t="s">
        <v>592</v>
      </c>
      <c r="C266" s="9" t="s">
        <v>41</v>
      </c>
      <c r="D266" s="9" t="s">
        <v>586</v>
      </c>
      <c r="E266" s="9" t="s">
        <v>98</v>
      </c>
      <c r="F266" s="9" t="s">
        <v>55</v>
      </c>
      <c r="G266" s="10" t="s">
        <v>17</v>
      </c>
      <c r="H266" s="10" t="s">
        <v>17</v>
      </c>
      <c r="I266" s="10" t="s">
        <v>17</v>
      </c>
      <c r="J266" s="11" t="str">
        <f t="shared" ca="1" si="4"/>
        <v>/A.</v>
      </c>
      <c r="K266" s="10" t="str">
        <f ca="1">IFERROR(__xludf.dummyfunction("CONCATENATE(ArrayFormula(""; ""&amp;QUERY(Hallazgos!A:F,""SELECT B WHERE E CONTAINS '""&amp;B266&amp;""' LABEL B ''"")))"),"#N/A")</f>
        <v>#N/A</v>
      </c>
    </row>
    <row r="267" spans="1:11" x14ac:dyDescent="0.25">
      <c r="A267" s="7" t="s">
        <v>593</v>
      </c>
      <c r="B267" s="8" t="s">
        <v>594</v>
      </c>
      <c r="C267" s="9" t="s">
        <v>38</v>
      </c>
      <c r="D267" s="9" t="s">
        <v>586</v>
      </c>
      <c r="E267" s="9" t="s">
        <v>116</v>
      </c>
      <c r="F267" s="9" t="s">
        <v>55</v>
      </c>
      <c r="G267" s="10" t="s">
        <v>17</v>
      </c>
      <c r="H267" s="10" t="s">
        <v>17</v>
      </c>
      <c r="I267" s="10" t="s">
        <v>17</v>
      </c>
      <c r="J267" s="11" t="str">
        <f t="shared" ca="1" si="4"/>
        <v>/A.</v>
      </c>
      <c r="K267" s="10" t="str">
        <f ca="1">IFERROR(__xludf.dummyfunction("CONCATENATE(ArrayFormula(""; ""&amp;QUERY(Hallazgos!A:F,""SELECT B WHERE E CONTAINS '""&amp;B267&amp;""' LABEL B ''"")))"),"#N/A")</f>
        <v>#N/A</v>
      </c>
    </row>
    <row r="268" spans="1:11" x14ac:dyDescent="0.25">
      <c r="A268" s="7" t="s">
        <v>595</v>
      </c>
      <c r="B268" s="8" t="s">
        <v>596</v>
      </c>
      <c r="C268" s="9" t="s">
        <v>38</v>
      </c>
      <c r="D268" s="9" t="s">
        <v>586</v>
      </c>
      <c r="E268" s="9" t="s">
        <v>116</v>
      </c>
      <c r="F268" s="9" t="s">
        <v>55</v>
      </c>
      <c r="G268" s="10" t="s">
        <v>17</v>
      </c>
      <c r="H268" s="10" t="s">
        <v>17</v>
      </c>
      <c r="I268" s="10" t="s">
        <v>17</v>
      </c>
      <c r="J268" s="11" t="str">
        <f t="shared" ca="1" si="4"/>
        <v>/A.</v>
      </c>
      <c r="K268" s="10" t="str">
        <f ca="1">IFERROR(__xludf.dummyfunction("CONCATENATE(ArrayFormula(""; ""&amp;QUERY(Hallazgos!A:F,""SELECT B WHERE E CONTAINS '""&amp;B268&amp;""' LABEL B ''"")))"),"#N/A")</f>
        <v>#N/A</v>
      </c>
    </row>
    <row r="269" spans="1:11" x14ac:dyDescent="0.25">
      <c r="A269" s="7" t="s">
        <v>597</v>
      </c>
      <c r="B269" s="8" t="s">
        <v>598</v>
      </c>
      <c r="C269" s="9" t="s">
        <v>13</v>
      </c>
      <c r="D269" s="9" t="s">
        <v>599</v>
      </c>
      <c r="E269" s="9" t="s">
        <v>88</v>
      </c>
      <c r="F269" s="9" t="s">
        <v>55</v>
      </c>
      <c r="G269" s="10" t="s">
        <v>17</v>
      </c>
      <c r="H269" s="10" t="s">
        <v>17</v>
      </c>
      <c r="I269" s="10" t="s">
        <v>17</v>
      </c>
      <c r="J269" s="11" t="str">
        <f t="shared" ca="1" si="4"/>
        <v>/A.</v>
      </c>
      <c r="K269" s="10" t="str">
        <f ca="1">IFERROR(__xludf.dummyfunction("CONCATENATE(ArrayFormula(""; ""&amp;QUERY(Hallazgos!A:F,""SELECT B WHERE E CONTAINS '""&amp;B269&amp;""' LABEL B ''"")))"),"#N/A")</f>
        <v>#N/A</v>
      </c>
    </row>
    <row r="270" spans="1:11" x14ac:dyDescent="0.25">
      <c r="A270" s="7" t="s">
        <v>600</v>
      </c>
      <c r="B270" s="8" t="s">
        <v>601</v>
      </c>
      <c r="C270" s="9" t="s">
        <v>13</v>
      </c>
      <c r="D270" s="9" t="s">
        <v>599</v>
      </c>
      <c r="E270" s="9" t="s">
        <v>116</v>
      </c>
      <c r="F270" s="9" t="s">
        <v>55</v>
      </c>
      <c r="G270" s="10" t="s">
        <v>17</v>
      </c>
      <c r="H270" s="10" t="s">
        <v>17</v>
      </c>
      <c r="I270" s="10" t="s">
        <v>17</v>
      </c>
      <c r="J270" s="11" t="str">
        <f t="shared" ca="1" si="4"/>
        <v>/A.</v>
      </c>
      <c r="K270" s="10" t="str">
        <f ca="1">IFERROR(__xludf.dummyfunction("CONCATENATE(ArrayFormula(""; ""&amp;QUERY(Hallazgos!A:F,""SELECT B WHERE E CONTAINS '""&amp;B270&amp;""' LABEL B ''"")))"),"#N/A")</f>
        <v>#N/A</v>
      </c>
    </row>
    <row r="271" spans="1:11" x14ac:dyDescent="0.25">
      <c r="A271" s="7" t="s">
        <v>602</v>
      </c>
      <c r="B271" s="8" t="s">
        <v>603</v>
      </c>
      <c r="C271" s="9" t="s">
        <v>13</v>
      </c>
      <c r="D271" s="9" t="s">
        <v>599</v>
      </c>
      <c r="E271" s="9" t="s">
        <v>54</v>
      </c>
      <c r="F271" s="9" t="s">
        <v>55</v>
      </c>
      <c r="G271" s="10" t="s">
        <v>17</v>
      </c>
      <c r="H271" s="10" t="s">
        <v>17</v>
      </c>
      <c r="I271" s="10" t="s">
        <v>17</v>
      </c>
      <c r="J271" s="11" t="str">
        <f t="shared" ca="1" si="4"/>
        <v>/A.</v>
      </c>
      <c r="K271" s="10" t="str">
        <f ca="1">IFERROR(__xludf.dummyfunction("CONCATENATE(ArrayFormula(""; ""&amp;QUERY(Hallazgos!A:F,""SELECT B WHERE E CONTAINS '""&amp;B271&amp;""' LABEL B ''"")))"),"#N/A")</f>
        <v>#N/A</v>
      </c>
    </row>
    <row r="272" spans="1:11" x14ac:dyDescent="0.25">
      <c r="A272" s="7" t="s">
        <v>604</v>
      </c>
      <c r="B272" s="8" t="s">
        <v>605</v>
      </c>
      <c r="C272" s="9" t="s">
        <v>41</v>
      </c>
      <c r="D272" s="9" t="s">
        <v>599</v>
      </c>
      <c r="E272" s="9" t="s">
        <v>184</v>
      </c>
      <c r="F272" s="9" t="s">
        <v>55</v>
      </c>
      <c r="G272" s="10" t="s">
        <v>17</v>
      </c>
      <c r="H272" s="10" t="s">
        <v>17</v>
      </c>
      <c r="I272" s="10" t="s">
        <v>17</v>
      </c>
      <c r="J272" s="11" t="str">
        <f t="shared" ca="1" si="4"/>
        <v>/A.</v>
      </c>
      <c r="K272" s="10" t="str">
        <f ca="1">IFERROR(__xludf.dummyfunction("CONCATENATE(ArrayFormula(""; ""&amp;QUERY(Hallazgos!A:F,""SELECT B WHERE E CONTAINS '""&amp;B272&amp;""' LABEL B ''"")))"),"#N/A")</f>
        <v>#N/A</v>
      </c>
    </row>
    <row r="273" spans="1:11" x14ac:dyDescent="0.25">
      <c r="A273" s="7" t="s">
        <v>606</v>
      </c>
      <c r="B273" s="8" t="s">
        <v>607</v>
      </c>
      <c r="C273" s="9" t="s">
        <v>13</v>
      </c>
      <c r="D273" s="9" t="s">
        <v>599</v>
      </c>
      <c r="E273" s="9" t="s">
        <v>184</v>
      </c>
      <c r="F273" s="9" t="s">
        <v>55</v>
      </c>
      <c r="G273" s="10" t="s">
        <v>17</v>
      </c>
      <c r="H273" s="10" t="s">
        <v>17</v>
      </c>
      <c r="I273" s="10" t="s">
        <v>17</v>
      </c>
      <c r="J273" s="11" t="str">
        <f t="shared" ca="1" si="4"/>
        <v>/A.</v>
      </c>
      <c r="K273" s="10" t="str">
        <f ca="1">IFERROR(__xludf.dummyfunction("CONCATENATE(ArrayFormula(""; ""&amp;QUERY(Hallazgos!A:F,""SELECT B WHERE E CONTAINS '""&amp;B273&amp;""' LABEL B ''"")))"),"#N/A")</f>
        <v>#N/A</v>
      </c>
    </row>
    <row r="274" spans="1:11" x14ac:dyDescent="0.25">
      <c r="A274" s="7" t="s">
        <v>608</v>
      </c>
      <c r="B274" s="8" t="s">
        <v>609</v>
      </c>
      <c r="C274" s="9" t="s">
        <v>13</v>
      </c>
      <c r="D274" s="9" t="s">
        <v>599</v>
      </c>
      <c r="E274" s="9" t="s">
        <v>15</v>
      </c>
      <c r="F274" s="9" t="s">
        <v>55</v>
      </c>
      <c r="G274" s="10" t="s">
        <v>17</v>
      </c>
      <c r="H274" s="10" t="s">
        <v>17</v>
      </c>
      <c r="I274" s="10" t="s">
        <v>17</v>
      </c>
      <c r="J274" s="11" t="str">
        <f t="shared" ca="1" si="4"/>
        <v>/A.</v>
      </c>
      <c r="K274" s="10" t="str">
        <f ca="1">IFERROR(__xludf.dummyfunction("CONCATENATE(ArrayFormula(""; ""&amp;QUERY(Hallazgos!A:F,""SELECT B WHERE E CONTAINS '""&amp;B274&amp;""' LABEL B ''"")))"),"#N/A")</f>
        <v>#N/A</v>
      </c>
    </row>
    <row r="275" spans="1:11" x14ac:dyDescent="0.25">
      <c r="A275" s="7" t="s">
        <v>610</v>
      </c>
      <c r="B275" s="8" t="s">
        <v>611</v>
      </c>
      <c r="C275" s="9" t="s">
        <v>38</v>
      </c>
      <c r="D275" s="9" t="s">
        <v>599</v>
      </c>
      <c r="E275" s="9" t="s">
        <v>15</v>
      </c>
      <c r="F275" s="9" t="s">
        <v>55</v>
      </c>
      <c r="G275" s="10" t="s">
        <v>17</v>
      </c>
      <c r="H275" s="10" t="s">
        <v>17</v>
      </c>
      <c r="I275" s="10" t="s">
        <v>17</v>
      </c>
      <c r="J275" s="11" t="str">
        <f t="shared" ca="1" si="4"/>
        <v>/A.</v>
      </c>
      <c r="K275" s="10" t="str">
        <f ca="1">IFERROR(__xludf.dummyfunction("CONCATENATE(ArrayFormula(""; ""&amp;QUERY(Hallazgos!A:F,""SELECT B WHERE E CONTAINS '""&amp;B275&amp;""' LABEL B ''"")))"),"#N/A")</f>
        <v>#N/A</v>
      </c>
    </row>
    <row r="276" spans="1:11" x14ac:dyDescent="0.25">
      <c r="A276" s="7" t="s">
        <v>612</v>
      </c>
      <c r="B276" s="8" t="s">
        <v>613</v>
      </c>
      <c r="C276" s="9" t="s">
        <v>13</v>
      </c>
      <c r="D276" s="9" t="s">
        <v>599</v>
      </c>
      <c r="E276" s="9" t="s">
        <v>184</v>
      </c>
      <c r="F276" s="9" t="s">
        <v>55</v>
      </c>
      <c r="G276" s="10" t="s">
        <v>17</v>
      </c>
      <c r="H276" s="10" t="s">
        <v>17</v>
      </c>
      <c r="I276" s="10" t="s">
        <v>17</v>
      </c>
      <c r="J276" s="11" t="str">
        <f t="shared" ca="1" si="4"/>
        <v>/A.</v>
      </c>
      <c r="K276" s="10" t="str">
        <f ca="1">IFERROR(__xludf.dummyfunction("CONCATENATE(ArrayFormula(""; ""&amp;QUERY(Hallazgos!A:F,""SELECT B WHERE E CONTAINS '""&amp;B276&amp;""' LABEL B ''"")))"),"#N/A")</f>
        <v>#N/A</v>
      </c>
    </row>
    <row r="277" spans="1:11" x14ac:dyDescent="0.25">
      <c r="A277" s="7" t="s">
        <v>614</v>
      </c>
      <c r="B277" s="8" t="s">
        <v>615</v>
      </c>
      <c r="C277" s="9" t="s">
        <v>13</v>
      </c>
      <c r="D277" s="9" t="s">
        <v>599</v>
      </c>
      <c r="E277" s="9" t="s">
        <v>184</v>
      </c>
      <c r="F277" s="9" t="s">
        <v>55</v>
      </c>
      <c r="G277" s="10" t="s">
        <v>17</v>
      </c>
      <c r="H277" s="10" t="s">
        <v>17</v>
      </c>
      <c r="I277" s="10" t="s">
        <v>17</v>
      </c>
      <c r="J277" s="11" t="str">
        <f t="shared" ca="1" si="4"/>
        <v>/A.</v>
      </c>
      <c r="K277" s="10" t="str">
        <f ca="1">IFERROR(__xludf.dummyfunction("CONCATENATE(ArrayFormula(""; ""&amp;QUERY(Hallazgos!A:F,""SELECT B WHERE E CONTAINS '""&amp;B277&amp;""' LABEL B ''"")))"),"#N/A")</f>
        <v>#N/A</v>
      </c>
    </row>
    <row r="278" spans="1:11" x14ac:dyDescent="0.25">
      <c r="A278" s="7" t="s">
        <v>616</v>
      </c>
      <c r="B278" s="8" t="s">
        <v>617</v>
      </c>
      <c r="C278" s="9" t="s">
        <v>13</v>
      </c>
      <c r="D278" s="9" t="s">
        <v>599</v>
      </c>
      <c r="E278" s="9" t="s">
        <v>81</v>
      </c>
      <c r="F278" s="9" t="s">
        <v>55</v>
      </c>
      <c r="G278" s="10" t="s">
        <v>17</v>
      </c>
      <c r="H278" s="10" t="s">
        <v>17</v>
      </c>
      <c r="I278" s="10" t="s">
        <v>17</v>
      </c>
      <c r="J278" s="11" t="str">
        <f t="shared" ca="1" si="4"/>
        <v>/A.</v>
      </c>
      <c r="K278" s="10" t="str">
        <f ca="1">IFERROR(__xludf.dummyfunction("CONCATENATE(ArrayFormula(""; ""&amp;QUERY(Hallazgos!A:F,""SELECT B WHERE E CONTAINS '""&amp;B278&amp;""' LABEL B ''"")))"),"#N/A")</f>
        <v>#N/A</v>
      </c>
    </row>
    <row r="279" spans="1:11" x14ac:dyDescent="0.25">
      <c r="A279" s="7" t="s">
        <v>618</v>
      </c>
      <c r="B279" s="8" t="s">
        <v>619</v>
      </c>
      <c r="C279" s="9" t="s">
        <v>13</v>
      </c>
      <c r="D279" s="9" t="s">
        <v>599</v>
      </c>
      <c r="E279" s="9" t="s">
        <v>98</v>
      </c>
      <c r="F279" s="9" t="s">
        <v>55</v>
      </c>
      <c r="G279" s="10" t="s">
        <v>17</v>
      </c>
      <c r="H279" s="10" t="s">
        <v>17</v>
      </c>
      <c r="I279" s="10" t="s">
        <v>17</v>
      </c>
      <c r="J279" s="11" t="str">
        <f t="shared" ca="1" si="4"/>
        <v>/A.</v>
      </c>
      <c r="K279" s="10" t="str">
        <f ca="1">IFERROR(__xludf.dummyfunction("CONCATENATE(ArrayFormula(""; ""&amp;QUERY(Hallazgos!A:F,""SELECT B WHERE E CONTAINS '""&amp;B279&amp;""' LABEL B ''"")))"),"#N/A")</f>
        <v>#N/A</v>
      </c>
    </row>
    <row r="280" spans="1:11" x14ac:dyDescent="0.25">
      <c r="A280" s="7" t="s">
        <v>620</v>
      </c>
      <c r="B280" s="8" t="s">
        <v>621</v>
      </c>
      <c r="C280" s="9" t="s">
        <v>13</v>
      </c>
      <c r="D280" s="9" t="s">
        <v>599</v>
      </c>
      <c r="E280" s="9" t="s">
        <v>98</v>
      </c>
      <c r="F280" s="9" t="s">
        <v>55</v>
      </c>
      <c r="G280" s="10" t="s">
        <v>17</v>
      </c>
      <c r="H280" s="10" t="s">
        <v>17</v>
      </c>
      <c r="I280" s="10" t="s">
        <v>17</v>
      </c>
      <c r="J280" s="11" t="str">
        <f t="shared" ca="1" si="4"/>
        <v>/A.</v>
      </c>
      <c r="K280" s="10" t="str">
        <f ca="1">IFERROR(__xludf.dummyfunction("CONCATENATE(ArrayFormula(""; ""&amp;QUERY(Hallazgos!A:F,""SELECT B WHERE E CONTAINS '""&amp;B280&amp;""' LABEL B ''"")))"),"#N/A")</f>
        <v>#N/A</v>
      </c>
    </row>
    <row r="281" spans="1:11" x14ac:dyDescent="0.25">
      <c r="A281" s="7" t="s">
        <v>622</v>
      </c>
      <c r="B281" s="8" t="s">
        <v>623</v>
      </c>
      <c r="C281" s="9" t="s">
        <v>13</v>
      </c>
      <c r="D281" s="9" t="s">
        <v>599</v>
      </c>
      <c r="E281" s="9" t="s">
        <v>76</v>
      </c>
      <c r="F281" s="9" t="s">
        <v>104</v>
      </c>
      <c r="G281" s="10" t="s">
        <v>17</v>
      </c>
      <c r="H281" s="10" t="s">
        <v>17</v>
      </c>
      <c r="I281" s="10" t="s">
        <v>17</v>
      </c>
      <c r="J281" s="11" t="str">
        <f t="shared" ca="1" si="4"/>
        <v>/A.</v>
      </c>
      <c r="K281" s="10" t="str">
        <f ca="1">IFERROR(__xludf.dummyfunction("CONCATENATE(ArrayFormula(""; ""&amp;QUERY(Hallazgos!A:F,""SELECT B WHERE E CONTAINS '""&amp;B281&amp;""' LABEL B ''"")))"),"#N/A")</f>
        <v>#N/A</v>
      </c>
    </row>
    <row r="282" spans="1:11" x14ac:dyDescent="0.25">
      <c r="A282" s="7" t="s">
        <v>624</v>
      </c>
      <c r="B282" s="8" t="s">
        <v>625</v>
      </c>
      <c r="C282" s="9" t="s">
        <v>13</v>
      </c>
      <c r="D282" s="9" t="s">
        <v>599</v>
      </c>
      <c r="E282" s="9" t="s">
        <v>76</v>
      </c>
      <c r="F282" s="9" t="s">
        <v>104</v>
      </c>
      <c r="G282" s="10" t="s">
        <v>17</v>
      </c>
      <c r="H282" s="10" t="s">
        <v>17</v>
      </c>
      <c r="I282" s="10" t="s">
        <v>17</v>
      </c>
      <c r="J282" s="11" t="str">
        <f t="shared" ca="1" si="4"/>
        <v>/A.</v>
      </c>
      <c r="K282" s="10" t="str">
        <f ca="1">IFERROR(__xludf.dummyfunction("CONCATENATE(ArrayFormula(""; ""&amp;QUERY(Hallazgos!A:F,""SELECT B WHERE E CONTAINS '""&amp;B282&amp;""' LABEL B ''"")))"),"#N/A")</f>
        <v>#N/A</v>
      </c>
    </row>
    <row r="283" spans="1:11" x14ac:dyDescent="0.25">
      <c r="A283" s="7" t="s">
        <v>626</v>
      </c>
      <c r="B283" s="8" t="s">
        <v>627</v>
      </c>
      <c r="C283" s="9" t="s">
        <v>41</v>
      </c>
      <c r="D283" s="9" t="s">
        <v>599</v>
      </c>
      <c r="E283" s="9" t="s">
        <v>184</v>
      </c>
      <c r="F283" s="9" t="s">
        <v>55</v>
      </c>
      <c r="G283" s="10" t="s">
        <v>17</v>
      </c>
      <c r="H283" s="10" t="s">
        <v>17</v>
      </c>
      <c r="I283" s="10" t="s">
        <v>17</v>
      </c>
      <c r="J283" s="11" t="str">
        <f t="shared" ca="1" si="4"/>
        <v>/A.</v>
      </c>
      <c r="K283" s="10" t="str">
        <f ca="1">IFERROR(__xludf.dummyfunction("CONCATENATE(ArrayFormula(""; ""&amp;QUERY(Hallazgos!A:F,""SELECT B WHERE E CONTAINS '""&amp;B283&amp;""' LABEL B ''"")))"),"#N/A")</f>
        <v>#N/A</v>
      </c>
    </row>
    <row r="284" spans="1:11" x14ac:dyDescent="0.25">
      <c r="A284" s="7" t="s">
        <v>628</v>
      </c>
      <c r="B284" s="8" t="s">
        <v>629</v>
      </c>
      <c r="C284" s="9" t="s">
        <v>13</v>
      </c>
      <c r="D284" s="9" t="s">
        <v>599</v>
      </c>
      <c r="E284" s="9" t="s">
        <v>54</v>
      </c>
      <c r="F284" s="9" t="s">
        <v>55</v>
      </c>
      <c r="G284" s="10" t="s">
        <v>17</v>
      </c>
      <c r="H284" s="10" t="s">
        <v>17</v>
      </c>
      <c r="I284" s="10" t="s">
        <v>17</v>
      </c>
      <c r="J284" s="11" t="str">
        <f t="shared" ca="1" si="4"/>
        <v>/A.</v>
      </c>
      <c r="K284" s="10" t="str">
        <f ca="1">IFERROR(__xludf.dummyfunction("CONCATENATE(ArrayFormula(""; ""&amp;QUERY(Hallazgos!A:F,""SELECT B WHERE E CONTAINS '""&amp;B284&amp;""' LABEL B ''"")))"),"#N/A")</f>
        <v>#N/A</v>
      </c>
    </row>
    <row r="285" spans="1:11" x14ac:dyDescent="0.25">
      <c r="A285" s="7" t="s">
        <v>630</v>
      </c>
      <c r="B285" s="8" t="s">
        <v>631</v>
      </c>
      <c r="C285" s="9" t="s">
        <v>13</v>
      </c>
      <c r="D285" s="9" t="s">
        <v>599</v>
      </c>
      <c r="E285" s="9" t="s">
        <v>111</v>
      </c>
      <c r="F285" s="9" t="s">
        <v>55</v>
      </c>
      <c r="G285" s="10" t="s">
        <v>17</v>
      </c>
      <c r="H285" s="10" t="s">
        <v>17</v>
      </c>
      <c r="I285" s="10" t="s">
        <v>17</v>
      </c>
      <c r="J285" s="11" t="str">
        <f t="shared" ca="1" si="4"/>
        <v>/A.</v>
      </c>
      <c r="K285" s="10" t="str">
        <f ca="1">IFERROR(__xludf.dummyfunction("CONCATENATE(ArrayFormula(""; ""&amp;QUERY(Hallazgos!A:F,""SELECT B WHERE E CONTAINS '""&amp;B285&amp;""' LABEL B ''"")))"),"#N/A")</f>
        <v>#N/A</v>
      </c>
    </row>
    <row r="286" spans="1:11" x14ac:dyDescent="0.25">
      <c r="A286" s="7" t="s">
        <v>632</v>
      </c>
      <c r="B286" s="8" t="s">
        <v>633</v>
      </c>
      <c r="C286" s="9" t="s">
        <v>13</v>
      </c>
      <c r="D286" s="9" t="s">
        <v>599</v>
      </c>
      <c r="E286" s="9" t="s">
        <v>181</v>
      </c>
      <c r="F286" s="9" t="s">
        <v>55</v>
      </c>
      <c r="G286" s="10" t="s">
        <v>17</v>
      </c>
      <c r="H286" s="10" t="s">
        <v>17</v>
      </c>
      <c r="I286" s="10" t="s">
        <v>17</v>
      </c>
      <c r="J286" s="11" t="str">
        <f t="shared" ca="1" si="4"/>
        <v>/A.</v>
      </c>
      <c r="K286" s="10" t="str">
        <f ca="1">IFERROR(__xludf.dummyfunction("CONCATENATE(ArrayFormula(""; ""&amp;QUERY(Hallazgos!A:F,""SELECT B WHERE E CONTAINS '""&amp;B286&amp;""' LABEL B ''"")))"),"#N/A")</f>
        <v>#N/A</v>
      </c>
    </row>
    <row r="287" spans="1:11" x14ac:dyDescent="0.25">
      <c r="A287" s="7" t="s">
        <v>634</v>
      </c>
      <c r="B287" s="8" t="s">
        <v>635</v>
      </c>
      <c r="C287" s="9" t="s">
        <v>38</v>
      </c>
      <c r="D287" s="9" t="s">
        <v>599</v>
      </c>
      <c r="E287" s="9" t="s">
        <v>15</v>
      </c>
      <c r="F287" s="9" t="s">
        <v>44</v>
      </c>
      <c r="G287" s="10" t="s">
        <v>17</v>
      </c>
      <c r="H287" s="10" t="s">
        <v>17</v>
      </c>
      <c r="I287" s="10" t="s">
        <v>17</v>
      </c>
      <c r="J287" s="11" t="str">
        <f t="shared" ca="1" si="4"/>
        <v>/A.</v>
      </c>
      <c r="K287" s="10" t="str">
        <f ca="1">IFERROR(__xludf.dummyfunction("CONCATENATE(ArrayFormula(""; ""&amp;QUERY(Hallazgos!A:F,""SELECT B WHERE E CONTAINS '""&amp;B287&amp;""' LABEL B ''"")))"),"#N/A")</f>
        <v>#N/A</v>
      </c>
    </row>
    <row r="288" spans="1:11" x14ac:dyDescent="0.25">
      <c r="A288" s="7" t="s">
        <v>636</v>
      </c>
      <c r="B288" s="8" t="s">
        <v>637</v>
      </c>
      <c r="C288" s="9" t="s">
        <v>13</v>
      </c>
      <c r="D288" s="9" t="s">
        <v>599</v>
      </c>
      <c r="E288" s="9" t="s">
        <v>192</v>
      </c>
      <c r="F288" s="9" t="s">
        <v>55</v>
      </c>
      <c r="G288" s="10" t="s">
        <v>17</v>
      </c>
      <c r="H288" s="10" t="s">
        <v>17</v>
      </c>
      <c r="I288" s="10" t="s">
        <v>17</v>
      </c>
      <c r="J288" s="11" t="str">
        <f t="shared" ca="1" si="4"/>
        <v>/A.</v>
      </c>
      <c r="K288" s="10" t="str">
        <f ca="1">IFERROR(__xludf.dummyfunction("CONCATENATE(ArrayFormula(""; ""&amp;QUERY(Hallazgos!A:F,""SELECT B WHERE E CONTAINS '""&amp;B288&amp;""' LABEL B ''"")))"),"#N/A")</f>
        <v>#N/A</v>
      </c>
    </row>
    <row r="289" spans="1:11" x14ac:dyDescent="0.25">
      <c r="A289" s="7" t="s">
        <v>638</v>
      </c>
      <c r="B289" s="8" t="s">
        <v>639</v>
      </c>
      <c r="C289" s="9" t="s">
        <v>13</v>
      </c>
      <c r="D289" s="9" t="s">
        <v>599</v>
      </c>
      <c r="E289" s="9" t="s">
        <v>81</v>
      </c>
      <c r="F289" s="9" t="s">
        <v>55</v>
      </c>
      <c r="G289" s="10" t="s">
        <v>17</v>
      </c>
      <c r="H289" s="10" t="s">
        <v>17</v>
      </c>
      <c r="I289" s="10" t="s">
        <v>17</v>
      </c>
      <c r="J289" s="11" t="str">
        <f t="shared" ca="1" si="4"/>
        <v>/A.</v>
      </c>
      <c r="K289" s="10" t="str">
        <f ca="1">IFERROR(__xludf.dummyfunction("CONCATENATE(ArrayFormula(""; ""&amp;QUERY(Hallazgos!A:F,""SELECT B WHERE E CONTAINS '""&amp;B289&amp;""' LABEL B ''"")))"),"#N/A")</f>
        <v>#N/A</v>
      </c>
    </row>
    <row r="290" spans="1:11" x14ac:dyDescent="0.25">
      <c r="A290" s="7" t="s">
        <v>640</v>
      </c>
      <c r="B290" s="8" t="s">
        <v>641</v>
      </c>
      <c r="C290" s="9" t="s">
        <v>38</v>
      </c>
      <c r="D290" s="9" t="s">
        <v>599</v>
      </c>
      <c r="E290" s="9" t="s">
        <v>15</v>
      </c>
      <c r="F290" s="9" t="s">
        <v>104</v>
      </c>
      <c r="G290" s="10" t="s">
        <v>17</v>
      </c>
      <c r="H290" s="10" t="s">
        <v>17</v>
      </c>
      <c r="I290" s="10" t="s">
        <v>17</v>
      </c>
      <c r="J290" s="11" t="str">
        <f t="shared" ca="1" si="4"/>
        <v>/A.</v>
      </c>
      <c r="K290" s="10" t="str">
        <f ca="1">IFERROR(__xludf.dummyfunction("CONCATENATE(ArrayFormula(""; ""&amp;QUERY(Hallazgos!A:F,""SELECT B WHERE E CONTAINS '""&amp;B290&amp;""' LABEL B ''"")))"),"#N/A")</f>
        <v>#N/A</v>
      </c>
    </row>
    <row r="291" spans="1:11" x14ac:dyDescent="0.25">
      <c r="A291" s="7" t="s">
        <v>642</v>
      </c>
      <c r="B291" s="8" t="s">
        <v>643</v>
      </c>
      <c r="C291" s="9" t="s">
        <v>38</v>
      </c>
      <c r="D291" s="9" t="s">
        <v>599</v>
      </c>
      <c r="E291" s="9" t="s">
        <v>15</v>
      </c>
      <c r="F291" s="9" t="s">
        <v>104</v>
      </c>
      <c r="G291" s="10" t="s">
        <v>17</v>
      </c>
      <c r="H291" s="10" t="s">
        <v>17</v>
      </c>
      <c r="I291" s="10" t="s">
        <v>17</v>
      </c>
      <c r="J291" s="11" t="str">
        <f t="shared" ca="1" si="4"/>
        <v>/A.</v>
      </c>
      <c r="K291" s="10" t="str">
        <f ca="1">IFERROR(__xludf.dummyfunction("CONCATENATE(ArrayFormula(""; ""&amp;QUERY(Hallazgos!A:F,""SELECT B WHERE E CONTAINS '""&amp;B291&amp;""' LABEL B ''"")))"),"#N/A")</f>
        <v>#N/A</v>
      </c>
    </row>
    <row r="292" spans="1:11" x14ac:dyDescent="0.25">
      <c r="A292" s="7" t="s">
        <v>644</v>
      </c>
      <c r="B292" s="8" t="s">
        <v>645</v>
      </c>
      <c r="C292" s="9" t="s">
        <v>13</v>
      </c>
      <c r="D292" s="9" t="s">
        <v>599</v>
      </c>
      <c r="E292" s="9" t="s">
        <v>646</v>
      </c>
      <c r="F292" s="9" t="s">
        <v>55</v>
      </c>
      <c r="G292" s="10" t="s">
        <v>17</v>
      </c>
      <c r="H292" s="10" t="s">
        <v>17</v>
      </c>
      <c r="I292" s="10" t="s">
        <v>17</v>
      </c>
      <c r="J292" s="11" t="str">
        <f t="shared" ca="1" si="4"/>
        <v>/A.</v>
      </c>
      <c r="K292" s="10" t="str">
        <f ca="1">IFERROR(__xludf.dummyfunction("CONCATENATE(ArrayFormula(""; ""&amp;QUERY(Hallazgos!A:F,""SELECT B WHERE E CONTAINS '""&amp;B292&amp;""' LABEL B ''"")))"),"#N/A")</f>
        <v>#N/A</v>
      </c>
    </row>
    <row r="293" spans="1:11" x14ac:dyDescent="0.25">
      <c r="A293" s="7" t="s">
        <v>647</v>
      </c>
      <c r="B293" s="8" t="s">
        <v>648</v>
      </c>
      <c r="C293" s="9" t="s">
        <v>13</v>
      </c>
      <c r="D293" s="9" t="s">
        <v>599</v>
      </c>
      <c r="E293" s="9" t="s">
        <v>116</v>
      </c>
      <c r="F293" s="9" t="s">
        <v>55</v>
      </c>
      <c r="G293" s="10" t="s">
        <v>17</v>
      </c>
      <c r="H293" s="10" t="s">
        <v>17</v>
      </c>
      <c r="I293" s="10" t="s">
        <v>17</v>
      </c>
      <c r="J293" s="11" t="str">
        <f t="shared" ca="1" si="4"/>
        <v>/A.</v>
      </c>
      <c r="K293" s="10" t="str">
        <f ca="1">IFERROR(__xludf.dummyfunction("CONCATENATE(ArrayFormula(""; ""&amp;QUERY(Hallazgos!A:F,""SELECT B WHERE E CONTAINS '""&amp;B293&amp;""' LABEL B ''"")))"),"#N/A")</f>
        <v>#N/A</v>
      </c>
    </row>
    <row r="294" spans="1:11" x14ac:dyDescent="0.25">
      <c r="A294" s="7" t="s">
        <v>649</v>
      </c>
      <c r="B294" s="8" t="s">
        <v>650</v>
      </c>
      <c r="C294" s="9" t="s">
        <v>13</v>
      </c>
      <c r="D294" s="9" t="s">
        <v>599</v>
      </c>
      <c r="E294" s="9" t="s">
        <v>184</v>
      </c>
      <c r="F294" s="9" t="s">
        <v>104</v>
      </c>
      <c r="G294" s="10" t="s">
        <v>17</v>
      </c>
      <c r="H294" s="10" t="s">
        <v>17</v>
      </c>
      <c r="I294" s="10" t="s">
        <v>17</v>
      </c>
      <c r="J294" s="11" t="str">
        <f t="shared" ca="1" si="4"/>
        <v>/A.</v>
      </c>
      <c r="K294" s="10" t="str">
        <f ca="1">IFERROR(__xludf.dummyfunction("CONCATENATE(ArrayFormula(""; ""&amp;QUERY(Hallazgos!A:F,""SELECT B WHERE E CONTAINS '""&amp;B294&amp;""' LABEL B ''"")))"),"#N/A")</f>
        <v>#N/A</v>
      </c>
    </row>
    <row r="295" spans="1:11" x14ac:dyDescent="0.25">
      <c r="A295" s="7" t="s">
        <v>651</v>
      </c>
      <c r="B295" s="8" t="s">
        <v>652</v>
      </c>
      <c r="C295" s="9" t="s">
        <v>38</v>
      </c>
      <c r="D295" s="9" t="s">
        <v>599</v>
      </c>
      <c r="E295" s="9" t="s">
        <v>15</v>
      </c>
      <c r="F295" s="9" t="s">
        <v>55</v>
      </c>
      <c r="G295" s="10" t="s">
        <v>17</v>
      </c>
      <c r="H295" s="10" t="s">
        <v>17</v>
      </c>
      <c r="I295" s="10" t="s">
        <v>17</v>
      </c>
      <c r="J295" s="11" t="str">
        <f t="shared" ca="1" si="4"/>
        <v>/A.</v>
      </c>
      <c r="K295" s="10" t="str">
        <f ca="1">IFERROR(__xludf.dummyfunction("CONCATENATE(ArrayFormula(""; ""&amp;QUERY(Hallazgos!A:F,""SELECT B WHERE E CONTAINS '""&amp;B295&amp;""' LABEL B ''"")))"),"#N/A")</f>
        <v>#N/A</v>
      </c>
    </row>
    <row r="296" spans="1:11" x14ac:dyDescent="0.25">
      <c r="A296" s="7" t="s">
        <v>653</v>
      </c>
      <c r="B296" s="8" t="s">
        <v>654</v>
      </c>
      <c r="C296" s="9" t="s">
        <v>38</v>
      </c>
      <c r="D296" s="9" t="s">
        <v>599</v>
      </c>
      <c r="E296" s="9" t="s">
        <v>15</v>
      </c>
      <c r="F296" s="9" t="s">
        <v>55</v>
      </c>
      <c r="G296" s="10" t="s">
        <v>17</v>
      </c>
      <c r="H296" s="10" t="s">
        <v>17</v>
      </c>
      <c r="I296" s="10" t="s">
        <v>17</v>
      </c>
      <c r="J296" s="11"/>
      <c r="K296" s="3"/>
    </row>
    <row r="297" spans="1:11" x14ac:dyDescent="0.25">
      <c r="A297" s="7" t="s">
        <v>655</v>
      </c>
      <c r="B297" s="8" t="s">
        <v>656</v>
      </c>
      <c r="C297" s="9" t="s">
        <v>239</v>
      </c>
      <c r="D297" s="9" t="s">
        <v>657</v>
      </c>
      <c r="E297" s="9" t="s">
        <v>54</v>
      </c>
      <c r="F297" s="9" t="s">
        <v>55</v>
      </c>
      <c r="G297" s="10" t="s">
        <v>17</v>
      </c>
      <c r="H297" s="10" t="s">
        <v>17</v>
      </c>
      <c r="I297" s="10" t="s">
        <v>17</v>
      </c>
      <c r="J297" s="11"/>
      <c r="K297" s="3"/>
    </row>
    <row r="298" spans="1:11" x14ac:dyDescent="0.25">
      <c r="A298" s="7" t="s">
        <v>658</v>
      </c>
      <c r="B298" s="8" t="s">
        <v>659</v>
      </c>
      <c r="C298" s="9" t="s">
        <v>239</v>
      </c>
      <c r="D298" s="9" t="s">
        <v>657</v>
      </c>
      <c r="E298" s="9" t="s">
        <v>184</v>
      </c>
      <c r="F298" s="9" t="s">
        <v>55</v>
      </c>
      <c r="G298" s="10" t="s">
        <v>17</v>
      </c>
      <c r="H298" s="10" t="s">
        <v>17</v>
      </c>
      <c r="I298" s="10" t="s">
        <v>17</v>
      </c>
      <c r="J298" s="11"/>
      <c r="K298" s="3"/>
    </row>
    <row r="299" spans="1:11" x14ac:dyDescent="0.25">
      <c r="A299" s="7" t="s">
        <v>660</v>
      </c>
      <c r="B299" s="8" t="s">
        <v>661</v>
      </c>
      <c r="C299" s="9" t="s">
        <v>38</v>
      </c>
      <c r="D299" s="9" t="s">
        <v>657</v>
      </c>
      <c r="E299" s="9" t="s">
        <v>406</v>
      </c>
      <c r="F299" s="9" t="s">
        <v>55</v>
      </c>
      <c r="G299" s="10" t="s">
        <v>17</v>
      </c>
      <c r="H299" s="10" t="s">
        <v>17</v>
      </c>
      <c r="I299" s="10" t="s">
        <v>17</v>
      </c>
      <c r="J299" s="11"/>
      <c r="K299" s="3"/>
    </row>
    <row r="300" spans="1:11" x14ac:dyDescent="0.25">
      <c r="A300" s="7" t="s">
        <v>662</v>
      </c>
      <c r="B300" s="8" t="s">
        <v>663</v>
      </c>
      <c r="C300" s="9" t="s">
        <v>239</v>
      </c>
      <c r="D300" s="9" t="s">
        <v>657</v>
      </c>
      <c r="E300" s="9" t="s">
        <v>406</v>
      </c>
      <c r="F300" s="9" t="s">
        <v>55</v>
      </c>
      <c r="G300" s="10" t="s">
        <v>17</v>
      </c>
      <c r="H300" s="10" t="s">
        <v>17</v>
      </c>
      <c r="I300" s="10" t="s">
        <v>17</v>
      </c>
      <c r="J300" s="11"/>
      <c r="K300" s="3"/>
    </row>
    <row r="301" spans="1:11" x14ac:dyDescent="0.25">
      <c r="A301" s="7" t="s">
        <v>664</v>
      </c>
      <c r="B301" s="8" t="s">
        <v>665</v>
      </c>
      <c r="C301" s="9" t="s">
        <v>13</v>
      </c>
      <c r="D301" s="9" t="s">
        <v>399</v>
      </c>
      <c r="E301" s="9" t="s">
        <v>15</v>
      </c>
      <c r="F301" s="9" t="s">
        <v>55</v>
      </c>
      <c r="G301" s="10" t="s">
        <v>17</v>
      </c>
      <c r="H301" s="10" t="s">
        <v>17</v>
      </c>
      <c r="I301" s="10" t="s">
        <v>17</v>
      </c>
      <c r="J301" s="11"/>
      <c r="K301" s="3"/>
    </row>
    <row r="302" spans="1:11" x14ac:dyDescent="0.25">
      <c r="A302" s="7" t="s">
        <v>666</v>
      </c>
      <c r="B302" s="8" t="s">
        <v>667</v>
      </c>
      <c r="C302" s="9" t="s">
        <v>13</v>
      </c>
      <c r="D302" s="9" t="s">
        <v>399</v>
      </c>
      <c r="E302" s="9" t="s">
        <v>54</v>
      </c>
      <c r="F302" s="9" t="s">
        <v>44</v>
      </c>
      <c r="G302" s="10" t="s">
        <v>17</v>
      </c>
      <c r="H302" s="10" t="s">
        <v>17</v>
      </c>
      <c r="I302" s="10" t="s">
        <v>17</v>
      </c>
      <c r="J302" s="11"/>
      <c r="K302" s="3"/>
    </row>
    <row r="303" spans="1:11" x14ac:dyDescent="0.25">
      <c r="A303" s="7" t="s">
        <v>668</v>
      </c>
      <c r="B303" s="8" t="s">
        <v>669</v>
      </c>
      <c r="C303" s="9" t="s">
        <v>41</v>
      </c>
      <c r="D303" s="9" t="s">
        <v>352</v>
      </c>
      <c r="E303" s="9" t="s">
        <v>132</v>
      </c>
      <c r="F303" s="9" t="s">
        <v>73</v>
      </c>
      <c r="G303" s="10" t="s">
        <v>17</v>
      </c>
      <c r="H303" s="10" t="s">
        <v>17</v>
      </c>
      <c r="I303" s="10" t="s">
        <v>17</v>
      </c>
      <c r="J303" s="11"/>
      <c r="K303" s="3"/>
    </row>
    <row r="304" spans="1:11" x14ac:dyDescent="0.25">
      <c r="A304" s="7" t="s">
        <v>670</v>
      </c>
      <c r="B304" s="8" t="s">
        <v>671</v>
      </c>
      <c r="C304" s="9" t="s">
        <v>13</v>
      </c>
      <c r="D304" s="9" t="s">
        <v>461</v>
      </c>
      <c r="E304" s="9" t="s">
        <v>76</v>
      </c>
      <c r="F304" s="9" t="s">
        <v>104</v>
      </c>
      <c r="G304" s="10" t="s">
        <v>17</v>
      </c>
      <c r="H304" s="10" t="s">
        <v>17</v>
      </c>
      <c r="I304" s="10" t="s">
        <v>17</v>
      </c>
      <c r="J304" s="11"/>
      <c r="K304" s="3"/>
    </row>
    <row r="305" spans="1:11" x14ac:dyDescent="0.25">
      <c r="A305" s="7" t="s">
        <v>672</v>
      </c>
      <c r="B305" s="8" t="s">
        <v>673</v>
      </c>
      <c r="C305" s="9" t="s">
        <v>38</v>
      </c>
      <c r="D305" s="9" t="s">
        <v>14</v>
      </c>
      <c r="E305" s="9" t="s">
        <v>54</v>
      </c>
      <c r="F305" s="9" t="s">
        <v>55</v>
      </c>
      <c r="G305" s="10" t="s">
        <v>17</v>
      </c>
      <c r="H305" s="10" t="s">
        <v>17</v>
      </c>
      <c r="I305" s="10" t="s">
        <v>17</v>
      </c>
      <c r="J305" s="11"/>
      <c r="K305" s="3"/>
    </row>
    <row r="306" spans="1:11" x14ac:dyDescent="0.25">
      <c r="A306" s="7" t="s">
        <v>674</v>
      </c>
      <c r="B306" s="8" t="s">
        <v>675</v>
      </c>
      <c r="C306" s="9" t="s">
        <v>13</v>
      </c>
      <c r="D306" s="9" t="s">
        <v>399</v>
      </c>
      <c r="E306" s="9" t="s">
        <v>81</v>
      </c>
      <c r="F306" s="9" t="s">
        <v>55</v>
      </c>
      <c r="G306" s="10" t="s">
        <v>17</v>
      </c>
      <c r="H306" s="10" t="s">
        <v>17</v>
      </c>
      <c r="I306" s="10" t="s">
        <v>17</v>
      </c>
      <c r="J306" s="11"/>
      <c r="K306" s="3"/>
    </row>
    <row r="307" spans="1:11" x14ac:dyDescent="0.25">
      <c r="A307" s="7" t="s">
        <v>676</v>
      </c>
      <c r="B307" s="8" t="s">
        <v>677</v>
      </c>
      <c r="C307" s="9" t="s">
        <v>13</v>
      </c>
      <c r="D307" s="9" t="s">
        <v>399</v>
      </c>
      <c r="E307" s="9" t="s">
        <v>81</v>
      </c>
      <c r="F307" s="9" t="s">
        <v>55</v>
      </c>
      <c r="G307" s="10" t="s">
        <v>17</v>
      </c>
      <c r="H307" s="10" t="s">
        <v>17</v>
      </c>
      <c r="I307" s="10" t="s">
        <v>17</v>
      </c>
      <c r="J307" s="11"/>
      <c r="K307" s="3"/>
    </row>
    <row r="308" spans="1:11" x14ac:dyDescent="0.25">
      <c r="A308" s="7" t="s">
        <v>678</v>
      </c>
      <c r="B308" s="8" t="s">
        <v>679</v>
      </c>
      <c r="C308" s="9" t="s">
        <v>38</v>
      </c>
      <c r="D308" s="9" t="s">
        <v>58</v>
      </c>
      <c r="E308" s="9" t="s">
        <v>15</v>
      </c>
      <c r="F308" s="9" t="s">
        <v>55</v>
      </c>
      <c r="G308" s="10" t="s">
        <v>17</v>
      </c>
      <c r="H308" s="10" t="s">
        <v>17</v>
      </c>
      <c r="I308" s="10" t="s">
        <v>17</v>
      </c>
      <c r="J308" s="11"/>
      <c r="K308" s="3"/>
    </row>
    <row r="309" spans="1:11" x14ac:dyDescent="0.25">
      <c r="A309" s="7" t="s">
        <v>680</v>
      </c>
      <c r="B309" s="8" t="s">
        <v>681</v>
      </c>
      <c r="C309" s="9" t="s">
        <v>38</v>
      </c>
      <c r="D309" s="9" t="s">
        <v>58</v>
      </c>
      <c r="E309" s="9" t="s">
        <v>15</v>
      </c>
      <c r="F309" s="9" t="s">
        <v>55</v>
      </c>
      <c r="G309" s="10" t="s">
        <v>17</v>
      </c>
      <c r="H309" s="10" t="s">
        <v>17</v>
      </c>
      <c r="I309" s="10" t="s">
        <v>17</v>
      </c>
      <c r="J309" s="11"/>
      <c r="K309" s="3"/>
    </row>
    <row r="310" spans="1:11" x14ac:dyDescent="0.25">
      <c r="A310" s="7" t="s">
        <v>682</v>
      </c>
      <c r="B310" s="8" t="s">
        <v>683</v>
      </c>
      <c r="C310" s="9" t="s">
        <v>38</v>
      </c>
      <c r="D310" s="9" t="s">
        <v>58</v>
      </c>
      <c r="E310" s="9" t="s">
        <v>184</v>
      </c>
      <c r="F310" s="9" t="s">
        <v>55</v>
      </c>
      <c r="G310" s="10" t="s">
        <v>17</v>
      </c>
      <c r="H310" s="10" t="s">
        <v>17</v>
      </c>
      <c r="I310" s="10" t="s">
        <v>17</v>
      </c>
      <c r="J310" s="11"/>
      <c r="K310" s="3"/>
    </row>
    <row r="311" spans="1:11" x14ac:dyDescent="0.25">
      <c r="A311" s="13"/>
      <c r="B311" s="3"/>
      <c r="C311" s="14"/>
      <c r="D311" s="14"/>
      <c r="E311" s="14"/>
      <c r="F311" s="14"/>
      <c r="G311" s="3"/>
      <c r="H311" s="3"/>
      <c r="I311" s="3"/>
      <c r="J311" s="3"/>
      <c r="K311" s="3"/>
    </row>
    <row r="312" spans="1:11" x14ac:dyDescent="0.25">
      <c r="A312" s="13"/>
      <c r="B312" s="3"/>
      <c r="C312" s="14"/>
      <c r="D312" s="14"/>
      <c r="E312" s="14"/>
      <c r="F312" s="14"/>
      <c r="G312" s="3"/>
      <c r="H312" s="3"/>
      <c r="I312" s="3"/>
      <c r="J312" s="3"/>
      <c r="K312" s="3"/>
    </row>
    <row r="313" spans="1:11" x14ac:dyDescent="0.25">
      <c r="A313" s="13"/>
      <c r="B313" s="15" t="s">
        <v>684</v>
      </c>
      <c r="C313" s="16" t="s">
        <v>685</v>
      </c>
      <c r="D313" s="16" t="s">
        <v>686</v>
      </c>
      <c r="E313" s="14"/>
      <c r="F313" s="14"/>
      <c r="G313" s="3"/>
      <c r="H313" s="3"/>
      <c r="I313" s="3"/>
      <c r="J313" s="3"/>
      <c r="K313" s="3"/>
    </row>
    <row r="314" spans="1:11" x14ac:dyDescent="0.25">
      <c r="A314" s="13"/>
      <c r="B314" s="17" t="s">
        <v>687</v>
      </c>
      <c r="C314" s="10">
        <f>COUNTIF(G3:G310,"Sí")</f>
        <v>0</v>
      </c>
      <c r="D314" s="10">
        <f>COUNTIF(G3:G310,"No")</f>
        <v>0</v>
      </c>
      <c r="E314" s="14"/>
      <c r="F314" s="14"/>
      <c r="G314" s="3"/>
      <c r="H314" s="3"/>
      <c r="I314" s="3"/>
      <c r="J314" s="3"/>
      <c r="K314" s="3"/>
    </row>
    <row r="315" spans="1:11" x14ac:dyDescent="0.25">
      <c r="A315" s="13"/>
      <c r="B315" s="17" t="s">
        <v>688</v>
      </c>
      <c r="C315" s="10">
        <f>COUNTIF(H3:H310,"Sí")</f>
        <v>0</v>
      </c>
      <c r="D315" s="10">
        <f>COUNTIF(H3:H310,"No")</f>
        <v>0</v>
      </c>
      <c r="E315" s="14"/>
      <c r="F315" s="14"/>
      <c r="G315" s="3"/>
      <c r="H315" s="3"/>
      <c r="I315" s="3"/>
      <c r="J315" s="3"/>
      <c r="K315" s="3"/>
    </row>
    <row r="316" spans="1:11" x14ac:dyDescent="0.25">
      <c r="A316" s="13"/>
      <c r="B316" s="17" t="s">
        <v>689</v>
      </c>
      <c r="C316" s="10">
        <f>COUNTIF(I3:I310,"Sí")</f>
        <v>0</v>
      </c>
      <c r="D316" s="10">
        <f>COUNTIF(I3:I310,"No")</f>
        <v>0</v>
      </c>
      <c r="E316" s="14"/>
      <c r="F316" s="14"/>
      <c r="G316" s="3"/>
      <c r="H316" s="3"/>
      <c r="I316" s="3"/>
      <c r="J316" s="3"/>
      <c r="K316"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02"/>
  <sheetViews>
    <sheetView tabSelected="1" workbookViewId="0">
      <selection activeCell="D3" sqref="D3:D14"/>
    </sheetView>
  </sheetViews>
  <sheetFormatPr defaultRowHeight="15.75" x14ac:dyDescent="0.25"/>
  <cols>
    <col min="1" max="1" width="4.375" style="79" bestFit="1" customWidth="1"/>
    <col min="2" max="2" width="24.625" style="79" customWidth="1"/>
    <col min="3" max="3" width="22.25" style="79" customWidth="1"/>
    <col min="4" max="4" width="27.75" style="79" customWidth="1"/>
    <col min="5" max="5" width="28.375" style="79" customWidth="1"/>
    <col min="6" max="6" width="32.25" style="79" customWidth="1"/>
    <col min="7" max="7" width="25.5" style="83" customWidth="1"/>
    <col min="8" max="8" width="13.125" style="83" customWidth="1"/>
    <col min="9" max="9" width="10.125" style="79" customWidth="1"/>
    <col min="10" max="10" width="14" style="79" bestFit="1" customWidth="1"/>
    <col min="11" max="11" width="19.125" style="79" customWidth="1"/>
    <col min="12" max="12" width="11.625" style="79" customWidth="1"/>
    <col min="13" max="13" width="16" style="79" customWidth="1"/>
    <col min="14" max="14" width="22.375" style="79" customWidth="1"/>
    <col min="15" max="15" width="15.625" style="79" customWidth="1"/>
  </cols>
  <sheetData>
    <row r="1" spans="1:15" ht="22.5" x14ac:dyDescent="0.25">
      <c r="A1" s="90" t="s">
        <v>690</v>
      </c>
      <c r="B1" s="90"/>
      <c r="C1" s="90"/>
      <c r="D1" s="90"/>
      <c r="E1" s="90"/>
      <c r="F1" s="90"/>
      <c r="G1" s="90"/>
      <c r="H1" s="90"/>
      <c r="I1" s="90"/>
      <c r="J1" s="90"/>
      <c r="K1" s="90"/>
      <c r="L1" s="90"/>
      <c r="M1" s="90"/>
      <c r="N1" s="90"/>
      <c r="O1" s="90"/>
    </row>
    <row r="2" spans="1:15" ht="25.5" x14ac:dyDescent="0.25">
      <c r="A2" s="91" t="s">
        <v>691</v>
      </c>
      <c r="B2" s="92" t="s">
        <v>692</v>
      </c>
      <c r="C2" s="92" t="s">
        <v>693</v>
      </c>
      <c r="D2" s="92" t="s">
        <v>694</v>
      </c>
      <c r="E2" s="92" t="s">
        <v>695</v>
      </c>
      <c r="F2" s="92" t="s">
        <v>696</v>
      </c>
      <c r="G2" s="93" t="s">
        <v>697</v>
      </c>
      <c r="H2" s="93"/>
      <c r="I2" s="92" t="s">
        <v>698</v>
      </c>
      <c r="J2" s="92" t="s">
        <v>699</v>
      </c>
      <c r="K2" s="92" t="s">
        <v>700</v>
      </c>
      <c r="L2" s="92" t="s">
        <v>701</v>
      </c>
      <c r="M2" s="92" t="s">
        <v>702</v>
      </c>
      <c r="N2" s="92" t="s">
        <v>703</v>
      </c>
      <c r="O2" s="92" t="s">
        <v>704</v>
      </c>
    </row>
    <row r="3" spans="1:15" x14ac:dyDescent="0.25">
      <c r="A3" s="89">
        <v>1</v>
      </c>
      <c r="B3" s="85" t="s">
        <v>705</v>
      </c>
      <c r="C3" s="85" t="s">
        <v>17</v>
      </c>
      <c r="D3" s="85" t="s">
        <v>17</v>
      </c>
      <c r="E3" s="85" t="s">
        <v>17</v>
      </c>
      <c r="F3"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 s="82" t="str">
        <f>CVSSv3!$A$4</f>
        <v>Vector de ataque:</v>
      </c>
      <c r="H3" s="84" t="s">
        <v>706</v>
      </c>
      <c r="I3" s="88">
        <f>ROUNDUP((IF((IF(H7=CVSSv3!$C$8,(6.42*(1-((1-(IF(H8=CVSSv3!$C$9,CVSSv3!$C$22,(IF(H8=CVSSv3!$D$9,CVSSv3!$D$22,(IF(H8=CVSSv3!$E$9,CVSSv3!$E$22,"")))))))*(1-(IF(H9=CVSSv3!$C$10,CVSSv3!$C$23,(IF(H9=CVSSv3!$D$10,CVSSv3!$D$23,(IF(H9=CVSSv3!$E$10,CVSSv3!$E$23,"")))))))*(1-(IF(H10=CVSSv3!$C$11,CVSSv3!$C$24,(IF(H10=CVSSv3!$D$11,CVSSv3!$D$24,(IF(H10=CVSSv3!$E$11,CVSSv3!$E$24,"")))))))))),((7.52*((1-((1-(IF(H8=CVSSv3!$C$9,CVSSv3!$C$22,(IF(H8=CVSSv3!$D$9,CVSSv3!$D$22,(IF(H8=CVSSv3!$E$9,CVSSv3!$E$22,"")))))))*(1-(IF(H9=CVSSv3!$C$10,CVSSv3!$C$23,(IF(H9=CVSSv3!$D$10,CVSSv3!$D$23,(IF(H9=CVSSv3!$E$10,CVSSv3!$E$23,"")))))))*(1-(IF(H10=CVSSv3!$C$11,CVSSv3!$C$24,(IF(H10=CVSSv3!$D$11,CVSSv3!$D$24,(IF(H10=CVSSv3!$E$11,CVSSv3!$E$24,"")))))))))-0.029))-(3.25*POWER(((1-((1-(IF(H8=CVSSv3!$C$9,CVSSv3!$C$22,(IF(H8=CVSSv3!$D$9,CVSSv3!$D$22,(IF(H8=CVSSv3!$E$9,CVSSv3!$E$22,"")))))))*(1-(IF(H9=CVSSv3!$C$10,CVSSv3!$C$23,(IF(H9=CVSSv3!$D$10,CVSSv3!$D$23,(IF(H9=CVSSv3!$E$10,CVSSv3!$E$23,"")))))))*(1-(IF(H10=CVSSv3!$C$11,CVSSv3!$C$24,(IF(H10=CVSSv3!$D$11,CVSSv3!$D$24,(IF(H10=CVSSv3!$E$11,CVSSv3!$E$24,"")))))))))-0.02),15)))))&lt;=0,0,(IF(H7=CVSSv3!$C$8,ROUNDUP((MIN((IF(H7=CVSSv3!$C$8,(6.42*(1-((1-(IF(H8=CVSSv3!$C$9,CVSSv3!$C$22,(IF(H8=CVSSv3!$D$9,CVSSv3!$D$22,(IF(H8=CVSSv3!$E$9,CVSSv3!$E$22,"")))))))*(1-(IF(H9=CVSSv3!$C$10,CVSSv3!$C$23,(IF(H9=CVSSv3!$D$10,CVSSv3!$D$23,(IF(H9=CVSSv3!$E$10,CVSSv3!$E$23,"")))))))*(1-(IF(H10=CVSSv3!$C$11,CVSSv3!$C$24,(IF(H10=CVSSv3!$D$11,CVSSv3!$D$24,(IF(H10=CVSSv3!$E$11,CVSSv3!$E$24,"")))))))))),((7.52*((1-((1-(IF(H8=CVSSv3!$C$9,CVSSv3!$C$22,(IF(H8=CVSSv3!$D$9,CVSSv3!$D$22,(IF(H8=CVSSv3!$E$9,CVSSv3!$E$22,"")))))))*(1-(IF(H9=CVSSv3!$C$10,CVSSv3!$C$23,(IF(H9=CVSSv3!$D$10,CVSSv3!$D$23,(IF(H9=CVSSv3!$E$10,CVSSv3!$E$23,"")))))))*(1-(IF(H10=CVSSv3!$C$11,CVSSv3!$C$24,(IF(H10=CVSSv3!$D$11,CVSSv3!$D$24,(IF(H10=CVSSv3!$E$11,CVSSv3!$E$24,"")))))))))-0.029))-(3.25*POWER(((1-((1-(IF(H8=CVSSv3!$C$9,CVSSv3!$C$22,(IF(H8=CVSSv3!$D$9,CVSSv3!$D$22,(IF(H8=CVSSv3!$E$9,CVSSv3!$E$22,"")))))))*(1-(IF(H9=CVSSv3!$C$10,CVSSv3!$C$23,(IF(H9=CVSSv3!$D$10,CVSSv3!$D$23,(IF(H9=CVSSv3!$E$10,CVSSv3!$E$23,"")))))))*(1-(IF(H10=CVSSv3!$C$11,CVSSv3!$C$24,(IF(H10=CVSSv3!$D$11,CVSSv3!$D$24,(IF(H10=CVSSv3!$E$11,CVSSv3!$E$24,"")))))))))-0.02),15)))))+(8.22*(IF(H3=CVSSv3!$C$4,CVSSv3!$C$17,(IF(H3=CVSSv3!$D$4,CVSSv3!$D$17,(IF(H3=CVSSv3!$E$4,CVSSv3!$E$17,(IF(H3=CVSSv3!$F$4,CVSSv3!$F$17,""))))))))*(IF(H4=CVSSv3!$C$5,CVSSv3!$C$18,(IF(H4=CVSSv3!$D$5,CVSSv3!$D$18,""))))*(IF(H5=CVSSv3!$C$6,CVSSv3!$C$19,(IF(H5=CVSSv3!$D$6,(IF(H7=CVSSv3!$D$8,0.68,CVSSv3!$D$19)),(IF(H5=CVSSv3!$E$6,(IF(H7=CVSSv3!$D$8,0.5,CVSSv3!$E$19))))))))*(IF(H6=CVSSv3!$C$7,CVSSv3!$C$20,(IF(H6=CVSSv3!$D$7,CVSSv3!$D$20,""))))),10)),1),ROUNDUP((MIN(1.08*((IF(H7=CVSSv3!$C$8,(6.42*(1-((1-(IF(H8=CVSSv3!$C$9,CVSSv3!$C$22,(IF(H8=CVSSv3!$D$9,CVSSv3!$D$22,(IF(H8=CVSSv3!$E$9,CVSSv3!$E$22,"")))))))*(1-(IF(H9=CVSSv3!$C$10,CVSSv3!$C$23,(IF(H9=CVSSv3!$D$10,CVSSv3!$D$23,(IF(H9=CVSSv3!$E$10,CVSSv3!$E$23,"")))))))*(1-(IF(H10=CVSSv3!$C$11,CVSSv3!$C$24,(IF(H10=CVSSv3!$D$11,CVSSv3!$D$24,(IF(H10=CVSSv3!$E$11,CVSSv3!$E$24,"")))))))))),((7.52*((1-((1-(IF(H8=CVSSv3!$C$9,CVSSv3!$C$22,(IF(H8=CVSSv3!$D$9,CVSSv3!$D$22,(IF(H8=CVSSv3!$E$9,CVSSv3!$E$22,"")))))))*(1-(IF(H9=CVSSv3!$C$10,CVSSv3!$C$23,(IF(H9=CVSSv3!$D$10,CVSSv3!$D$23,(IF(H9=CVSSv3!$E$10,CVSSv3!$E$23,"")))))))*(1-(IF(H10=CVSSv3!$C$11,CVSSv3!$C$24,(IF(H10=CVSSv3!$D$11,CVSSv3!$D$24,(IF(H10=CVSSv3!$E$11,CVSSv3!$E$24,"")))))))))-0.029))-(3.25*POWER(((1-((1-(IF(H8=CVSSv3!$C$9,CVSSv3!$C$22,(IF(H8=CVSSv3!$D$9,CVSSv3!$D$22,(IF(H8=CVSSv3!$E$9,CVSSv3!$E$22,"")))))))*(1-(IF(H9=CVSSv3!$C$10,CVSSv3!$C$23,(IF(H9=CVSSv3!$D$10,CVSSv3!$D$23,(IF(H9=CVSSv3!$E$10,CVSSv3!$E$23,"")))))))*(1-(IF(H10=CVSSv3!$C$11,CVSSv3!$C$24,(IF(H10=CVSSv3!$D$11,CVSSv3!$D$24,(IF(H10=CVSSv3!$E$11,CVSSv3!$E$24,"")))))))))-0.02),15)))))+(8.22*(IF(H3=CVSSv3!$C$4,CVSSv3!$C$17,(IF(H3=CVSSv3!$D$4,CVSSv3!$D$17,(IF(H3=CVSSv3!$E$4,CVSSv3!$E$17,(IF(H3=CVSSv3!$F$4,CVSSv3!$F$17,""))))))))*(IF(H4=CVSSv3!$C$5,CVSSv3!$C$18,(IF(H4=CVSSv3!$D$5,CVSSv3!$D$18,""))))*(IF(H5=CVSSv3!$C$6,CVSSv3!$C$19,(IF(H5=CVSSv3!$D$6,(IF(H7=CVSSv3!$D$8,0.68,CVSSv3!$D$19)),(IF(H5=CVSSv3!$E$6,(IF(H7=CVSSv3!$D$8,0.5,CVSSv3!$E$19))))))))*(IF(H6=CVSSv3!$C$7,CVSSv3!$C$20,(IF(H6=CVSSv3!$D$7,CVSSv3!$D$20,"")))))),10)),1))))*(IF(H11=CVSSv3!$C$12,CVSSv3!$C$25,(IF(H11=CVSSv3!$D$12,CVSSv3!$D$25,(IF(H11=CVSSv3!$E$12,CVSSv3!$E$25,(IF(H11=CVSSv3!$F$12,CVSSv3!$F$25,""))))))))*(IF(H12=CVSSv3!$C$13,CVSSv3!$C$26,(IF(H12=CVSSv3!$D$13,CVSSv3!$D$26,(IF(H12=CVSSv3!$E$13,CVSSv3!$E$26,(IF(H12=CVSSv3!$F$13,CVSSv3!$F$26,""))))))))*(IF(H13=CVSSv3!$C$14,CVSSv3!$C$27,(IF(H13=CVSSv3!$D$14,CVSSv3!$D$27,(IF(H13=CVSSv3!$E$14,CVSSv3!$E$27,""))))))),1)</f>
        <v>9</v>
      </c>
      <c r="J3" s="89">
        <v>0</v>
      </c>
      <c r="K3" s="89">
        <v>0</v>
      </c>
      <c r="L3" s="85" t="s">
        <v>17</v>
      </c>
      <c r="M3" s="85" t="s">
        <v>17</v>
      </c>
      <c r="N3" s="85" t="s">
        <v>707</v>
      </c>
      <c r="O3" s="85" t="s">
        <v>708</v>
      </c>
    </row>
    <row r="4" spans="1:15" x14ac:dyDescent="0.25">
      <c r="A4" s="89"/>
      <c r="B4" s="85"/>
      <c r="C4" s="85"/>
      <c r="D4" s="85"/>
      <c r="E4" s="85"/>
      <c r="F4" s="85"/>
      <c r="G4" s="80" t="str">
        <f>CVSSv3!$A$5</f>
        <v>Complejidad de ataque:</v>
      </c>
      <c r="H4" s="81" t="s">
        <v>709</v>
      </c>
      <c r="I4" s="88"/>
      <c r="J4" s="89"/>
      <c r="K4" s="89"/>
      <c r="L4" s="85"/>
      <c r="M4" s="85"/>
      <c r="N4" s="85"/>
      <c r="O4" s="85"/>
    </row>
    <row r="5" spans="1:15" x14ac:dyDescent="0.25">
      <c r="A5" s="89"/>
      <c r="B5" s="85"/>
      <c r="C5" s="85"/>
      <c r="D5" s="85"/>
      <c r="E5" s="85"/>
      <c r="F5" s="85"/>
      <c r="G5" s="80" t="str">
        <f>CVSSv3!$A$6</f>
        <v>Privilegios requeridos:</v>
      </c>
      <c r="H5" s="81" t="s">
        <v>710</v>
      </c>
      <c r="I5" s="88"/>
      <c r="J5" s="89"/>
      <c r="K5" s="89"/>
      <c r="L5" s="85"/>
      <c r="M5" s="85"/>
      <c r="N5" s="85"/>
      <c r="O5" s="85"/>
    </row>
    <row r="6" spans="1:15" x14ac:dyDescent="0.25">
      <c r="A6" s="89"/>
      <c r="B6" s="85"/>
      <c r="C6" s="85"/>
      <c r="D6" s="85"/>
      <c r="E6" s="85"/>
      <c r="F6" s="85"/>
      <c r="G6" s="80" t="str">
        <f>CVSSv3!$A$7</f>
        <v>Interacción del usuario:</v>
      </c>
      <c r="H6" s="81" t="s">
        <v>711</v>
      </c>
      <c r="I6" s="88"/>
      <c r="J6" s="89"/>
      <c r="K6" s="89"/>
      <c r="L6" s="85"/>
      <c r="M6" s="85"/>
      <c r="N6" s="85"/>
      <c r="O6" s="85"/>
    </row>
    <row r="7" spans="1:15" x14ac:dyDescent="0.25">
      <c r="A7" s="89"/>
      <c r="B7" s="85"/>
      <c r="C7" s="85"/>
      <c r="D7" s="85"/>
      <c r="E7" s="85"/>
      <c r="F7" s="85"/>
      <c r="G7" s="80" t="str">
        <f>CVSSv3!$A$8</f>
        <v>Alcance:</v>
      </c>
      <c r="H7" s="81" t="s">
        <v>712</v>
      </c>
      <c r="I7" s="88"/>
      <c r="J7" s="89"/>
      <c r="K7" s="89"/>
      <c r="L7" s="85"/>
      <c r="M7" s="85"/>
      <c r="N7" s="85"/>
      <c r="O7" s="85"/>
    </row>
    <row r="8" spans="1:15" x14ac:dyDescent="0.25">
      <c r="A8" s="89"/>
      <c r="B8" s="85"/>
      <c r="C8" s="85"/>
      <c r="D8" s="85"/>
      <c r="E8" s="85"/>
      <c r="F8" s="85"/>
      <c r="G8" s="80" t="str">
        <f>CVSSv3!$A$9</f>
        <v>Impacto a la confidencialidad:</v>
      </c>
      <c r="H8" s="81" t="s">
        <v>713</v>
      </c>
      <c r="I8" s="88"/>
      <c r="J8" s="89"/>
      <c r="K8" s="89"/>
      <c r="L8" s="85"/>
      <c r="M8" s="85"/>
      <c r="N8" s="85"/>
      <c r="O8" s="85"/>
    </row>
    <row r="9" spans="1:15" x14ac:dyDescent="0.25">
      <c r="A9" s="89"/>
      <c r="B9" s="85"/>
      <c r="C9" s="85"/>
      <c r="D9" s="85"/>
      <c r="E9" s="85"/>
      <c r="F9" s="85"/>
      <c r="G9" s="80" t="str">
        <f>CVSSv3!$A$10</f>
        <v>Impacto a la integridad:</v>
      </c>
      <c r="H9" s="81" t="s">
        <v>713</v>
      </c>
      <c r="I9" s="88"/>
      <c r="J9" s="89"/>
      <c r="K9" s="89"/>
      <c r="L9" s="85"/>
      <c r="M9" s="85"/>
      <c r="N9" s="85"/>
      <c r="O9" s="85"/>
    </row>
    <row r="10" spans="1:15" x14ac:dyDescent="0.25">
      <c r="A10" s="89"/>
      <c r="B10" s="85"/>
      <c r="C10" s="85"/>
      <c r="D10" s="85"/>
      <c r="E10" s="85"/>
      <c r="F10" s="85"/>
      <c r="G10" s="80" t="str">
        <f>CVSSv3!$A$11</f>
        <v>Impacto a la disponibilidad:</v>
      </c>
      <c r="H10" s="81" t="s">
        <v>713</v>
      </c>
      <c r="I10" s="88"/>
      <c r="J10" s="89"/>
      <c r="K10" s="89"/>
      <c r="L10" s="85"/>
      <c r="M10" s="85"/>
      <c r="N10" s="85"/>
      <c r="O10" s="85"/>
    </row>
    <row r="11" spans="1:15" x14ac:dyDescent="0.25">
      <c r="A11" s="89"/>
      <c r="B11" s="85"/>
      <c r="C11" s="85"/>
      <c r="D11" s="85"/>
      <c r="E11" s="85"/>
      <c r="F11" s="85"/>
      <c r="G11" s="80" t="str">
        <f>CVSSv3!$A$12</f>
        <v>Explotabilidad:</v>
      </c>
      <c r="H11" s="81" t="s">
        <v>709</v>
      </c>
      <c r="I11" s="88"/>
      <c r="J11" s="89"/>
      <c r="K11" s="89"/>
      <c r="L11" s="85"/>
      <c r="M11" s="85"/>
      <c r="N11" s="85"/>
      <c r="O11" s="85"/>
    </row>
    <row r="12" spans="1:15" x14ac:dyDescent="0.25">
      <c r="A12" s="89"/>
      <c r="B12" s="85"/>
      <c r="C12" s="85"/>
      <c r="D12" s="85"/>
      <c r="E12" s="85"/>
      <c r="F12" s="85"/>
      <c r="G12" s="80" t="str">
        <f>CVSSv3!$A$13</f>
        <v>Nivel de resolución:</v>
      </c>
      <c r="H12" s="81" t="s">
        <v>714</v>
      </c>
      <c r="I12" s="88"/>
      <c r="J12" s="89"/>
      <c r="K12" s="89"/>
      <c r="L12" s="85"/>
      <c r="M12" s="85"/>
      <c r="N12" s="85"/>
      <c r="O12" s="85"/>
    </row>
    <row r="13" spans="1:15" x14ac:dyDescent="0.25">
      <c r="A13" s="89"/>
      <c r="B13" s="85"/>
      <c r="C13" s="85"/>
      <c r="D13" s="85"/>
      <c r="E13" s="85"/>
      <c r="F13" s="85"/>
      <c r="G13" s="80" t="str">
        <f>CVSSv3!$A$14</f>
        <v>Nivel de confianza</v>
      </c>
      <c r="H13" s="81" t="s">
        <v>715</v>
      </c>
      <c r="I13" s="88"/>
      <c r="J13" s="89"/>
      <c r="K13" s="89"/>
      <c r="L13" s="85"/>
      <c r="M13" s="85"/>
      <c r="N13" s="85"/>
      <c r="O13" s="85"/>
    </row>
    <row r="14" spans="1:15" x14ac:dyDescent="0.25">
      <c r="A14" s="89"/>
      <c r="B14" s="85"/>
      <c r="C14" s="85"/>
      <c r="D14" s="85"/>
      <c r="E14" s="85"/>
      <c r="F14" s="85"/>
      <c r="G14" s="86" t="str">
        <f>"("&amp;CVSSv3!$B$4&amp;":"&amp;IF(H3=CVSSv3!$C$4,CVSSv3!$C$30,IF(H3=CVSSv3!$D$4,CVSSv3!$D$30,IF(H3=CVSSv3!$E$4,CVSSv3!$E$30,IF(H3=CVSSv3!$F$4,CVSSv3!$F$30,""))))&amp;"/"&amp;CVSSv3!$B$5&amp;":"&amp;IF(H4=CVSSv3!$C$5,CVSSv3!$C$31,IF(H4=CVSSv3!$D$5,CVSSv3!$D$31,""))&amp;"/"&amp;CVSSv3!$B$6&amp;":"&amp;IF(H5=CVSSv3!$C$6,CVSSv3!$C$32,IF(H5=CVSSv3!$D$6,CVSSv3!$D$32,IF(H5=CVSSv3!$E$6,CVSSv3!$E$32,"")))&amp;"/"&amp;CVSSv3!$B$7&amp;":"&amp;IF(H6=CVSSv3!$C$7,CVSSv3!$C$33,IF(H6=CVSSv3!$D$7,CVSSv3!$D$33,""))&amp;"/"&amp;CVSSv3!$B$8&amp;":"&amp;IF(H7=CVSSv3!$C$8,CVSSv3!$C$34,IF(H7=CVSSv3!$D$8,CVSSv3!$D$34,""))&amp;"/"&amp;CVSSv3!$B$9&amp;":"&amp;IF(H8=CVSSv3!$C$9,CVSSv3!$C$35,IF(H8=CVSSv3!$D$9,CVSSv3!$D$35,IF(H8=CVSSv3!$E$9,CVSSv3!$E$35,"")))&amp;"/"&amp;CVSSv3!$B$10&amp;":"&amp;IF(H9=CVSSv3!$C$10,CVSSv3!$C$36,IF(H9=CVSSv3!$D$10,CVSSv3!$D$36,IF(H9=CVSSv3!$E$10,CVSSv3!$E$36,"")))&amp;"/"&amp;CVSSv3!$B$11&amp;":"&amp;IF(H10=CVSSv3!$C$11,CVSSv3!$C$37,IF(H10=CVSSv3!$D$11,CVSSv3!$D$37,IF(H10=CVSSv3!$E$11,CVSSv3!$E$37,"")))&amp;"/"&amp;CVSSv3!$B$12&amp;":"&amp;IF(H11=CVSSv3!$C$12,CVSSv3!$C$38,IF(H11=CVSSv3!$D$12,CVSSv3!$D$38,IF(H11=CVSSv3!$E$12,CVSSv3!$E$38,IF(H11=CVSSv3!$F$12,CVSSv3!$F$38,""))))&amp;"/"&amp;CVSSv3!$B$13&amp;":"&amp;IF(H12=CVSSv3!$C$13,CVSSv3!$C$39,IF(H12=CVSSv3!$D$13,CVSSv3!$D$39,IF(H12=CVSSv3!$E$13,CVSSv3!$E$39,IF(H12=CVSSv3!$F$13,CVSSv3!$F$39,""))))&amp;"/"&amp;CVSSv3!$B$14&amp;":"&amp;IF(H13=CVSSv3!$C$14,CVSSv3!$C$40,IF(H13=CVSSv3!$D$14,CVSSv3!$D$40,IF(H13=CVSSv3!$E$14,CVSSv3!$E$40,"")))&amp;")"</f>
        <v>(AV:N/AC:H/PR:N/UI:N/S:C/C:H/I:H/A:H/E:H/RL:U/RC:C)</v>
      </c>
      <c r="H14" s="87"/>
      <c r="I14" s="88"/>
      <c r="J14" s="89"/>
      <c r="K14" s="89"/>
      <c r="L14" s="85"/>
      <c r="M14" s="85"/>
      <c r="N14" s="85"/>
      <c r="O14" s="85"/>
    </row>
    <row r="15" spans="1:15" x14ac:dyDescent="0.25">
      <c r="A15" s="89">
        <v>2</v>
      </c>
      <c r="B15" s="85" t="s">
        <v>705</v>
      </c>
      <c r="C15" s="85" t="s">
        <v>17</v>
      </c>
      <c r="D15" s="85" t="s">
        <v>17</v>
      </c>
      <c r="E15" s="85" t="s">
        <v>17</v>
      </c>
      <c r="F15"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5" s="82" t="str">
        <f>CVSSv3!$A$4</f>
        <v>Vector de ataque:</v>
      </c>
      <c r="H15" s="84" t="s">
        <v>706</v>
      </c>
      <c r="I15" s="88">
        <f>ROUNDUP((IF((IF(H19=CVSSv3!$C$8,(6.42*(1-((1-(IF(H20=CVSSv3!$C$9,CVSSv3!$C$22,(IF(H20=CVSSv3!$D$9,CVSSv3!$D$22,(IF(H20=CVSSv3!$E$9,CVSSv3!$E$22,"")))))))*(1-(IF(H21=CVSSv3!$C$10,CVSSv3!$C$23,(IF(H21=CVSSv3!$D$10,CVSSv3!$D$23,(IF(H21=CVSSv3!$E$10,CVSSv3!$E$23,"")))))))*(1-(IF(H22=CVSSv3!$C$11,CVSSv3!$C$24,(IF(H22=CVSSv3!$D$11,CVSSv3!$D$24,(IF(H22=CVSSv3!$E$11,CVSSv3!$E$24,"")))))))))),((7.52*((1-((1-(IF(H20=CVSSv3!$C$9,CVSSv3!$C$22,(IF(H20=CVSSv3!$D$9,CVSSv3!$D$22,(IF(H20=CVSSv3!$E$9,CVSSv3!$E$22,"")))))))*(1-(IF(H21=CVSSv3!$C$10,CVSSv3!$C$23,(IF(H21=CVSSv3!$D$10,CVSSv3!$D$23,(IF(H21=CVSSv3!$E$10,CVSSv3!$E$23,"")))))))*(1-(IF(H22=CVSSv3!$C$11,CVSSv3!$C$24,(IF(H22=CVSSv3!$D$11,CVSSv3!$D$24,(IF(H22=CVSSv3!$E$11,CVSSv3!$E$24,"")))))))))-0.029))-(3.25*POWER(((1-((1-(IF(H20=CVSSv3!$C$9,CVSSv3!$C$22,(IF(H20=CVSSv3!$D$9,CVSSv3!$D$22,(IF(H20=CVSSv3!$E$9,CVSSv3!$E$22,"")))))))*(1-(IF(H21=CVSSv3!$C$10,CVSSv3!$C$23,(IF(H21=CVSSv3!$D$10,CVSSv3!$D$23,(IF(H21=CVSSv3!$E$10,CVSSv3!$E$23,"")))))))*(1-(IF(H22=CVSSv3!$C$11,CVSSv3!$C$24,(IF(H22=CVSSv3!$D$11,CVSSv3!$D$24,(IF(H22=CVSSv3!$E$11,CVSSv3!$E$24,"")))))))))-0.02),15)))))&lt;=0,0,(IF(H19=CVSSv3!$C$8,ROUNDUP((MIN((IF(H19=CVSSv3!$C$8,(6.42*(1-((1-(IF(H20=CVSSv3!$C$9,CVSSv3!$C$22,(IF(H20=CVSSv3!$D$9,CVSSv3!$D$22,(IF(H20=CVSSv3!$E$9,CVSSv3!$E$22,"")))))))*(1-(IF(H21=CVSSv3!$C$10,CVSSv3!$C$23,(IF(H21=CVSSv3!$D$10,CVSSv3!$D$23,(IF(H21=CVSSv3!$E$10,CVSSv3!$E$23,"")))))))*(1-(IF(H22=CVSSv3!$C$11,CVSSv3!$C$24,(IF(H22=CVSSv3!$D$11,CVSSv3!$D$24,(IF(H22=CVSSv3!$E$11,CVSSv3!$E$24,"")))))))))),((7.52*((1-((1-(IF(H20=CVSSv3!$C$9,CVSSv3!$C$22,(IF(H20=CVSSv3!$D$9,CVSSv3!$D$22,(IF(H20=CVSSv3!$E$9,CVSSv3!$E$22,"")))))))*(1-(IF(H21=CVSSv3!$C$10,CVSSv3!$C$23,(IF(H21=CVSSv3!$D$10,CVSSv3!$D$23,(IF(H21=CVSSv3!$E$10,CVSSv3!$E$23,"")))))))*(1-(IF(H22=CVSSv3!$C$11,CVSSv3!$C$24,(IF(H22=CVSSv3!$D$11,CVSSv3!$D$24,(IF(H22=CVSSv3!$E$11,CVSSv3!$E$24,"")))))))))-0.029))-(3.25*POWER(((1-((1-(IF(H20=CVSSv3!$C$9,CVSSv3!$C$22,(IF(H20=CVSSv3!$D$9,CVSSv3!$D$22,(IF(H20=CVSSv3!$E$9,CVSSv3!$E$22,"")))))))*(1-(IF(H21=CVSSv3!$C$10,CVSSv3!$C$23,(IF(H21=CVSSv3!$D$10,CVSSv3!$D$23,(IF(H21=CVSSv3!$E$10,CVSSv3!$E$23,"")))))))*(1-(IF(H22=CVSSv3!$C$11,CVSSv3!$C$24,(IF(H22=CVSSv3!$D$11,CVSSv3!$D$24,(IF(H22=CVSSv3!$E$11,CVSSv3!$E$24,"")))))))))-0.02),15)))))+(8.22*(IF(H15=CVSSv3!$C$4,CVSSv3!$C$17,(IF(H15=CVSSv3!$D$4,CVSSv3!$D$17,(IF(H15=CVSSv3!$E$4,CVSSv3!$E$17,(IF(H15=CVSSv3!$F$4,CVSSv3!$F$17,""))))))))*(IF(H16=CVSSv3!$C$5,CVSSv3!$C$18,(IF(H16=CVSSv3!$D$5,CVSSv3!$D$18,""))))*(IF(H17=CVSSv3!$C$6,CVSSv3!$C$19,(IF(H17=CVSSv3!$D$6,(IF(H19=CVSSv3!$D$8,0.68,CVSSv3!$D$19)),(IF(H17=CVSSv3!$E$6,(IF(H19=CVSSv3!$D$8,0.5,CVSSv3!$E$19))))))))*(IF(H18=CVSSv3!$C$7,CVSSv3!$C$20,(IF(H18=CVSSv3!$D$7,CVSSv3!$D$20,""))))),10)),1),ROUNDUP((MIN(1.08*((IF(H19=CVSSv3!$C$8,(6.42*(1-((1-(IF(H20=CVSSv3!$C$9,CVSSv3!$C$22,(IF(H20=CVSSv3!$D$9,CVSSv3!$D$22,(IF(H20=CVSSv3!$E$9,CVSSv3!$E$22,"")))))))*(1-(IF(H21=CVSSv3!$C$10,CVSSv3!$C$23,(IF(H21=CVSSv3!$D$10,CVSSv3!$D$23,(IF(H21=CVSSv3!$E$10,CVSSv3!$E$23,"")))))))*(1-(IF(H22=CVSSv3!$C$11,CVSSv3!$C$24,(IF(H22=CVSSv3!$D$11,CVSSv3!$D$24,(IF(H22=CVSSv3!$E$11,CVSSv3!$E$24,"")))))))))),((7.52*((1-((1-(IF(H20=CVSSv3!$C$9,CVSSv3!$C$22,(IF(H20=CVSSv3!$D$9,CVSSv3!$D$22,(IF(H20=CVSSv3!$E$9,CVSSv3!$E$22,"")))))))*(1-(IF(H21=CVSSv3!$C$10,CVSSv3!$C$23,(IF(H21=CVSSv3!$D$10,CVSSv3!$D$23,(IF(H21=CVSSv3!$E$10,CVSSv3!$E$23,"")))))))*(1-(IF(H22=CVSSv3!$C$11,CVSSv3!$C$24,(IF(H22=CVSSv3!$D$11,CVSSv3!$D$24,(IF(H22=CVSSv3!$E$11,CVSSv3!$E$24,"")))))))))-0.029))-(3.25*POWER(((1-((1-(IF(H20=CVSSv3!$C$9,CVSSv3!$C$22,(IF(H20=CVSSv3!$D$9,CVSSv3!$D$22,(IF(H20=CVSSv3!$E$9,CVSSv3!$E$22,"")))))))*(1-(IF(H21=CVSSv3!$C$10,CVSSv3!$C$23,(IF(H21=CVSSv3!$D$10,CVSSv3!$D$23,(IF(H21=CVSSv3!$E$10,CVSSv3!$E$23,"")))))))*(1-(IF(H22=CVSSv3!$C$11,CVSSv3!$C$24,(IF(H22=CVSSv3!$D$11,CVSSv3!$D$24,(IF(H22=CVSSv3!$E$11,CVSSv3!$E$24,"")))))))))-0.02),15)))))+(8.22*(IF(H15=CVSSv3!$C$4,CVSSv3!$C$17,(IF(H15=CVSSv3!$D$4,CVSSv3!$D$17,(IF(H15=CVSSv3!$E$4,CVSSv3!$E$17,(IF(H15=CVSSv3!$F$4,CVSSv3!$F$17,""))))))))*(IF(H16=CVSSv3!$C$5,CVSSv3!$C$18,(IF(H16=CVSSv3!$D$5,CVSSv3!$D$18,""))))*(IF(H17=CVSSv3!$C$6,CVSSv3!$C$19,(IF(H17=CVSSv3!$D$6,(IF(H19=CVSSv3!$D$8,0.68,CVSSv3!$D$19)),(IF(H17=CVSSv3!$E$6,(IF(H19=CVSSv3!$D$8,0.5,CVSSv3!$E$19))))))))*(IF(H18=CVSSv3!$C$7,CVSSv3!$C$20,(IF(H18=CVSSv3!$D$7,CVSSv3!$D$20,"")))))),10)),1))))*(IF(H23=CVSSv3!$C$12,CVSSv3!$C$25,(IF(H23=CVSSv3!$D$12,CVSSv3!$D$25,(IF(H23=CVSSv3!$E$12,CVSSv3!$E$25,(IF(H23=CVSSv3!$F$12,CVSSv3!$F$25,""))))))))*(IF(H24=CVSSv3!$C$13,CVSSv3!$C$26,(IF(H24=CVSSv3!$D$13,CVSSv3!$D$26,(IF(H24=CVSSv3!$E$13,CVSSv3!$E$26,(IF(H24=CVSSv3!$F$13,CVSSv3!$F$26,""))))))))*(IF(H25=CVSSv3!$C$14,CVSSv3!$C$27,(IF(H25=CVSSv3!$D$14,CVSSv3!$D$27,(IF(H25=CVSSv3!$E$14,CVSSv3!$E$27,""))))))),1)</f>
        <v>9</v>
      </c>
      <c r="J15" s="89">
        <v>0</v>
      </c>
      <c r="K15" s="89">
        <v>0</v>
      </c>
      <c r="L15" s="85" t="s">
        <v>17</v>
      </c>
      <c r="M15" s="85" t="s">
        <v>17</v>
      </c>
      <c r="N15" s="85" t="s">
        <v>707</v>
      </c>
      <c r="O15" s="85" t="s">
        <v>708</v>
      </c>
    </row>
    <row r="16" spans="1:15" x14ac:dyDescent="0.25">
      <c r="A16" s="89"/>
      <c r="B16" s="85"/>
      <c r="C16" s="85"/>
      <c r="D16" s="85"/>
      <c r="E16" s="85"/>
      <c r="F16" s="85"/>
      <c r="G16" s="80" t="str">
        <f>CVSSv3!$A$5</f>
        <v>Complejidad de ataque:</v>
      </c>
      <c r="H16" s="81" t="s">
        <v>709</v>
      </c>
      <c r="I16" s="88"/>
      <c r="J16" s="89"/>
      <c r="K16" s="89"/>
      <c r="L16" s="85"/>
      <c r="M16" s="85"/>
      <c r="N16" s="85"/>
      <c r="O16" s="85"/>
    </row>
    <row r="17" spans="1:15" x14ac:dyDescent="0.25">
      <c r="A17" s="89"/>
      <c r="B17" s="85"/>
      <c r="C17" s="85"/>
      <c r="D17" s="85"/>
      <c r="E17" s="85"/>
      <c r="F17" s="85"/>
      <c r="G17" s="80" t="str">
        <f>CVSSv3!$A$6</f>
        <v>Privilegios requeridos:</v>
      </c>
      <c r="H17" s="81" t="s">
        <v>710</v>
      </c>
      <c r="I17" s="88"/>
      <c r="J17" s="89"/>
      <c r="K17" s="89"/>
      <c r="L17" s="85"/>
      <c r="M17" s="85"/>
      <c r="N17" s="85"/>
      <c r="O17" s="85"/>
    </row>
    <row r="18" spans="1:15" x14ac:dyDescent="0.25">
      <c r="A18" s="89"/>
      <c r="B18" s="85"/>
      <c r="C18" s="85"/>
      <c r="D18" s="85"/>
      <c r="E18" s="85"/>
      <c r="F18" s="85"/>
      <c r="G18" s="80" t="str">
        <f>CVSSv3!$A$7</f>
        <v>Interacción del usuario:</v>
      </c>
      <c r="H18" s="81" t="s">
        <v>711</v>
      </c>
      <c r="I18" s="88"/>
      <c r="J18" s="89"/>
      <c r="K18" s="89"/>
      <c r="L18" s="85"/>
      <c r="M18" s="85"/>
      <c r="N18" s="85"/>
      <c r="O18" s="85"/>
    </row>
    <row r="19" spans="1:15" x14ac:dyDescent="0.25">
      <c r="A19" s="89"/>
      <c r="B19" s="85"/>
      <c r="C19" s="85"/>
      <c r="D19" s="85"/>
      <c r="E19" s="85"/>
      <c r="F19" s="85"/>
      <c r="G19" s="80" t="str">
        <f>CVSSv3!$A$8</f>
        <v>Alcance:</v>
      </c>
      <c r="H19" s="81" t="s">
        <v>712</v>
      </c>
      <c r="I19" s="88"/>
      <c r="J19" s="89"/>
      <c r="K19" s="89"/>
      <c r="L19" s="85"/>
      <c r="M19" s="85"/>
      <c r="N19" s="85"/>
      <c r="O19" s="85"/>
    </row>
    <row r="20" spans="1:15" x14ac:dyDescent="0.25">
      <c r="A20" s="89"/>
      <c r="B20" s="85"/>
      <c r="C20" s="85"/>
      <c r="D20" s="85"/>
      <c r="E20" s="85"/>
      <c r="F20" s="85"/>
      <c r="G20" s="80" t="str">
        <f>CVSSv3!$A$9</f>
        <v>Impacto a la confidencialidad:</v>
      </c>
      <c r="H20" s="81" t="s">
        <v>713</v>
      </c>
      <c r="I20" s="88"/>
      <c r="J20" s="89"/>
      <c r="K20" s="89"/>
      <c r="L20" s="85"/>
      <c r="M20" s="85"/>
      <c r="N20" s="85"/>
      <c r="O20" s="85"/>
    </row>
    <row r="21" spans="1:15" x14ac:dyDescent="0.25">
      <c r="A21" s="89"/>
      <c r="B21" s="85"/>
      <c r="C21" s="85"/>
      <c r="D21" s="85"/>
      <c r="E21" s="85"/>
      <c r="F21" s="85"/>
      <c r="G21" s="80" t="str">
        <f>CVSSv3!$A$10</f>
        <v>Impacto a la integridad:</v>
      </c>
      <c r="H21" s="81" t="s">
        <v>713</v>
      </c>
      <c r="I21" s="88"/>
      <c r="J21" s="89"/>
      <c r="K21" s="89"/>
      <c r="L21" s="85"/>
      <c r="M21" s="85"/>
      <c r="N21" s="85"/>
      <c r="O21" s="85"/>
    </row>
    <row r="22" spans="1:15" x14ac:dyDescent="0.25">
      <c r="A22" s="89"/>
      <c r="B22" s="85"/>
      <c r="C22" s="85"/>
      <c r="D22" s="85"/>
      <c r="E22" s="85"/>
      <c r="F22" s="85"/>
      <c r="G22" s="80" t="str">
        <f>CVSSv3!$A$11</f>
        <v>Impacto a la disponibilidad:</v>
      </c>
      <c r="H22" s="81" t="s">
        <v>713</v>
      </c>
      <c r="I22" s="88"/>
      <c r="J22" s="89"/>
      <c r="K22" s="89"/>
      <c r="L22" s="85"/>
      <c r="M22" s="85"/>
      <c r="N22" s="85"/>
      <c r="O22" s="85"/>
    </row>
    <row r="23" spans="1:15" x14ac:dyDescent="0.25">
      <c r="A23" s="89"/>
      <c r="B23" s="85"/>
      <c r="C23" s="85"/>
      <c r="D23" s="85"/>
      <c r="E23" s="85"/>
      <c r="F23" s="85"/>
      <c r="G23" s="80" t="str">
        <f>CVSSv3!$A$12</f>
        <v>Explotabilidad:</v>
      </c>
      <c r="H23" s="81" t="s">
        <v>709</v>
      </c>
      <c r="I23" s="88"/>
      <c r="J23" s="89"/>
      <c r="K23" s="89"/>
      <c r="L23" s="85"/>
      <c r="M23" s="85"/>
      <c r="N23" s="85"/>
      <c r="O23" s="85"/>
    </row>
    <row r="24" spans="1:15" x14ac:dyDescent="0.25">
      <c r="A24" s="89"/>
      <c r="B24" s="85"/>
      <c r="C24" s="85"/>
      <c r="D24" s="85"/>
      <c r="E24" s="85"/>
      <c r="F24" s="85"/>
      <c r="G24" s="80" t="str">
        <f>CVSSv3!$A$13</f>
        <v>Nivel de resolución:</v>
      </c>
      <c r="H24" s="81" t="s">
        <v>714</v>
      </c>
      <c r="I24" s="88"/>
      <c r="J24" s="89"/>
      <c r="K24" s="89"/>
      <c r="L24" s="85"/>
      <c r="M24" s="85"/>
      <c r="N24" s="85"/>
      <c r="O24" s="85"/>
    </row>
    <row r="25" spans="1:15" x14ac:dyDescent="0.25">
      <c r="A25" s="89"/>
      <c r="B25" s="85"/>
      <c r="C25" s="85"/>
      <c r="D25" s="85"/>
      <c r="E25" s="85"/>
      <c r="F25" s="85"/>
      <c r="G25" s="80" t="str">
        <f>CVSSv3!$A$14</f>
        <v>Nivel de confianza</v>
      </c>
      <c r="H25" s="81" t="s">
        <v>715</v>
      </c>
      <c r="I25" s="88"/>
      <c r="J25" s="89"/>
      <c r="K25" s="89"/>
      <c r="L25" s="85"/>
      <c r="M25" s="85"/>
      <c r="N25" s="85"/>
      <c r="O25" s="85"/>
    </row>
    <row r="26" spans="1:15" x14ac:dyDescent="0.25">
      <c r="A26" s="89"/>
      <c r="B26" s="85"/>
      <c r="C26" s="85"/>
      <c r="D26" s="85"/>
      <c r="E26" s="85"/>
      <c r="F26" s="85"/>
      <c r="G26" s="86" t="str">
        <f>"("&amp;CVSSv3!$B$4&amp;":"&amp;IF(H15=CVSSv3!$C$4,CVSSv3!$C$30,IF(H15=CVSSv3!$D$4,CVSSv3!$D$30,IF(H15=CVSSv3!$E$4,CVSSv3!$E$30,IF(H15=CVSSv3!$F$4,CVSSv3!$F$30,""))))&amp;"/"&amp;CVSSv3!$B$5&amp;":"&amp;IF(H16=CVSSv3!$C$5,CVSSv3!$C$31,IF(H16=CVSSv3!$D$5,CVSSv3!$D$31,""))&amp;"/"&amp;CVSSv3!$B$6&amp;":"&amp;IF(H17=CVSSv3!$C$6,CVSSv3!$C$32,IF(H17=CVSSv3!$D$6,CVSSv3!$D$32,IF(H17=CVSSv3!$E$6,CVSSv3!$E$32,"")))&amp;"/"&amp;CVSSv3!$B$7&amp;":"&amp;IF(H18=CVSSv3!$C$7,CVSSv3!$C$33,IF(H18=CVSSv3!$D$7,CVSSv3!$D$33,""))&amp;"/"&amp;CVSSv3!$B$8&amp;":"&amp;IF(H19=CVSSv3!$C$8,CVSSv3!$C$34,IF(H19=CVSSv3!$D$8,CVSSv3!$D$34,""))&amp;"/"&amp;CVSSv3!$B$9&amp;":"&amp;IF(H20=CVSSv3!$C$9,CVSSv3!$C$35,IF(H20=CVSSv3!$D$9,CVSSv3!$D$35,IF(H20=CVSSv3!$E$9,CVSSv3!$E$35,"")))&amp;"/"&amp;CVSSv3!$B$10&amp;":"&amp;IF(H21=CVSSv3!$C$10,CVSSv3!$C$36,IF(H21=CVSSv3!$D$10,CVSSv3!$D$36,IF(H21=CVSSv3!$E$10,CVSSv3!$E$36,"")))&amp;"/"&amp;CVSSv3!$B$11&amp;":"&amp;IF(H22=CVSSv3!$C$11,CVSSv3!$C$37,IF(H22=CVSSv3!$D$11,CVSSv3!$D$37,IF(H22=CVSSv3!$E$11,CVSSv3!$E$37,"")))&amp;"/"&amp;CVSSv3!$B$12&amp;":"&amp;IF(H23=CVSSv3!$C$12,CVSSv3!$C$38,IF(H23=CVSSv3!$D$12,CVSSv3!$D$38,IF(H23=CVSSv3!$E$12,CVSSv3!$E$38,IF(H23=CVSSv3!$F$12,CVSSv3!$F$38,""))))&amp;"/"&amp;CVSSv3!$B$13&amp;":"&amp;IF(H24=CVSSv3!$C$13,CVSSv3!$C$39,IF(H24=CVSSv3!$D$13,CVSSv3!$D$39,IF(H24=CVSSv3!$E$13,CVSSv3!$E$39,IF(H24=CVSSv3!$F$13,CVSSv3!$F$39,""))))&amp;"/"&amp;CVSSv3!$B$14&amp;":"&amp;IF(H25=CVSSv3!$C$14,CVSSv3!$C$40,IF(H25=CVSSv3!$D$14,CVSSv3!$D$40,IF(H25=CVSSv3!$E$14,CVSSv3!$E$40,"")))&amp;")"</f>
        <v>(AV:N/AC:H/PR:N/UI:N/S:C/C:H/I:H/A:H/E:H/RL:U/RC:C)</v>
      </c>
      <c r="H26" s="87"/>
      <c r="I26" s="88"/>
      <c r="J26" s="89"/>
      <c r="K26" s="89"/>
      <c r="L26" s="85"/>
      <c r="M26" s="85"/>
      <c r="N26" s="85"/>
      <c r="O26" s="85"/>
    </row>
    <row r="27" spans="1:15" x14ac:dyDescent="0.25">
      <c r="A27" s="89">
        <v>3</v>
      </c>
      <c r="B27" s="85" t="s">
        <v>716</v>
      </c>
      <c r="C27" s="85" t="s">
        <v>17</v>
      </c>
      <c r="D27" s="85" t="s">
        <v>17</v>
      </c>
      <c r="E27" s="85" t="s">
        <v>17</v>
      </c>
      <c r="F27"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7" s="82" t="str">
        <f>CVSSv3!$A$4</f>
        <v>Vector de ataque:</v>
      </c>
      <c r="H27" s="84" t="s">
        <v>706</v>
      </c>
      <c r="I27" s="88">
        <f>ROUNDUP((IF((IF(H31=CVSSv3!$C$8,(6.42*(1-((1-(IF(H32=CVSSv3!$C$9,CVSSv3!$C$22,(IF(H32=CVSSv3!$D$9,CVSSv3!$D$22,(IF(H32=CVSSv3!$E$9,CVSSv3!$E$22,"")))))))*(1-(IF(H33=CVSSv3!$C$10,CVSSv3!$C$23,(IF(H33=CVSSv3!$D$10,CVSSv3!$D$23,(IF(H33=CVSSv3!$E$10,CVSSv3!$E$23,"")))))))*(1-(IF(H34=CVSSv3!$C$11,CVSSv3!$C$24,(IF(H34=CVSSv3!$D$11,CVSSv3!$D$24,(IF(H34=CVSSv3!$E$11,CVSSv3!$E$24,"")))))))))),((7.52*((1-((1-(IF(H32=CVSSv3!$C$9,CVSSv3!$C$22,(IF(H32=CVSSv3!$D$9,CVSSv3!$D$22,(IF(H32=CVSSv3!$E$9,CVSSv3!$E$22,"")))))))*(1-(IF(H33=CVSSv3!$C$10,CVSSv3!$C$23,(IF(H33=CVSSv3!$D$10,CVSSv3!$D$23,(IF(H33=CVSSv3!$E$10,CVSSv3!$E$23,"")))))))*(1-(IF(H34=CVSSv3!$C$11,CVSSv3!$C$24,(IF(H34=CVSSv3!$D$11,CVSSv3!$D$24,(IF(H34=CVSSv3!$E$11,CVSSv3!$E$24,"")))))))))-0.029))-(3.25*POWER(((1-((1-(IF(H32=CVSSv3!$C$9,CVSSv3!$C$22,(IF(H32=CVSSv3!$D$9,CVSSv3!$D$22,(IF(H32=CVSSv3!$E$9,CVSSv3!$E$22,"")))))))*(1-(IF(H33=CVSSv3!$C$10,CVSSv3!$C$23,(IF(H33=CVSSv3!$D$10,CVSSv3!$D$23,(IF(H33=CVSSv3!$E$10,CVSSv3!$E$23,"")))))))*(1-(IF(H34=CVSSv3!$C$11,CVSSv3!$C$24,(IF(H34=CVSSv3!$D$11,CVSSv3!$D$24,(IF(H34=CVSSv3!$E$11,CVSSv3!$E$24,"")))))))))-0.02),15)))))&lt;=0,0,(IF(H31=CVSSv3!$C$8,ROUNDUP((MIN((IF(H31=CVSSv3!$C$8,(6.42*(1-((1-(IF(H32=CVSSv3!$C$9,CVSSv3!$C$22,(IF(H32=CVSSv3!$D$9,CVSSv3!$D$22,(IF(H32=CVSSv3!$E$9,CVSSv3!$E$22,"")))))))*(1-(IF(H33=CVSSv3!$C$10,CVSSv3!$C$23,(IF(H33=CVSSv3!$D$10,CVSSv3!$D$23,(IF(H33=CVSSv3!$E$10,CVSSv3!$E$23,"")))))))*(1-(IF(H34=CVSSv3!$C$11,CVSSv3!$C$24,(IF(H34=CVSSv3!$D$11,CVSSv3!$D$24,(IF(H34=CVSSv3!$E$11,CVSSv3!$E$24,"")))))))))),((7.52*((1-((1-(IF(H32=CVSSv3!$C$9,CVSSv3!$C$22,(IF(H32=CVSSv3!$D$9,CVSSv3!$D$22,(IF(H32=CVSSv3!$E$9,CVSSv3!$E$22,"")))))))*(1-(IF(H33=CVSSv3!$C$10,CVSSv3!$C$23,(IF(H33=CVSSv3!$D$10,CVSSv3!$D$23,(IF(H33=CVSSv3!$E$10,CVSSv3!$E$23,"")))))))*(1-(IF(H34=CVSSv3!$C$11,CVSSv3!$C$24,(IF(H34=CVSSv3!$D$11,CVSSv3!$D$24,(IF(H34=CVSSv3!$E$11,CVSSv3!$E$24,"")))))))))-0.029))-(3.25*POWER(((1-((1-(IF(H32=CVSSv3!$C$9,CVSSv3!$C$22,(IF(H32=CVSSv3!$D$9,CVSSv3!$D$22,(IF(H32=CVSSv3!$E$9,CVSSv3!$E$22,"")))))))*(1-(IF(H33=CVSSv3!$C$10,CVSSv3!$C$23,(IF(H33=CVSSv3!$D$10,CVSSv3!$D$23,(IF(H33=CVSSv3!$E$10,CVSSv3!$E$23,"")))))))*(1-(IF(H34=CVSSv3!$C$11,CVSSv3!$C$24,(IF(H34=CVSSv3!$D$11,CVSSv3!$D$24,(IF(H34=CVSSv3!$E$11,CVSSv3!$E$24,"")))))))))-0.02),15)))))+(8.22*(IF(H27=CVSSv3!$C$4,CVSSv3!$C$17,(IF(H27=CVSSv3!$D$4,CVSSv3!$D$17,(IF(H27=CVSSv3!$E$4,CVSSv3!$E$17,(IF(H27=CVSSv3!$F$4,CVSSv3!$F$17,""))))))))*(IF(H28=CVSSv3!$C$5,CVSSv3!$C$18,(IF(H28=CVSSv3!$D$5,CVSSv3!$D$18,""))))*(IF(H29=CVSSv3!$C$6,CVSSv3!$C$19,(IF(H29=CVSSv3!$D$6,(IF(H31=CVSSv3!$D$8,0.68,CVSSv3!$D$19)),(IF(H29=CVSSv3!$E$6,(IF(H31=CVSSv3!$D$8,0.5,CVSSv3!$E$19))))))))*(IF(H30=CVSSv3!$C$7,CVSSv3!$C$20,(IF(H30=CVSSv3!$D$7,CVSSv3!$D$20,""))))),10)),1),ROUNDUP((MIN(1.08*((IF(H31=CVSSv3!$C$8,(6.42*(1-((1-(IF(H32=CVSSv3!$C$9,CVSSv3!$C$22,(IF(H32=CVSSv3!$D$9,CVSSv3!$D$22,(IF(H32=CVSSv3!$E$9,CVSSv3!$E$22,"")))))))*(1-(IF(H33=CVSSv3!$C$10,CVSSv3!$C$23,(IF(H33=CVSSv3!$D$10,CVSSv3!$D$23,(IF(H33=CVSSv3!$E$10,CVSSv3!$E$23,"")))))))*(1-(IF(H34=CVSSv3!$C$11,CVSSv3!$C$24,(IF(H34=CVSSv3!$D$11,CVSSv3!$D$24,(IF(H34=CVSSv3!$E$11,CVSSv3!$E$24,"")))))))))),((7.52*((1-((1-(IF(H32=CVSSv3!$C$9,CVSSv3!$C$22,(IF(H32=CVSSv3!$D$9,CVSSv3!$D$22,(IF(H32=CVSSv3!$E$9,CVSSv3!$E$22,"")))))))*(1-(IF(H33=CVSSv3!$C$10,CVSSv3!$C$23,(IF(H33=CVSSv3!$D$10,CVSSv3!$D$23,(IF(H33=CVSSv3!$E$10,CVSSv3!$E$23,"")))))))*(1-(IF(H34=CVSSv3!$C$11,CVSSv3!$C$24,(IF(H34=CVSSv3!$D$11,CVSSv3!$D$24,(IF(H34=CVSSv3!$E$11,CVSSv3!$E$24,"")))))))))-0.029))-(3.25*POWER(((1-((1-(IF(H32=CVSSv3!$C$9,CVSSv3!$C$22,(IF(H32=CVSSv3!$D$9,CVSSv3!$D$22,(IF(H32=CVSSv3!$E$9,CVSSv3!$E$22,"")))))))*(1-(IF(H33=CVSSv3!$C$10,CVSSv3!$C$23,(IF(H33=CVSSv3!$D$10,CVSSv3!$D$23,(IF(H33=CVSSv3!$E$10,CVSSv3!$E$23,"")))))))*(1-(IF(H34=CVSSv3!$C$11,CVSSv3!$C$24,(IF(H34=CVSSv3!$D$11,CVSSv3!$D$24,(IF(H34=CVSSv3!$E$11,CVSSv3!$E$24,"")))))))))-0.02),15)))))+(8.22*(IF(H27=CVSSv3!$C$4,CVSSv3!$C$17,(IF(H27=CVSSv3!$D$4,CVSSv3!$D$17,(IF(H27=CVSSv3!$E$4,CVSSv3!$E$17,(IF(H27=CVSSv3!$F$4,CVSSv3!$F$17,""))))))))*(IF(H28=CVSSv3!$C$5,CVSSv3!$C$18,(IF(H28=CVSSv3!$D$5,CVSSv3!$D$18,""))))*(IF(H29=CVSSv3!$C$6,CVSSv3!$C$19,(IF(H29=CVSSv3!$D$6,(IF(H31=CVSSv3!$D$8,0.68,CVSSv3!$D$19)),(IF(H29=CVSSv3!$E$6,(IF(H31=CVSSv3!$D$8,0.5,CVSSv3!$E$19))))))))*(IF(H30=CVSSv3!$C$7,CVSSv3!$C$20,(IF(H30=CVSSv3!$D$7,CVSSv3!$D$20,"")))))),10)),1))))*(IF(H35=CVSSv3!$C$12,CVSSv3!$C$25,(IF(H35=CVSSv3!$D$12,CVSSv3!$D$25,(IF(H35=CVSSv3!$E$12,CVSSv3!$E$25,(IF(H35=CVSSv3!$F$12,CVSSv3!$F$25,""))))))))*(IF(H36=CVSSv3!$C$13,CVSSv3!$C$26,(IF(H36=CVSSv3!$D$13,CVSSv3!$D$26,(IF(H36=CVSSv3!$E$13,CVSSv3!$E$26,(IF(H36=CVSSv3!$F$13,CVSSv3!$F$26,""))))))))*(IF(H37=CVSSv3!$C$14,CVSSv3!$C$27,(IF(H37=CVSSv3!$D$14,CVSSv3!$D$27,(IF(H37=CVSSv3!$E$14,CVSSv3!$E$27,""))))))),1)</f>
        <v>9</v>
      </c>
      <c r="J27" s="89">
        <v>0</v>
      </c>
      <c r="K27" s="89">
        <v>0</v>
      </c>
      <c r="L27" s="85" t="s">
        <v>17</v>
      </c>
      <c r="M27" s="85" t="s">
        <v>17</v>
      </c>
      <c r="N27" s="85" t="s">
        <v>707</v>
      </c>
      <c r="O27" s="85" t="s">
        <v>708</v>
      </c>
    </row>
    <row r="28" spans="1:15" x14ac:dyDescent="0.25">
      <c r="A28" s="89"/>
      <c r="B28" s="85"/>
      <c r="C28" s="85"/>
      <c r="D28" s="85"/>
      <c r="E28" s="85"/>
      <c r="F28" s="85"/>
      <c r="G28" s="80" t="str">
        <f>CVSSv3!$A$5</f>
        <v>Complejidad de ataque:</v>
      </c>
      <c r="H28" s="81" t="s">
        <v>709</v>
      </c>
      <c r="I28" s="88"/>
      <c r="J28" s="89"/>
      <c r="K28" s="89"/>
      <c r="L28" s="85"/>
      <c r="M28" s="85"/>
      <c r="N28" s="85"/>
      <c r="O28" s="85"/>
    </row>
    <row r="29" spans="1:15" x14ac:dyDescent="0.25">
      <c r="A29" s="89"/>
      <c r="B29" s="85"/>
      <c r="C29" s="85"/>
      <c r="D29" s="85"/>
      <c r="E29" s="85"/>
      <c r="F29" s="85"/>
      <c r="G29" s="80" t="str">
        <f>CVSSv3!$A$6</f>
        <v>Privilegios requeridos:</v>
      </c>
      <c r="H29" s="81" t="s">
        <v>710</v>
      </c>
      <c r="I29" s="88"/>
      <c r="J29" s="89"/>
      <c r="K29" s="89"/>
      <c r="L29" s="85"/>
      <c r="M29" s="85"/>
      <c r="N29" s="85"/>
      <c r="O29" s="85"/>
    </row>
    <row r="30" spans="1:15" x14ac:dyDescent="0.25">
      <c r="A30" s="89"/>
      <c r="B30" s="85"/>
      <c r="C30" s="85"/>
      <c r="D30" s="85"/>
      <c r="E30" s="85"/>
      <c r="F30" s="85"/>
      <c r="G30" s="80" t="str">
        <f>CVSSv3!$A$7</f>
        <v>Interacción del usuario:</v>
      </c>
      <c r="H30" s="81" t="s">
        <v>711</v>
      </c>
      <c r="I30" s="88"/>
      <c r="J30" s="89"/>
      <c r="K30" s="89"/>
      <c r="L30" s="85"/>
      <c r="M30" s="85"/>
      <c r="N30" s="85"/>
      <c r="O30" s="85"/>
    </row>
    <row r="31" spans="1:15" x14ac:dyDescent="0.25">
      <c r="A31" s="89"/>
      <c r="B31" s="85"/>
      <c r="C31" s="85"/>
      <c r="D31" s="85"/>
      <c r="E31" s="85"/>
      <c r="F31" s="85"/>
      <c r="G31" s="80" t="str">
        <f>CVSSv3!$A$8</f>
        <v>Alcance:</v>
      </c>
      <c r="H31" s="81" t="s">
        <v>712</v>
      </c>
      <c r="I31" s="88"/>
      <c r="J31" s="89"/>
      <c r="K31" s="89"/>
      <c r="L31" s="85"/>
      <c r="M31" s="85"/>
      <c r="N31" s="85"/>
      <c r="O31" s="85"/>
    </row>
    <row r="32" spans="1:15" x14ac:dyDescent="0.25">
      <c r="A32" s="89"/>
      <c r="B32" s="85"/>
      <c r="C32" s="85"/>
      <c r="D32" s="85"/>
      <c r="E32" s="85"/>
      <c r="F32" s="85"/>
      <c r="G32" s="80" t="str">
        <f>CVSSv3!$A$9</f>
        <v>Impacto a la confidencialidad:</v>
      </c>
      <c r="H32" s="81" t="s">
        <v>713</v>
      </c>
      <c r="I32" s="88"/>
      <c r="J32" s="89"/>
      <c r="K32" s="89"/>
      <c r="L32" s="85"/>
      <c r="M32" s="85"/>
      <c r="N32" s="85"/>
      <c r="O32" s="85"/>
    </row>
    <row r="33" spans="1:15" x14ac:dyDescent="0.25">
      <c r="A33" s="89"/>
      <c r="B33" s="85"/>
      <c r="C33" s="85"/>
      <c r="D33" s="85"/>
      <c r="E33" s="85"/>
      <c r="F33" s="85"/>
      <c r="G33" s="80" t="str">
        <f>CVSSv3!$A$10</f>
        <v>Impacto a la integridad:</v>
      </c>
      <c r="H33" s="81" t="s">
        <v>713</v>
      </c>
      <c r="I33" s="88"/>
      <c r="J33" s="89"/>
      <c r="K33" s="89"/>
      <c r="L33" s="85"/>
      <c r="M33" s="85"/>
      <c r="N33" s="85"/>
      <c r="O33" s="85"/>
    </row>
    <row r="34" spans="1:15" x14ac:dyDescent="0.25">
      <c r="A34" s="89"/>
      <c r="B34" s="85"/>
      <c r="C34" s="85"/>
      <c r="D34" s="85"/>
      <c r="E34" s="85"/>
      <c r="F34" s="85"/>
      <c r="G34" s="80" t="str">
        <f>CVSSv3!$A$11</f>
        <v>Impacto a la disponibilidad:</v>
      </c>
      <c r="H34" s="81" t="s">
        <v>713</v>
      </c>
      <c r="I34" s="88"/>
      <c r="J34" s="89"/>
      <c r="K34" s="89"/>
      <c r="L34" s="85"/>
      <c r="M34" s="85"/>
      <c r="N34" s="85"/>
      <c r="O34" s="85"/>
    </row>
    <row r="35" spans="1:15" x14ac:dyDescent="0.25">
      <c r="A35" s="89"/>
      <c r="B35" s="85"/>
      <c r="C35" s="85"/>
      <c r="D35" s="85"/>
      <c r="E35" s="85"/>
      <c r="F35" s="85"/>
      <c r="G35" s="80" t="str">
        <f>CVSSv3!$A$12</f>
        <v>Explotabilidad:</v>
      </c>
      <c r="H35" s="81" t="s">
        <v>709</v>
      </c>
      <c r="I35" s="88"/>
      <c r="J35" s="89"/>
      <c r="K35" s="89"/>
      <c r="L35" s="85"/>
      <c r="M35" s="85"/>
      <c r="N35" s="85"/>
      <c r="O35" s="85"/>
    </row>
    <row r="36" spans="1:15" x14ac:dyDescent="0.25">
      <c r="A36" s="89"/>
      <c r="B36" s="85"/>
      <c r="C36" s="85"/>
      <c r="D36" s="85"/>
      <c r="E36" s="85"/>
      <c r="F36" s="85"/>
      <c r="G36" s="80" t="str">
        <f>CVSSv3!$A$13</f>
        <v>Nivel de resolución:</v>
      </c>
      <c r="H36" s="81" t="s">
        <v>714</v>
      </c>
      <c r="I36" s="88"/>
      <c r="J36" s="89"/>
      <c r="K36" s="89"/>
      <c r="L36" s="85"/>
      <c r="M36" s="85"/>
      <c r="N36" s="85"/>
      <c r="O36" s="85"/>
    </row>
    <row r="37" spans="1:15" x14ac:dyDescent="0.25">
      <c r="A37" s="89"/>
      <c r="B37" s="85"/>
      <c r="C37" s="85"/>
      <c r="D37" s="85"/>
      <c r="E37" s="85"/>
      <c r="F37" s="85"/>
      <c r="G37" s="80" t="str">
        <f>CVSSv3!$A$14</f>
        <v>Nivel de confianza</v>
      </c>
      <c r="H37" s="81" t="s">
        <v>715</v>
      </c>
      <c r="I37" s="88"/>
      <c r="J37" s="89"/>
      <c r="K37" s="89"/>
      <c r="L37" s="85"/>
      <c r="M37" s="85"/>
      <c r="N37" s="85"/>
      <c r="O37" s="85"/>
    </row>
    <row r="38" spans="1:15" x14ac:dyDescent="0.25">
      <c r="A38" s="89"/>
      <c r="B38" s="85"/>
      <c r="C38" s="85"/>
      <c r="D38" s="85"/>
      <c r="E38" s="85"/>
      <c r="F38" s="85"/>
      <c r="G38" s="86" t="str">
        <f>"("&amp;CVSSv3!$B$4&amp;":"&amp;IF(H27=CVSSv3!$C$4,CVSSv3!$C$30,IF(H27=CVSSv3!$D$4,CVSSv3!$D$30,IF(H27=CVSSv3!$E$4,CVSSv3!$E$30,IF(H27=CVSSv3!$F$4,CVSSv3!$F$30,""))))&amp;"/"&amp;CVSSv3!$B$5&amp;":"&amp;IF(H28=CVSSv3!$C$5,CVSSv3!$C$31,IF(H28=CVSSv3!$D$5,CVSSv3!$D$31,""))&amp;"/"&amp;CVSSv3!$B$6&amp;":"&amp;IF(H29=CVSSv3!$C$6,CVSSv3!$C$32,IF(H29=CVSSv3!$D$6,CVSSv3!$D$32,IF(H29=CVSSv3!$E$6,CVSSv3!$E$32,"")))&amp;"/"&amp;CVSSv3!$B$7&amp;":"&amp;IF(H30=CVSSv3!$C$7,CVSSv3!$C$33,IF(H30=CVSSv3!$D$7,CVSSv3!$D$33,""))&amp;"/"&amp;CVSSv3!$B$8&amp;":"&amp;IF(H31=CVSSv3!$C$8,CVSSv3!$C$34,IF(H31=CVSSv3!$D$8,CVSSv3!$D$34,""))&amp;"/"&amp;CVSSv3!$B$9&amp;":"&amp;IF(H32=CVSSv3!$C$9,CVSSv3!$C$35,IF(H32=CVSSv3!$D$9,CVSSv3!$D$35,IF(H32=CVSSv3!$E$9,CVSSv3!$E$35,"")))&amp;"/"&amp;CVSSv3!$B$10&amp;":"&amp;IF(H33=CVSSv3!$C$10,CVSSv3!$C$36,IF(H33=CVSSv3!$D$10,CVSSv3!$D$36,IF(H33=CVSSv3!$E$10,CVSSv3!$E$36,"")))&amp;"/"&amp;CVSSv3!$B$11&amp;":"&amp;IF(H34=CVSSv3!$C$11,CVSSv3!$C$37,IF(H34=CVSSv3!$D$11,CVSSv3!$D$37,IF(H34=CVSSv3!$E$11,CVSSv3!$E$37,"")))&amp;"/"&amp;CVSSv3!$B$12&amp;":"&amp;IF(H35=CVSSv3!$C$12,CVSSv3!$C$38,IF(H35=CVSSv3!$D$12,CVSSv3!$D$38,IF(H35=CVSSv3!$E$12,CVSSv3!$E$38,IF(H35=CVSSv3!$F$12,CVSSv3!$F$38,""))))&amp;"/"&amp;CVSSv3!$B$13&amp;":"&amp;IF(H36=CVSSv3!$C$13,CVSSv3!$C$39,IF(H36=CVSSv3!$D$13,CVSSv3!$D$39,IF(H36=CVSSv3!$E$13,CVSSv3!$E$39,IF(H36=CVSSv3!$F$13,CVSSv3!$F$39,""))))&amp;"/"&amp;CVSSv3!$B$14&amp;":"&amp;IF(H37=CVSSv3!$C$14,CVSSv3!$C$40,IF(H37=CVSSv3!$D$14,CVSSv3!$D$40,IF(H37=CVSSv3!$E$14,CVSSv3!$E$40,"")))&amp;")"</f>
        <v>(AV:N/AC:H/PR:N/UI:N/S:C/C:H/I:H/A:H/E:H/RL:U/RC:C)</v>
      </c>
      <c r="H38" s="87"/>
      <c r="I38" s="88"/>
      <c r="J38" s="89"/>
      <c r="K38" s="89"/>
      <c r="L38" s="85"/>
      <c r="M38" s="85"/>
      <c r="N38" s="85"/>
      <c r="O38" s="85"/>
    </row>
    <row r="39" spans="1:15" x14ac:dyDescent="0.25">
      <c r="A39" s="89">
        <v>4</v>
      </c>
      <c r="B39" s="85" t="s">
        <v>717</v>
      </c>
      <c r="C39" s="85" t="s">
        <v>17</v>
      </c>
      <c r="D39" s="85" t="s">
        <v>17</v>
      </c>
      <c r="E39" s="85" t="s">
        <v>17</v>
      </c>
      <c r="F39"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9" s="82" t="str">
        <f>CVSSv3!$A$4</f>
        <v>Vector de ataque:</v>
      </c>
      <c r="H39" s="84" t="s">
        <v>706</v>
      </c>
      <c r="I39" s="88">
        <f>ROUNDUP((IF((IF(H43=CVSSv3!$C$8,(6.42*(1-((1-(IF(H44=CVSSv3!$C$9,CVSSv3!$C$22,(IF(H44=CVSSv3!$D$9,CVSSv3!$D$22,(IF(H44=CVSSv3!$E$9,CVSSv3!$E$22,"")))))))*(1-(IF(H45=CVSSv3!$C$10,CVSSv3!$C$23,(IF(H45=CVSSv3!$D$10,CVSSv3!$D$23,(IF(H45=CVSSv3!$E$10,CVSSv3!$E$23,"")))))))*(1-(IF(H46=CVSSv3!$C$11,CVSSv3!$C$24,(IF(H46=CVSSv3!$D$11,CVSSv3!$D$24,(IF(H46=CVSSv3!$E$11,CVSSv3!$E$24,"")))))))))),((7.52*((1-((1-(IF(H44=CVSSv3!$C$9,CVSSv3!$C$22,(IF(H44=CVSSv3!$D$9,CVSSv3!$D$22,(IF(H44=CVSSv3!$E$9,CVSSv3!$E$22,"")))))))*(1-(IF(H45=CVSSv3!$C$10,CVSSv3!$C$23,(IF(H45=CVSSv3!$D$10,CVSSv3!$D$23,(IF(H45=CVSSv3!$E$10,CVSSv3!$E$23,"")))))))*(1-(IF(H46=CVSSv3!$C$11,CVSSv3!$C$24,(IF(H46=CVSSv3!$D$11,CVSSv3!$D$24,(IF(H46=CVSSv3!$E$11,CVSSv3!$E$24,"")))))))))-0.029))-(3.25*POWER(((1-((1-(IF(H44=CVSSv3!$C$9,CVSSv3!$C$22,(IF(H44=CVSSv3!$D$9,CVSSv3!$D$22,(IF(H44=CVSSv3!$E$9,CVSSv3!$E$22,"")))))))*(1-(IF(H45=CVSSv3!$C$10,CVSSv3!$C$23,(IF(H45=CVSSv3!$D$10,CVSSv3!$D$23,(IF(H45=CVSSv3!$E$10,CVSSv3!$E$23,"")))))))*(1-(IF(H46=CVSSv3!$C$11,CVSSv3!$C$24,(IF(H46=CVSSv3!$D$11,CVSSv3!$D$24,(IF(H46=CVSSv3!$E$11,CVSSv3!$E$24,"")))))))))-0.02),15)))))&lt;=0,0,(IF(H43=CVSSv3!$C$8,ROUNDUP((MIN((IF(H43=CVSSv3!$C$8,(6.42*(1-((1-(IF(H44=CVSSv3!$C$9,CVSSv3!$C$22,(IF(H44=CVSSv3!$D$9,CVSSv3!$D$22,(IF(H44=CVSSv3!$E$9,CVSSv3!$E$22,"")))))))*(1-(IF(H45=CVSSv3!$C$10,CVSSv3!$C$23,(IF(H45=CVSSv3!$D$10,CVSSv3!$D$23,(IF(H45=CVSSv3!$E$10,CVSSv3!$E$23,"")))))))*(1-(IF(H46=CVSSv3!$C$11,CVSSv3!$C$24,(IF(H46=CVSSv3!$D$11,CVSSv3!$D$24,(IF(H46=CVSSv3!$E$11,CVSSv3!$E$24,"")))))))))),((7.52*((1-((1-(IF(H44=CVSSv3!$C$9,CVSSv3!$C$22,(IF(H44=CVSSv3!$D$9,CVSSv3!$D$22,(IF(H44=CVSSv3!$E$9,CVSSv3!$E$22,"")))))))*(1-(IF(H45=CVSSv3!$C$10,CVSSv3!$C$23,(IF(H45=CVSSv3!$D$10,CVSSv3!$D$23,(IF(H45=CVSSv3!$E$10,CVSSv3!$E$23,"")))))))*(1-(IF(H46=CVSSv3!$C$11,CVSSv3!$C$24,(IF(H46=CVSSv3!$D$11,CVSSv3!$D$24,(IF(H46=CVSSv3!$E$11,CVSSv3!$E$24,"")))))))))-0.029))-(3.25*POWER(((1-((1-(IF(H44=CVSSv3!$C$9,CVSSv3!$C$22,(IF(H44=CVSSv3!$D$9,CVSSv3!$D$22,(IF(H44=CVSSv3!$E$9,CVSSv3!$E$22,"")))))))*(1-(IF(H45=CVSSv3!$C$10,CVSSv3!$C$23,(IF(H45=CVSSv3!$D$10,CVSSv3!$D$23,(IF(H45=CVSSv3!$E$10,CVSSv3!$E$23,"")))))))*(1-(IF(H46=CVSSv3!$C$11,CVSSv3!$C$24,(IF(H46=CVSSv3!$D$11,CVSSv3!$D$24,(IF(H46=CVSSv3!$E$11,CVSSv3!$E$24,"")))))))))-0.02),15)))))+(8.22*(IF(H39=CVSSv3!$C$4,CVSSv3!$C$17,(IF(H39=CVSSv3!$D$4,CVSSv3!$D$17,(IF(H39=CVSSv3!$E$4,CVSSv3!$E$17,(IF(H39=CVSSv3!$F$4,CVSSv3!$F$17,""))))))))*(IF(H40=CVSSv3!$C$5,CVSSv3!$C$18,(IF(H40=CVSSv3!$D$5,CVSSv3!$D$18,""))))*(IF(H41=CVSSv3!$C$6,CVSSv3!$C$19,(IF(H41=CVSSv3!$D$6,(IF(H43=CVSSv3!$D$8,0.68,CVSSv3!$D$19)),(IF(H41=CVSSv3!$E$6,(IF(H43=CVSSv3!$D$8,0.5,CVSSv3!$E$19))))))))*(IF(H42=CVSSv3!$C$7,CVSSv3!$C$20,(IF(H42=CVSSv3!$D$7,CVSSv3!$D$20,""))))),10)),1),ROUNDUP((MIN(1.08*((IF(H43=CVSSv3!$C$8,(6.42*(1-((1-(IF(H44=CVSSv3!$C$9,CVSSv3!$C$22,(IF(H44=CVSSv3!$D$9,CVSSv3!$D$22,(IF(H44=CVSSv3!$E$9,CVSSv3!$E$22,"")))))))*(1-(IF(H45=CVSSv3!$C$10,CVSSv3!$C$23,(IF(H45=CVSSv3!$D$10,CVSSv3!$D$23,(IF(H45=CVSSv3!$E$10,CVSSv3!$E$23,"")))))))*(1-(IF(H46=CVSSv3!$C$11,CVSSv3!$C$24,(IF(H46=CVSSv3!$D$11,CVSSv3!$D$24,(IF(H46=CVSSv3!$E$11,CVSSv3!$E$24,"")))))))))),((7.52*((1-((1-(IF(H44=CVSSv3!$C$9,CVSSv3!$C$22,(IF(H44=CVSSv3!$D$9,CVSSv3!$D$22,(IF(H44=CVSSv3!$E$9,CVSSv3!$E$22,"")))))))*(1-(IF(H45=CVSSv3!$C$10,CVSSv3!$C$23,(IF(H45=CVSSv3!$D$10,CVSSv3!$D$23,(IF(H45=CVSSv3!$E$10,CVSSv3!$E$23,"")))))))*(1-(IF(H46=CVSSv3!$C$11,CVSSv3!$C$24,(IF(H46=CVSSv3!$D$11,CVSSv3!$D$24,(IF(H46=CVSSv3!$E$11,CVSSv3!$E$24,"")))))))))-0.029))-(3.25*POWER(((1-((1-(IF(H44=CVSSv3!$C$9,CVSSv3!$C$22,(IF(H44=CVSSv3!$D$9,CVSSv3!$D$22,(IF(H44=CVSSv3!$E$9,CVSSv3!$E$22,"")))))))*(1-(IF(H45=CVSSv3!$C$10,CVSSv3!$C$23,(IF(H45=CVSSv3!$D$10,CVSSv3!$D$23,(IF(H45=CVSSv3!$E$10,CVSSv3!$E$23,"")))))))*(1-(IF(H46=CVSSv3!$C$11,CVSSv3!$C$24,(IF(H46=CVSSv3!$D$11,CVSSv3!$D$24,(IF(H46=CVSSv3!$E$11,CVSSv3!$E$24,"")))))))))-0.02),15)))))+(8.22*(IF(H39=CVSSv3!$C$4,CVSSv3!$C$17,(IF(H39=CVSSv3!$D$4,CVSSv3!$D$17,(IF(H39=CVSSv3!$E$4,CVSSv3!$E$17,(IF(H39=CVSSv3!$F$4,CVSSv3!$F$17,""))))))))*(IF(H40=CVSSv3!$C$5,CVSSv3!$C$18,(IF(H40=CVSSv3!$D$5,CVSSv3!$D$18,""))))*(IF(H41=CVSSv3!$C$6,CVSSv3!$C$19,(IF(H41=CVSSv3!$D$6,(IF(H43=CVSSv3!$D$8,0.68,CVSSv3!$D$19)),(IF(H41=CVSSv3!$E$6,(IF(H43=CVSSv3!$D$8,0.5,CVSSv3!$E$19))))))))*(IF(H42=CVSSv3!$C$7,CVSSv3!$C$20,(IF(H42=CVSSv3!$D$7,CVSSv3!$D$20,"")))))),10)),1))))*(IF(H47=CVSSv3!$C$12,CVSSv3!$C$25,(IF(H47=CVSSv3!$D$12,CVSSv3!$D$25,(IF(H47=CVSSv3!$E$12,CVSSv3!$E$25,(IF(H47=CVSSv3!$F$12,CVSSv3!$F$25,""))))))))*(IF(H48=CVSSv3!$C$13,CVSSv3!$C$26,(IF(H48=CVSSv3!$D$13,CVSSv3!$D$26,(IF(H48=CVSSv3!$E$13,CVSSv3!$E$26,(IF(H48=CVSSv3!$F$13,CVSSv3!$F$26,""))))))))*(IF(H49=CVSSv3!$C$14,CVSSv3!$C$27,(IF(H49=CVSSv3!$D$14,CVSSv3!$D$27,(IF(H49=CVSSv3!$E$14,CVSSv3!$E$27,""))))))),1)</f>
        <v>9</v>
      </c>
      <c r="J39" s="89">
        <v>0</v>
      </c>
      <c r="K39" s="89">
        <v>0</v>
      </c>
      <c r="L39" s="85" t="s">
        <v>17</v>
      </c>
      <c r="M39" s="85" t="s">
        <v>17</v>
      </c>
      <c r="N39" s="85" t="s">
        <v>707</v>
      </c>
      <c r="O39" s="85" t="s">
        <v>708</v>
      </c>
    </row>
    <row r="40" spans="1:15" x14ac:dyDescent="0.25">
      <c r="A40" s="89"/>
      <c r="B40" s="85"/>
      <c r="C40" s="85"/>
      <c r="D40" s="85"/>
      <c r="E40" s="85"/>
      <c r="F40" s="85"/>
      <c r="G40" s="80" t="str">
        <f>CVSSv3!$A$5</f>
        <v>Complejidad de ataque:</v>
      </c>
      <c r="H40" s="81" t="s">
        <v>709</v>
      </c>
      <c r="I40" s="88"/>
      <c r="J40" s="89"/>
      <c r="K40" s="89"/>
      <c r="L40" s="85"/>
      <c r="M40" s="85"/>
      <c r="N40" s="85"/>
      <c r="O40" s="85"/>
    </row>
    <row r="41" spans="1:15" x14ac:dyDescent="0.25">
      <c r="A41" s="89"/>
      <c r="B41" s="85"/>
      <c r="C41" s="85"/>
      <c r="D41" s="85"/>
      <c r="E41" s="85"/>
      <c r="F41" s="85"/>
      <c r="G41" s="80" t="str">
        <f>CVSSv3!$A$6</f>
        <v>Privilegios requeridos:</v>
      </c>
      <c r="H41" s="81" t="s">
        <v>710</v>
      </c>
      <c r="I41" s="88"/>
      <c r="J41" s="89"/>
      <c r="K41" s="89"/>
      <c r="L41" s="85"/>
      <c r="M41" s="85"/>
      <c r="N41" s="85"/>
      <c r="O41" s="85"/>
    </row>
    <row r="42" spans="1:15" x14ac:dyDescent="0.25">
      <c r="A42" s="89"/>
      <c r="B42" s="85"/>
      <c r="C42" s="85"/>
      <c r="D42" s="85"/>
      <c r="E42" s="85"/>
      <c r="F42" s="85"/>
      <c r="G42" s="80" t="str">
        <f>CVSSv3!$A$7</f>
        <v>Interacción del usuario:</v>
      </c>
      <c r="H42" s="81" t="s">
        <v>711</v>
      </c>
      <c r="I42" s="88"/>
      <c r="J42" s="89"/>
      <c r="K42" s="89"/>
      <c r="L42" s="85"/>
      <c r="M42" s="85"/>
      <c r="N42" s="85"/>
      <c r="O42" s="85"/>
    </row>
    <row r="43" spans="1:15" x14ac:dyDescent="0.25">
      <c r="A43" s="89"/>
      <c r="B43" s="85"/>
      <c r="C43" s="85"/>
      <c r="D43" s="85"/>
      <c r="E43" s="85"/>
      <c r="F43" s="85"/>
      <c r="G43" s="80" t="str">
        <f>CVSSv3!$A$8</f>
        <v>Alcance:</v>
      </c>
      <c r="H43" s="81" t="s">
        <v>712</v>
      </c>
      <c r="I43" s="88"/>
      <c r="J43" s="89"/>
      <c r="K43" s="89"/>
      <c r="L43" s="85"/>
      <c r="M43" s="85"/>
      <c r="N43" s="85"/>
      <c r="O43" s="85"/>
    </row>
    <row r="44" spans="1:15" x14ac:dyDescent="0.25">
      <c r="A44" s="89"/>
      <c r="B44" s="85"/>
      <c r="C44" s="85"/>
      <c r="D44" s="85"/>
      <c r="E44" s="85"/>
      <c r="F44" s="85"/>
      <c r="G44" s="80" t="str">
        <f>CVSSv3!$A$9</f>
        <v>Impacto a la confidencialidad:</v>
      </c>
      <c r="H44" s="81" t="s">
        <v>713</v>
      </c>
      <c r="I44" s="88"/>
      <c r="J44" s="89"/>
      <c r="K44" s="89"/>
      <c r="L44" s="85"/>
      <c r="M44" s="85"/>
      <c r="N44" s="85"/>
      <c r="O44" s="85"/>
    </row>
    <row r="45" spans="1:15" x14ac:dyDescent="0.25">
      <c r="A45" s="89"/>
      <c r="B45" s="85"/>
      <c r="C45" s="85"/>
      <c r="D45" s="85"/>
      <c r="E45" s="85"/>
      <c r="F45" s="85"/>
      <c r="G45" s="80" t="str">
        <f>CVSSv3!$A$10</f>
        <v>Impacto a la integridad:</v>
      </c>
      <c r="H45" s="81" t="s">
        <v>713</v>
      </c>
      <c r="I45" s="88"/>
      <c r="J45" s="89"/>
      <c r="K45" s="89"/>
      <c r="L45" s="85"/>
      <c r="M45" s="85"/>
      <c r="N45" s="85"/>
      <c r="O45" s="85"/>
    </row>
    <row r="46" spans="1:15" x14ac:dyDescent="0.25">
      <c r="A46" s="89"/>
      <c r="B46" s="85"/>
      <c r="C46" s="85"/>
      <c r="D46" s="85"/>
      <c r="E46" s="85"/>
      <c r="F46" s="85"/>
      <c r="G46" s="80" t="str">
        <f>CVSSv3!$A$11</f>
        <v>Impacto a la disponibilidad:</v>
      </c>
      <c r="H46" s="81" t="s">
        <v>713</v>
      </c>
      <c r="I46" s="88"/>
      <c r="J46" s="89"/>
      <c r="K46" s="89"/>
      <c r="L46" s="85"/>
      <c r="M46" s="85"/>
      <c r="N46" s="85"/>
      <c r="O46" s="85"/>
    </row>
    <row r="47" spans="1:15" x14ac:dyDescent="0.25">
      <c r="A47" s="89"/>
      <c r="B47" s="85"/>
      <c r="C47" s="85"/>
      <c r="D47" s="85"/>
      <c r="E47" s="85"/>
      <c r="F47" s="85"/>
      <c r="G47" s="80" t="str">
        <f>CVSSv3!$A$12</f>
        <v>Explotabilidad:</v>
      </c>
      <c r="H47" s="81" t="s">
        <v>709</v>
      </c>
      <c r="I47" s="88"/>
      <c r="J47" s="89"/>
      <c r="K47" s="89"/>
      <c r="L47" s="85"/>
      <c r="M47" s="85"/>
      <c r="N47" s="85"/>
      <c r="O47" s="85"/>
    </row>
    <row r="48" spans="1:15" x14ac:dyDescent="0.25">
      <c r="A48" s="89"/>
      <c r="B48" s="85"/>
      <c r="C48" s="85"/>
      <c r="D48" s="85"/>
      <c r="E48" s="85"/>
      <c r="F48" s="85"/>
      <c r="G48" s="80" t="str">
        <f>CVSSv3!$A$13</f>
        <v>Nivel de resolución:</v>
      </c>
      <c r="H48" s="81" t="s">
        <v>714</v>
      </c>
      <c r="I48" s="88"/>
      <c r="J48" s="89"/>
      <c r="K48" s="89"/>
      <c r="L48" s="85"/>
      <c r="M48" s="85"/>
      <c r="N48" s="85"/>
      <c r="O48" s="85"/>
    </row>
    <row r="49" spans="1:15" x14ac:dyDescent="0.25">
      <c r="A49" s="89"/>
      <c r="B49" s="85"/>
      <c r="C49" s="85"/>
      <c r="D49" s="85"/>
      <c r="E49" s="85"/>
      <c r="F49" s="85"/>
      <c r="G49" s="80" t="str">
        <f>CVSSv3!$A$14</f>
        <v>Nivel de confianza</v>
      </c>
      <c r="H49" s="81" t="s">
        <v>715</v>
      </c>
      <c r="I49" s="88"/>
      <c r="J49" s="89"/>
      <c r="K49" s="89"/>
      <c r="L49" s="85"/>
      <c r="M49" s="85"/>
      <c r="N49" s="85"/>
      <c r="O49" s="85"/>
    </row>
    <row r="50" spans="1:15" x14ac:dyDescent="0.25">
      <c r="A50" s="89"/>
      <c r="B50" s="85"/>
      <c r="C50" s="85"/>
      <c r="D50" s="85"/>
      <c r="E50" s="85"/>
      <c r="F50" s="85"/>
      <c r="G50" s="86" t="str">
        <f>"("&amp;CVSSv3!$B$4&amp;":"&amp;IF(H39=CVSSv3!$C$4,CVSSv3!$C$30,IF(H39=CVSSv3!$D$4,CVSSv3!$D$30,IF(H39=CVSSv3!$E$4,CVSSv3!$E$30,IF(H39=CVSSv3!$F$4,CVSSv3!$F$30,""))))&amp;"/"&amp;CVSSv3!$B$5&amp;":"&amp;IF(H40=CVSSv3!$C$5,CVSSv3!$C$31,IF(H40=CVSSv3!$D$5,CVSSv3!$D$31,""))&amp;"/"&amp;CVSSv3!$B$6&amp;":"&amp;IF(H41=CVSSv3!$C$6,CVSSv3!$C$32,IF(H41=CVSSv3!$D$6,CVSSv3!$D$32,IF(H41=CVSSv3!$E$6,CVSSv3!$E$32,"")))&amp;"/"&amp;CVSSv3!$B$7&amp;":"&amp;IF(H42=CVSSv3!$C$7,CVSSv3!$C$33,IF(H42=CVSSv3!$D$7,CVSSv3!$D$33,""))&amp;"/"&amp;CVSSv3!$B$8&amp;":"&amp;IF(H43=CVSSv3!$C$8,CVSSv3!$C$34,IF(H43=CVSSv3!$D$8,CVSSv3!$D$34,""))&amp;"/"&amp;CVSSv3!$B$9&amp;":"&amp;IF(H44=CVSSv3!$C$9,CVSSv3!$C$35,IF(H44=CVSSv3!$D$9,CVSSv3!$D$35,IF(H44=CVSSv3!$E$9,CVSSv3!$E$35,"")))&amp;"/"&amp;CVSSv3!$B$10&amp;":"&amp;IF(H45=CVSSv3!$C$10,CVSSv3!$C$36,IF(H45=CVSSv3!$D$10,CVSSv3!$D$36,IF(H45=CVSSv3!$E$10,CVSSv3!$E$36,"")))&amp;"/"&amp;CVSSv3!$B$11&amp;":"&amp;IF(H46=CVSSv3!$C$11,CVSSv3!$C$37,IF(H46=CVSSv3!$D$11,CVSSv3!$D$37,IF(H46=CVSSv3!$E$11,CVSSv3!$E$37,"")))&amp;"/"&amp;CVSSv3!$B$12&amp;":"&amp;IF(H47=CVSSv3!$C$12,CVSSv3!$C$38,IF(H47=CVSSv3!$D$12,CVSSv3!$D$38,IF(H47=CVSSv3!$E$12,CVSSv3!$E$38,IF(H47=CVSSv3!$F$12,CVSSv3!$F$38,""))))&amp;"/"&amp;CVSSv3!$B$13&amp;":"&amp;IF(H48=CVSSv3!$C$13,CVSSv3!$C$39,IF(H48=CVSSv3!$D$13,CVSSv3!$D$39,IF(H48=CVSSv3!$E$13,CVSSv3!$E$39,IF(H48=CVSSv3!$F$13,CVSSv3!$F$39,""))))&amp;"/"&amp;CVSSv3!$B$14&amp;":"&amp;IF(H49=CVSSv3!$C$14,CVSSv3!$C$40,IF(H49=CVSSv3!$D$14,CVSSv3!$D$40,IF(H49=CVSSv3!$E$14,CVSSv3!$E$40,"")))&amp;")"</f>
        <v>(AV:N/AC:H/PR:N/UI:N/S:C/C:H/I:H/A:H/E:H/RL:U/RC:C)</v>
      </c>
      <c r="H50" s="87"/>
      <c r="I50" s="88"/>
      <c r="J50" s="89"/>
      <c r="K50" s="89"/>
      <c r="L50" s="85"/>
      <c r="M50" s="85"/>
      <c r="N50" s="85"/>
      <c r="O50" s="85"/>
    </row>
    <row r="51" spans="1:15" x14ac:dyDescent="0.25">
      <c r="A51" s="89">
        <v>5</v>
      </c>
      <c r="B51" s="85" t="s">
        <v>718</v>
      </c>
      <c r="C51" s="85" t="s">
        <v>17</v>
      </c>
      <c r="D51" s="85" t="s">
        <v>17</v>
      </c>
      <c r="E51" s="85" t="s">
        <v>17</v>
      </c>
      <c r="F51"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1" s="82" t="str">
        <f>CVSSv3!$A$4</f>
        <v>Vector de ataque:</v>
      </c>
      <c r="H51" s="84" t="s">
        <v>706</v>
      </c>
      <c r="I51" s="88">
        <f>ROUNDUP((IF((IF(H55=CVSSv3!$C$8,(6.42*(1-((1-(IF(H56=CVSSv3!$C$9,CVSSv3!$C$22,(IF(H56=CVSSv3!$D$9,CVSSv3!$D$22,(IF(H56=CVSSv3!$E$9,CVSSv3!$E$22,"")))))))*(1-(IF(H57=CVSSv3!$C$10,CVSSv3!$C$23,(IF(H57=CVSSv3!$D$10,CVSSv3!$D$23,(IF(H57=CVSSv3!$E$10,CVSSv3!$E$23,"")))))))*(1-(IF(H58=CVSSv3!$C$11,CVSSv3!$C$24,(IF(H58=CVSSv3!$D$11,CVSSv3!$D$24,(IF(H58=CVSSv3!$E$11,CVSSv3!$E$24,"")))))))))),((7.52*((1-((1-(IF(H56=CVSSv3!$C$9,CVSSv3!$C$22,(IF(H56=CVSSv3!$D$9,CVSSv3!$D$22,(IF(H56=CVSSv3!$E$9,CVSSv3!$E$22,"")))))))*(1-(IF(H57=CVSSv3!$C$10,CVSSv3!$C$23,(IF(H57=CVSSv3!$D$10,CVSSv3!$D$23,(IF(H57=CVSSv3!$E$10,CVSSv3!$E$23,"")))))))*(1-(IF(H58=CVSSv3!$C$11,CVSSv3!$C$24,(IF(H58=CVSSv3!$D$11,CVSSv3!$D$24,(IF(H58=CVSSv3!$E$11,CVSSv3!$E$24,"")))))))))-0.029))-(3.25*POWER(((1-((1-(IF(H56=CVSSv3!$C$9,CVSSv3!$C$22,(IF(H56=CVSSv3!$D$9,CVSSv3!$D$22,(IF(H56=CVSSv3!$E$9,CVSSv3!$E$22,"")))))))*(1-(IF(H57=CVSSv3!$C$10,CVSSv3!$C$23,(IF(H57=CVSSv3!$D$10,CVSSv3!$D$23,(IF(H57=CVSSv3!$E$10,CVSSv3!$E$23,"")))))))*(1-(IF(H58=CVSSv3!$C$11,CVSSv3!$C$24,(IF(H58=CVSSv3!$D$11,CVSSv3!$D$24,(IF(H58=CVSSv3!$E$11,CVSSv3!$E$24,"")))))))))-0.02),15)))))&lt;=0,0,(IF(H55=CVSSv3!$C$8,ROUNDUP((MIN((IF(H55=CVSSv3!$C$8,(6.42*(1-((1-(IF(H56=CVSSv3!$C$9,CVSSv3!$C$22,(IF(H56=CVSSv3!$D$9,CVSSv3!$D$22,(IF(H56=CVSSv3!$E$9,CVSSv3!$E$22,"")))))))*(1-(IF(H57=CVSSv3!$C$10,CVSSv3!$C$23,(IF(H57=CVSSv3!$D$10,CVSSv3!$D$23,(IF(H57=CVSSv3!$E$10,CVSSv3!$E$23,"")))))))*(1-(IF(H58=CVSSv3!$C$11,CVSSv3!$C$24,(IF(H58=CVSSv3!$D$11,CVSSv3!$D$24,(IF(H58=CVSSv3!$E$11,CVSSv3!$E$24,"")))))))))),((7.52*((1-((1-(IF(H56=CVSSv3!$C$9,CVSSv3!$C$22,(IF(H56=CVSSv3!$D$9,CVSSv3!$D$22,(IF(H56=CVSSv3!$E$9,CVSSv3!$E$22,"")))))))*(1-(IF(H57=CVSSv3!$C$10,CVSSv3!$C$23,(IF(H57=CVSSv3!$D$10,CVSSv3!$D$23,(IF(H57=CVSSv3!$E$10,CVSSv3!$E$23,"")))))))*(1-(IF(H58=CVSSv3!$C$11,CVSSv3!$C$24,(IF(H58=CVSSv3!$D$11,CVSSv3!$D$24,(IF(H58=CVSSv3!$E$11,CVSSv3!$E$24,"")))))))))-0.029))-(3.25*POWER(((1-((1-(IF(H56=CVSSv3!$C$9,CVSSv3!$C$22,(IF(H56=CVSSv3!$D$9,CVSSv3!$D$22,(IF(H56=CVSSv3!$E$9,CVSSv3!$E$22,"")))))))*(1-(IF(H57=CVSSv3!$C$10,CVSSv3!$C$23,(IF(H57=CVSSv3!$D$10,CVSSv3!$D$23,(IF(H57=CVSSv3!$E$10,CVSSv3!$E$23,"")))))))*(1-(IF(H58=CVSSv3!$C$11,CVSSv3!$C$24,(IF(H58=CVSSv3!$D$11,CVSSv3!$D$24,(IF(H58=CVSSv3!$E$11,CVSSv3!$E$24,"")))))))))-0.02),15)))))+(8.22*(IF(H51=CVSSv3!$C$4,CVSSv3!$C$17,(IF(H51=CVSSv3!$D$4,CVSSv3!$D$17,(IF(H51=CVSSv3!$E$4,CVSSv3!$E$17,(IF(H51=CVSSv3!$F$4,CVSSv3!$F$17,""))))))))*(IF(H52=CVSSv3!$C$5,CVSSv3!$C$18,(IF(H52=CVSSv3!$D$5,CVSSv3!$D$18,""))))*(IF(H53=CVSSv3!$C$6,CVSSv3!$C$19,(IF(H53=CVSSv3!$D$6,(IF(H55=CVSSv3!$D$8,0.68,CVSSv3!$D$19)),(IF(H53=CVSSv3!$E$6,(IF(H55=CVSSv3!$D$8,0.5,CVSSv3!$E$19))))))))*(IF(H54=CVSSv3!$C$7,CVSSv3!$C$20,(IF(H54=CVSSv3!$D$7,CVSSv3!$D$20,""))))),10)),1),ROUNDUP((MIN(1.08*((IF(H55=CVSSv3!$C$8,(6.42*(1-((1-(IF(H56=CVSSv3!$C$9,CVSSv3!$C$22,(IF(H56=CVSSv3!$D$9,CVSSv3!$D$22,(IF(H56=CVSSv3!$E$9,CVSSv3!$E$22,"")))))))*(1-(IF(H57=CVSSv3!$C$10,CVSSv3!$C$23,(IF(H57=CVSSv3!$D$10,CVSSv3!$D$23,(IF(H57=CVSSv3!$E$10,CVSSv3!$E$23,"")))))))*(1-(IF(H58=CVSSv3!$C$11,CVSSv3!$C$24,(IF(H58=CVSSv3!$D$11,CVSSv3!$D$24,(IF(H58=CVSSv3!$E$11,CVSSv3!$E$24,"")))))))))),((7.52*((1-((1-(IF(H56=CVSSv3!$C$9,CVSSv3!$C$22,(IF(H56=CVSSv3!$D$9,CVSSv3!$D$22,(IF(H56=CVSSv3!$E$9,CVSSv3!$E$22,"")))))))*(1-(IF(H57=CVSSv3!$C$10,CVSSv3!$C$23,(IF(H57=CVSSv3!$D$10,CVSSv3!$D$23,(IF(H57=CVSSv3!$E$10,CVSSv3!$E$23,"")))))))*(1-(IF(H58=CVSSv3!$C$11,CVSSv3!$C$24,(IF(H58=CVSSv3!$D$11,CVSSv3!$D$24,(IF(H58=CVSSv3!$E$11,CVSSv3!$E$24,"")))))))))-0.029))-(3.25*POWER(((1-((1-(IF(H56=CVSSv3!$C$9,CVSSv3!$C$22,(IF(H56=CVSSv3!$D$9,CVSSv3!$D$22,(IF(H56=CVSSv3!$E$9,CVSSv3!$E$22,"")))))))*(1-(IF(H57=CVSSv3!$C$10,CVSSv3!$C$23,(IF(H57=CVSSv3!$D$10,CVSSv3!$D$23,(IF(H57=CVSSv3!$E$10,CVSSv3!$E$23,"")))))))*(1-(IF(H58=CVSSv3!$C$11,CVSSv3!$C$24,(IF(H58=CVSSv3!$D$11,CVSSv3!$D$24,(IF(H58=CVSSv3!$E$11,CVSSv3!$E$24,"")))))))))-0.02),15)))))+(8.22*(IF(H51=CVSSv3!$C$4,CVSSv3!$C$17,(IF(H51=CVSSv3!$D$4,CVSSv3!$D$17,(IF(H51=CVSSv3!$E$4,CVSSv3!$E$17,(IF(H51=CVSSv3!$F$4,CVSSv3!$F$17,""))))))))*(IF(H52=CVSSv3!$C$5,CVSSv3!$C$18,(IF(H52=CVSSv3!$D$5,CVSSv3!$D$18,""))))*(IF(H53=CVSSv3!$C$6,CVSSv3!$C$19,(IF(H53=CVSSv3!$D$6,(IF(H55=CVSSv3!$D$8,0.68,CVSSv3!$D$19)),(IF(H53=CVSSv3!$E$6,(IF(H55=CVSSv3!$D$8,0.5,CVSSv3!$E$19))))))))*(IF(H54=CVSSv3!$C$7,CVSSv3!$C$20,(IF(H54=CVSSv3!$D$7,CVSSv3!$D$20,"")))))),10)),1))))*(IF(H59=CVSSv3!$C$12,CVSSv3!$C$25,(IF(H59=CVSSv3!$D$12,CVSSv3!$D$25,(IF(H59=CVSSv3!$E$12,CVSSv3!$E$25,(IF(H59=CVSSv3!$F$12,CVSSv3!$F$25,""))))))))*(IF(H60=CVSSv3!$C$13,CVSSv3!$C$26,(IF(H60=CVSSv3!$D$13,CVSSv3!$D$26,(IF(H60=CVSSv3!$E$13,CVSSv3!$E$26,(IF(H60=CVSSv3!$F$13,CVSSv3!$F$26,""))))))))*(IF(H61=CVSSv3!$C$14,CVSSv3!$C$27,(IF(H61=CVSSv3!$D$14,CVSSv3!$D$27,(IF(H61=CVSSv3!$E$14,CVSSv3!$E$27,""))))))),1)</f>
        <v>9</v>
      </c>
      <c r="J51" s="89">
        <v>0</v>
      </c>
      <c r="K51" s="89">
        <v>0</v>
      </c>
      <c r="L51" s="85" t="s">
        <v>17</v>
      </c>
      <c r="M51" s="85" t="s">
        <v>17</v>
      </c>
      <c r="N51" s="85" t="s">
        <v>707</v>
      </c>
      <c r="O51" s="85" t="s">
        <v>708</v>
      </c>
    </row>
    <row r="52" spans="1:15" x14ac:dyDescent="0.25">
      <c r="A52" s="89"/>
      <c r="B52" s="85"/>
      <c r="C52" s="85"/>
      <c r="D52" s="85"/>
      <c r="E52" s="85"/>
      <c r="F52" s="85"/>
      <c r="G52" s="80" t="str">
        <f>CVSSv3!$A$5</f>
        <v>Complejidad de ataque:</v>
      </c>
      <c r="H52" s="81" t="s">
        <v>709</v>
      </c>
      <c r="I52" s="88"/>
      <c r="J52" s="89"/>
      <c r="K52" s="89"/>
      <c r="L52" s="85"/>
      <c r="M52" s="85"/>
      <c r="N52" s="85"/>
      <c r="O52" s="85"/>
    </row>
    <row r="53" spans="1:15" x14ac:dyDescent="0.25">
      <c r="A53" s="89"/>
      <c r="B53" s="85"/>
      <c r="C53" s="85"/>
      <c r="D53" s="85"/>
      <c r="E53" s="85"/>
      <c r="F53" s="85"/>
      <c r="G53" s="80" t="str">
        <f>CVSSv3!$A$6</f>
        <v>Privilegios requeridos:</v>
      </c>
      <c r="H53" s="81" t="s">
        <v>710</v>
      </c>
      <c r="I53" s="88"/>
      <c r="J53" s="89"/>
      <c r="K53" s="89"/>
      <c r="L53" s="85"/>
      <c r="M53" s="85"/>
      <c r="N53" s="85"/>
      <c r="O53" s="85"/>
    </row>
    <row r="54" spans="1:15" x14ac:dyDescent="0.25">
      <c r="A54" s="89"/>
      <c r="B54" s="85"/>
      <c r="C54" s="85"/>
      <c r="D54" s="85"/>
      <c r="E54" s="85"/>
      <c r="F54" s="85"/>
      <c r="G54" s="80" t="str">
        <f>CVSSv3!$A$7</f>
        <v>Interacción del usuario:</v>
      </c>
      <c r="H54" s="81" t="s">
        <v>711</v>
      </c>
      <c r="I54" s="88"/>
      <c r="J54" s="89"/>
      <c r="K54" s="89"/>
      <c r="L54" s="85"/>
      <c r="M54" s="85"/>
      <c r="N54" s="85"/>
      <c r="O54" s="85"/>
    </row>
    <row r="55" spans="1:15" x14ac:dyDescent="0.25">
      <c r="A55" s="89"/>
      <c r="B55" s="85"/>
      <c r="C55" s="85"/>
      <c r="D55" s="85"/>
      <c r="E55" s="85"/>
      <c r="F55" s="85"/>
      <c r="G55" s="80" t="str">
        <f>CVSSv3!$A$8</f>
        <v>Alcance:</v>
      </c>
      <c r="H55" s="81" t="s">
        <v>712</v>
      </c>
      <c r="I55" s="88"/>
      <c r="J55" s="89"/>
      <c r="K55" s="89"/>
      <c r="L55" s="85"/>
      <c r="M55" s="85"/>
      <c r="N55" s="85"/>
      <c r="O55" s="85"/>
    </row>
    <row r="56" spans="1:15" x14ac:dyDescent="0.25">
      <c r="A56" s="89"/>
      <c r="B56" s="85"/>
      <c r="C56" s="85"/>
      <c r="D56" s="85"/>
      <c r="E56" s="85"/>
      <c r="F56" s="85"/>
      <c r="G56" s="80" t="str">
        <f>CVSSv3!$A$9</f>
        <v>Impacto a la confidencialidad:</v>
      </c>
      <c r="H56" s="81" t="s">
        <v>713</v>
      </c>
      <c r="I56" s="88"/>
      <c r="J56" s="89"/>
      <c r="K56" s="89"/>
      <c r="L56" s="85"/>
      <c r="M56" s="85"/>
      <c r="N56" s="85"/>
      <c r="O56" s="85"/>
    </row>
    <row r="57" spans="1:15" x14ac:dyDescent="0.25">
      <c r="A57" s="89"/>
      <c r="B57" s="85"/>
      <c r="C57" s="85"/>
      <c r="D57" s="85"/>
      <c r="E57" s="85"/>
      <c r="F57" s="85"/>
      <c r="G57" s="80" t="str">
        <f>CVSSv3!$A$10</f>
        <v>Impacto a la integridad:</v>
      </c>
      <c r="H57" s="81" t="s">
        <v>713</v>
      </c>
      <c r="I57" s="88"/>
      <c r="J57" s="89"/>
      <c r="K57" s="89"/>
      <c r="L57" s="85"/>
      <c r="M57" s="85"/>
      <c r="N57" s="85"/>
      <c r="O57" s="85"/>
    </row>
    <row r="58" spans="1:15" x14ac:dyDescent="0.25">
      <c r="A58" s="89"/>
      <c r="B58" s="85"/>
      <c r="C58" s="85"/>
      <c r="D58" s="85"/>
      <c r="E58" s="85"/>
      <c r="F58" s="85"/>
      <c r="G58" s="80" t="str">
        <f>CVSSv3!$A$11</f>
        <v>Impacto a la disponibilidad:</v>
      </c>
      <c r="H58" s="81" t="s">
        <v>713</v>
      </c>
      <c r="I58" s="88"/>
      <c r="J58" s="89"/>
      <c r="K58" s="89"/>
      <c r="L58" s="85"/>
      <c r="M58" s="85"/>
      <c r="N58" s="85"/>
      <c r="O58" s="85"/>
    </row>
    <row r="59" spans="1:15" x14ac:dyDescent="0.25">
      <c r="A59" s="89"/>
      <c r="B59" s="85"/>
      <c r="C59" s="85"/>
      <c r="D59" s="85"/>
      <c r="E59" s="85"/>
      <c r="F59" s="85"/>
      <c r="G59" s="80" t="str">
        <f>CVSSv3!$A$12</f>
        <v>Explotabilidad:</v>
      </c>
      <c r="H59" s="81" t="s">
        <v>709</v>
      </c>
      <c r="I59" s="88"/>
      <c r="J59" s="89"/>
      <c r="K59" s="89"/>
      <c r="L59" s="85"/>
      <c r="M59" s="85"/>
      <c r="N59" s="85"/>
      <c r="O59" s="85"/>
    </row>
    <row r="60" spans="1:15" x14ac:dyDescent="0.25">
      <c r="A60" s="89"/>
      <c r="B60" s="85"/>
      <c r="C60" s="85"/>
      <c r="D60" s="85"/>
      <c r="E60" s="85"/>
      <c r="F60" s="85"/>
      <c r="G60" s="80" t="str">
        <f>CVSSv3!$A$13</f>
        <v>Nivel de resolución:</v>
      </c>
      <c r="H60" s="81" t="s">
        <v>714</v>
      </c>
      <c r="I60" s="88"/>
      <c r="J60" s="89"/>
      <c r="K60" s="89"/>
      <c r="L60" s="85"/>
      <c r="M60" s="85"/>
      <c r="N60" s="85"/>
      <c r="O60" s="85"/>
    </row>
    <row r="61" spans="1:15" x14ac:dyDescent="0.25">
      <c r="A61" s="89"/>
      <c r="B61" s="85"/>
      <c r="C61" s="85"/>
      <c r="D61" s="85"/>
      <c r="E61" s="85"/>
      <c r="F61" s="85"/>
      <c r="G61" s="80" t="str">
        <f>CVSSv3!$A$14</f>
        <v>Nivel de confianza</v>
      </c>
      <c r="H61" s="81" t="s">
        <v>715</v>
      </c>
      <c r="I61" s="88"/>
      <c r="J61" s="89"/>
      <c r="K61" s="89"/>
      <c r="L61" s="85"/>
      <c r="M61" s="85"/>
      <c r="N61" s="85"/>
      <c r="O61" s="85"/>
    </row>
    <row r="62" spans="1:15" x14ac:dyDescent="0.25">
      <c r="A62" s="89"/>
      <c r="B62" s="85"/>
      <c r="C62" s="85"/>
      <c r="D62" s="85"/>
      <c r="E62" s="85"/>
      <c r="F62" s="85"/>
      <c r="G62" s="86" t="str">
        <f>"("&amp;CVSSv3!$B$4&amp;":"&amp;IF(H51=CVSSv3!$C$4,CVSSv3!$C$30,IF(H51=CVSSv3!$D$4,CVSSv3!$D$30,IF(H51=CVSSv3!$E$4,CVSSv3!$E$30,IF(H51=CVSSv3!$F$4,CVSSv3!$F$30,""))))&amp;"/"&amp;CVSSv3!$B$5&amp;":"&amp;IF(H52=CVSSv3!$C$5,CVSSv3!$C$31,IF(H52=CVSSv3!$D$5,CVSSv3!$D$31,""))&amp;"/"&amp;CVSSv3!$B$6&amp;":"&amp;IF(H53=CVSSv3!$C$6,CVSSv3!$C$32,IF(H53=CVSSv3!$D$6,CVSSv3!$D$32,IF(H53=CVSSv3!$E$6,CVSSv3!$E$32,"")))&amp;"/"&amp;CVSSv3!$B$7&amp;":"&amp;IF(H54=CVSSv3!$C$7,CVSSv3!$C$33,IF(H54=CVSSv3!$D$7,CVSSv3!$D$33,""))&amp;"/"&amp;CVSSv3!$B$8&amp;":"&amp;IF(H55=CVSSv3!$C$8,CVSSv3!$C$34,IF(H55=CVSSv3!$D$8,CVSSv3!$D$34,""))&amp;"/"&amp;CVSSv3!$B$9&amp;":"&amp;IF(H56=CVSSv3!$C$9,CVSSv3!$C$35,IF(H56=CVSSv3!$D$9,CVSSv3!$D$35,IF(H56=CVSSv3!$E$9,CVSSv3!$E$35,"")))&amp;"/"&amp;CVSSv3!$B$10&amp;":"&amp;IF(H57=CVSSv3!$C$10,CVSSv3!$C$36,IF(H57=CVSSv3!$D$10,CVSSv3!$D$36,IF(H57=CVSSv3!$E$10,CVSSv3!$E$36,"")))&amp;"/"&amp;CVSSv3!$B$11&amp;":"&amp;IF(H58=CVSSv3!$C$11,CVSSv3!$C$37,IF(H58=CVSSv3!$D$11,CVSSv3!$D$37,IF(H58=CVSSv3!$E$11,CVSSv3!$E$37,"")))&amp;"/"&amp;CVSSv3!$B$12&amp;":"&amp;IF(H59=CVSSv3!$C$12,CVSSv3!$C$38,IF(H59=CVSSv3!$D$12,CVSSv3!$D$38,IF(H59=CVSSv3!$E$12,CVSSv3!$E$38,IF(H59=CVSSv3!$F$12,CVSSv3!$F$38,""))))&amp;"/"&amp;CVSSv3!$B$13&amp;":"&amp;IF(H60=CVSSv3!$C$13,CVSSv3!$C$39,IF(H60=CVSSv3!$D$13,CVSSv3!$D$39,IF(H60=CVSSv3!$E$13,CVSSv3!$E$39,IF(H60=CVSSv3!$F$13,CVSSv3!$F$39,""))))&amp;"/"&amp;CVSSv3!$B$14&amp;":"&amp;IF(H61=CVSSv3!$C$14,CVSSv3!$C$40,IF(H61=CVSSv3!$D$14,CVSSv3!$D$40,IF(H61=CVSSv3!$E$14,CVSSv3!$E$40,"")))&amp;")"</f>
        <v>(AV:N/AC:H/PR:N/UI:N/S:C/C:H/I:H/A:H/E:H/RL:U/RC:C)</v>
      </c>
      <c r="H62" s="87"/>
      <c r="I62" s="88"/>
      <c r="J62" s="89"/>
      <c r="K62" s="89"/>
      <c r="L62" s="85"/>
      <c r="M62" s="85"/>
      <c r="N62" s="85"/>
      <c r="O62" s="85"/>
    </row>
    <row r="63" spans="1:15" x14ac:dyDescent="0.25">
      <c r="A63" s="89">
        <v>6</v>
      </c>
      <c r="B63" s="85" t="s">
        <v>719</v>
      </c>
      <c r="C63" s="85" t="s">
        <v>17</v>
      </c>
      <c r="D63" s="85" t="s">
        <v>17</v>
      </c>
      <c r="E63" s="85" t="s">
        <v>17</v>
      </c>
      <c r="F63"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63" s="82" t="str">
        <f>CVSSv3!$A$4</f>
        <v>Vector de ataque:</v>
      </c>
      <c r="H63" s="84" t="s">
        <v>706</v>
      </c>
      <c r="I63" s="88">
        <f>ROUNDUP((IF((IF(H67=CVSSv3!$C$8,(6.42*(1-((1-(IF(H68=CVSSv3!$C$9,CVSSv3!$C$22,(IF(H68=CVSSv3!$D$9,CVSSv3!$D$22,(IF(H68=CVSSv3!$E$9,CVSSv3!$E$22,"")))))))*(1-(IF(H69=CVSSv3!$C$10,CVSSv3!$C$23,(IF(H69=CVSSv3!$D$10,CVSSv3!$D$23,(IF(H69=CVSSv3!$E$10,CVSSv3!$E$23,"")))))))*(1-(IF(H70=CVSSv3!$C$11,CVSSv3!$C$24,(IF(H70=CVSSv3!$D$11,CVSSv3!$D$24,(IF(H70=CVSSv3!$E$11,CVSSv3!$E$24,"")))))))))),((7.52*((1-((1-(IF(H68=CVSSv3!$C$9,CVSSv3!$C$22,(IF(H68=CVSSv3!$D$9,CVSSv3!$D$22,(IF(H68=CVSSv3!$E$9,CVSSv3!$E$22,"")))))))*(1-(IF(H69=CVSSv3!$C$10,CVSSv3!$C$23,(IF(H69=CVSSv3!$D$10,CVSSv3!$D$23,(IF(H69=CVSSv3!$E$10,CVSSv3!$E$23,"")))))))*(1-(IF(H70=CVSSv3!$C$11,CVSSv3!$C$24,(IF(H70=CVSSv3!$D$11,CVSSv3!$D$24,(IF(H70=CVSSv3!$E$11,CVSSv3!$E$24,"")))))))))-0.029))-(3.25*POWER(((1-((1-(IF(H68=CVSSv3!$C$9,CVSSv3!$C$22,(IF(H68=CVSSv3!$D$9,CVSSv3!$D$22,(IF(H68=CVSSv3!$E$9,CVSSv3!$E$22,"")))))))*(1-(IF(H69=CVSSv3!$C$10,CVSSv3!$C$23,(IF(H69=CVSSv3!$D$10,CVSSv3!$D$23,(IF(H69=CVSSv3!$E$10,CVSSv3!$E$23,"")))))))*(1-(IF(H70=CVSSv3!$C$11,CVSSv3!$C$24,(IF(H70=CVSSv3!$D$11,CVSSv3!$D$24,(IF(H70=CVSSv3!$E$11,CVSSv3!$E$24,"")))))))))-0.02),15)))))&lt;=0,0,(IF(H67=CVSSv3!$C$8,ROUNDUP((MIN((IF(H67=CVSSv3!$C$8,(6.42*(1-((1-(IF(H68=CVSSv3!$C$9,CVSSv3!$C$22,(IF(H68=CVSSv3!$D$9,CVSSv3!$D$22,(IF(H68=CVSSv3!$E$9,CVSSv3!$E$22,"")))))))*(1-(IF(H69=CVSSv3!$C$10,CVSSv3!$C$23,(IF(H69=CVSSv3!$D$10,CVSSv3!$D$23,(IF(H69=CVSSv3!$E$10,CVSSv3!$E$23,"")))))))*(1-(IF(H70=CVSSv3!$C$11,CVSSv3!$C$24,(IF(H70=CVSSv3!$D$11,CVSSv3!$D$24,(IF(H70=CVSSv3!$E$11,CVSSv3!$E$24,"")))))))))),((7.52*((1-((1-(IF(H68=CVSSv3!$C$9,CVSSv3!$C$22,(IF(H68=CVSSv3!$D$9,CVSSv3!$D$22,(IF(H68=CVSSv3!$E$9,CVSSv3!$E$22,"")))))))*(1-(IF(H69=CVSSv3!$C$10,CVSSv3!$C$23,(IF(H69=CVSSv3!$D$10,CVSSv3!$D$23,(IF(H69=CVSSv3!$E$10,CVSSv3!$E$23,"")))))))*(1-(IF(H70=CVSSv3!$C$11,CVSSv3!$C$24,(IF(H70=CVSSv3!$D$11,CVSSv3!$D$24,(IF(H70=CVSSv3!$E$11,CVSSv3!$E$24,"")))))))))-0.029))-(3.25*POWER(((1-((1-(IF(H68=CVSSv3!$C$9,CVSSv3!$C$22,(IF(H68=CVSSv3!$D$9,CVSSv3!$D$22,(IF(H68=CVSSv3!$E$9,CVSSv3!$E$22,"")))))))*(1-(IF(H69=CVSSv3!$C$10,CVSSv3!$C$23,(IF(H69=CVSSv3!$D$10,CVSSv3!$D$23,(IF(H69=CVSSv3!$E$10,CVSSv3!$E$23,"")))))))*(1-(IF(H70=CVSSv3!$C$11,CVSSv3!$C$24,(IF(H70=CVSSv3!$D$11,CVSSv3!$D$24,(IF(H70=CVSSv3!$E$11,CVSSv3!$E$24,"")))))))))-0.02),15)))))+(8.22*(IF(H63=CVSSv3!$C$4,CVSSv3!$C$17,(IF(H63=CVSSv3!$D$4,CVSSv3!$D$17,(IF(H63=CVSSv3!$E$4,CVSSv3!$E$17,(IF(H63=CVSSv3!$F$4,CVSSv3!$F$17,""))))))))*(IF(H64=CVSSv3!$C$5,CVSSv3!$C$18,(IF(H64=CVSSv3!$D$5,CVSSv3!$D$18,""))))*(IF(H65=CVSSv3!$C$6,CVSSv3!$C$19,(IF(H65=CVSSv3!$D$6,(IF(H67=CVSSv3!$D$8,0.68,CVSSv3!$D$19)),(IF(H65=CVSSv3!$E$6,(IF(H67=CVSSv3!$D$8,0.5,CVSSv3!$E$19))))))))*(IF(H66=CVSSv3!$C$7,CVSSv3!$C$20,(IF(H66=CVSSv3!$D$7,CVSSv3!$D$20,""))))),10)),1),ROUNDUP((MIN(1.08*((IF(H67=CVSSv3!$C$8,(6.42*(1-((1-(IF(H68=CVSSv3!$C$9,CVSSv3!$C$22,(IF(H68=CVSSv3!$D$9,CVSSv3!$D$22,(IF(H68=CVSSv3!$E$9,CVSSv3!$E$22,"")))))))*(1-(IF(H69=CVSSv3!$C$10,CVSSv3!$C$23,(IF(H69=CVSSv3!$D$10,CVSSv3!$D$23,(IF(H69=CVSSv3!$E$10,CVSSv3!$E$23,"")))))))*(1-(IF(H70=CVSSv3!$C$11,CVSSv3!$C$24,(IF(H70=CVSSv3!$D$11,CVSSv3!$D$24,(IF(H70=CVSSv3!$E$11,CVSSv3!$E$24,"")))))))))),((7.52*((1-((1-(IF(H68=CVSSv3!$C$9,CVSSv3!$C$22,(IF(H68=CVSSv3!$D$9,CVSSv3!$D$22,(IF(H68=CVSSv3!$E$9,CVSSv3!$E$22,"")))))))*(1-(IF(H69=CVSSv3!$C$10,CVSSv3!$C$23,(IF(H69=CVSSv3!$D$10,CVSSv3!$D$23,(IF(H69=CVSSv3!$E$10,CVSSv3!$E$23,"")))))))*(1-(IF(H70=CVSSv3!$C$11,CVSSv3!$C$24,(IF(H70=CVSSv3!$D$11,CVSSv3!$D$24,(IF(H70=CVSSv3!$E$11,CVSSv3!$E$24,"")))))))))-0.029))-(3.25*POWER(((1-((1-(IF(H68=CVSSv3!$C$9,CVSSv3!$C$22,(IF(H68=CVSSv3!$D$9,CVSSv3!$D$22,(IF(H68=CVSSv3!$E$9,CVSSv3!$E$22,"")))))))*(1-(IF(H69=CVSSv3!$C$10,CVSSv3!$C$23,(IF(H69=CVSSv3!$D$10,CVSSv3!$D$23,(IF(H69=CVSSv3!$E$10,CVSSv3!$E$23,"")))))))*(1-(IF(H70=CVSSv3!$C$11,CVSSv3!$C$24,(IF(H70=CVSSv3!$D$11,CVSSv3!$D$24,(IF(H70=CVSSv3!$E$11,CVSSv3!$E$24,"")))))))))-0.02),15)))))+(8.22*(IF(H63=CVSSv3!$C$4,CVSSv3!$C$17,(IF(H63=CVSSv3!$D$4,CVSSv3!$D$17,(IF(H63=CVSSv3!$E$4,CVSSv3!$E$17,(IF(H63=CVSSv3!$F$4,CVSSv3!$F$17,""))))))))*(IF(H64=CVSSv3!$C$5,CVSSv3!$C$18,(IF(H64=CVSSv3!$D$5,CVSSv3!$D$18,""))))*(IF(H65=CVSSv3!$C$6,CVSSv3!$C$19,(IF(H65=CVSSv3!$D$6,(IF(H67=CVSSv3!$D$8,0.68,CVSSv3!$D$19)),(IF(H65=CVSSv3!$E$6,(IF(H67=CVSSv3!$D$8,0.5,CVSSv3!$E$19))))))))*(IF(H66=CVSSv3!$C$7,CVSSv3!$C$20,(IF(H66=CVSSv3!$D$7,CVSSv3!$D$20,"")))))),10)),1))))*(IF(H71=CVSSv3!$C$12,CVSSv3!$C$25,(IF(H71=CVSSv3!$D$12,CVSSv3!$D$25,(IF(H71=CVSSv3!$E$12,CVSSv3!$E$25,(IF(H71=CVSSv3!$F$12,CVSSv3!$F$25,""))))))))*(IF(H72=CVSSv3!$C$13,CVSSv3!$C$26,(IF(H72=CVSSv3!$D$13,CVSSv3!$D$26,(IF(H72=CVSSv3!$E$13,CVSSv3!$E$26,(IF(H72=CVSSv3!$F$13,CVSSv3!$F$26,""))))))))*(IF(H73=CVSSv3!$C$14,CVSSv3!$C$27,(IF(H73=CVSSv3!$D$14,CVSSv3!$D$27,(IF(H73=CVSSv3!$E$14,CVSSv3!$E$27,""))))))),1)</f>
        <v>9</v>
      </c>
      <c r="J63" s="89">
        <v>0</v>
      </c>
      <c r="K63" s="89">
        <v>0</v>
      </c>
      <c r="L63" s="85" t="s">
        <v>17</v>
      </c>
      <c r="M63" s="85" t="s">
        <v>17</v>
      </c>
      <c r="N63" s="85" t="s">
        <v>707</v>
      </c>
      <c r="O63" s="85" t="s">
        <v>708</v>
      </c>
    </row>
    <row r="64" spans="1:15" x14ac:dyDescent="0.25">
      <c r="A64" s="89"/>
      <c r="B64" s="85"/>
      <c r="C64" s="85"/>
      <c r="D64" s="85"/>
      <c r="E64" s="85"/>
      <c r="F64" s="85"/>
      <c r="G64" s="80" t="str">
        <f>CVSSv3!$A$5</f>
        <v>Complejidad de ataque:</v>
      </c>
      <c r="H64" s="81" t="s">
        <v>709</v>
      </c>
      <c r="I64" s="88"/>
      <c r="J64" s="89"/>
      <c r="K64" s="89"/>
      <c r="L64" s="85"/>
      <c r="M64" s="85"/>
      <c r="N64" s="85"/>
      <c r="O64" s="85"/>
    </row>
    <row r="65" spans="1:15" x14ac:dyDescent="0.25">
      <c r="A65" s="89"/>
      <c r="B65" s="85"/>
      <c r="C65" s="85"/>
      <c r="D65" s="85"/>
      <c r="E65" s="85"/>
      <c r="F65" s="85"/>
      <c r="G65" s="80" t="str">
        <f>CVSSv3!$A$6</f>
        <v>Privilegios requeridos:</v>
      </c>
      <c r="H65" s="81" t="s">
        <v>710</v>
      </c>
      <c r="I65" s="88"/>
      <c r="J65" s="89"/>
      <c r="K65" s="89"/>
      <c r="L65" s="85"/>
      <c r="M65" s="85"/>
      <c r="N65" s="85"/>
      <c r="O65" s="85"/>
    </row>
    <row r="66" spans="1:15" x14ac:dyDescent="0.25">
      <c r="A66" s="89"/>
      <c r="B66" s="85"/>
      <c r="C66" s="85"/>
      <c r="D66" s="85"/>
      <c r="E66" s="85"/>
      <c r="F66" s="85"/>
      <c r="G66" s="80" t="str">
        <f>CVSSv3!$A$7</f>
        <v>Interacción del usuario:</v>
      </c>
      <c r="H66" s="81" t="s">
        <v>711</v>
      </c>
      <c r="I66" s="88"/>
      <c r="J66" s="89"/>
      <c r="K66" s="89"/>
      <c r="L66" s="85"/>
      <c r="M66" s="85"/>
      <c r="N66" s="85"/>
      <c r="O66" s="85"/>
    </row>
    <row r="67" spans="1:15" x14ac:dyDescent="0.25">
      <c r="A67" s="89"/>
      <c r="B67" s="85"/>
      <c r="C67" s="85"/>
      <c r="D67" s="85"/>
      <c r="E67" s="85"/>
      <c r="F67" s="85"/>
      <c r="G67" s="80" t="str">
        <f>CVSSv3!$A$8</f>
        <v>Alcance:</v>
      </c>
      <c r="H67" s="81" t="s">
        <v>712</v>
      </c>
      <c r="I67" s="88"/>
      <c r="J67" s="89"/>
      <c r="K67" s="89"/>
      <c r="L67" s="85"/>
      <c r="M67" s="85"/>
      <c r="N67" s="85"/>
      <c r="O67" s="85"/>
    </row>
    <row r="68" spans="1:15" x14ac:dyDescent="0.25">
      <c r="A68" s="89"/>
      <c r="B68" s="85"/>
      <c r="C68" s="85"/>
      <c r="D68" s="85"/>
      <c r="E68" s="85"/>
      <c r="F68" s="85"/>
      <c r="G68" s="80" t="str">
        <f>CVSSv3!$A$9</f>
        <v>Impacto a la confidencialidad:</v>
      </c>
      <c r="H68" s="81" t="s">
        <v>713</v>
      </c>
      <c r="I68" s="88"/>
      <c r="J68" s="89"/>
      <c r="K68" s="89"/>
      <c r="L68" s="85"/>
      <c r="M68" s="85"/>
      <c r="N68" s="85"/>
      <c r="O68" s="85"/>
    </row>
    <row r="69" spans="1:15" x14ac:dyDescent="0.25">
      <c r="A69" s="89"/>
      <c r="B69" s="85"/>
      <c r="C69" s="85"/>
      <c r="D69" s="85"/>
      <c r="E69" s="85"/>
      <c r="F69" s="85"/>
      <c r="G69" s="80" t="str">
        <f>CVSSv3!$A$10</f>
        <v>Impacto a la integridad:</v>
      </c>
      <c r="H69" s="81" t="s">
        <v>713</v>
      </c>
      <c r="I69" s="88"/>
      <c r="J69" s="89"/>
      <c r="K69" s="89"/>
      <c r="L69" s="85"/>
      <c r="M69" s="85"/>
      <c r="N69" s="85"/>
      <c r="O69" s="85"/>
    </row>
    <row r="70" spans="1:15" x14ac:dyDescent="0.25">
      <c r="A70" s="89"/>
      <c r="B70" s="85"/>
      <c r="C70" s="85"/>
      <c r="D70" s="85"/>
      <c r="E70" s="85"/>
      <c r="F70" s="85"/>
      <c r="G70" s="80" t="str">
        <f>CVSSv3!$A$11</f>
        <v>Impacto a la disponibilidad:</v>
      </c>
      <c r="H70" s="81" t="s">
        <v>713</v>
      </c>
      <c r="I70" s="88"/>
      <c r="J70" s="89"/>
      <c r="K70" s="89"/>
      <c r="L70" s="85"/>
      <c r="M70" s="85"/>
      <c r="N70" s="85"/>
      <c r="O70" s="85"/>
    </row>
    <row r="71" spans="1:15" x14ac:dyDescent="0.25">
      <c r="A71" s="89"/>
      <c r="B71" s="85"/>
      <c r="C71" s="85"/>
      <c r="D71" s="85"/>
      <c r="E71" s="85"/>
      <c r="F71" s="85"/>
      <c r="G71" s="80" t="str">
        <f>CVSSv3!$A$12</f>
        <v>Explotabilidad:</v>
      </c>
      <c r="H71" s="81" t="s">
        <v>709</v>
      </c>
      <c r="I71" s="88"/>
      <c r="J71" s="89"/>
      <c r="K71" s="89"/>
      <c r="L71" s="85"/>
      <c r="M71" s="85"/>
      <c r="N71" s="85"/>
      <c r="O71" s="85"/>
    </row>
    <row r="72" spans="1:15" x14ac:dyDescent="0.25">
      <c r="A72" s="89"/>
      <c r="B72" s="85"/>
      <c r="C72" s="85"/>
      <c r="D72" s="85"/>
      <c r="E72" s="85"/>
      <c r="F72" s="85"/>
      <c r="G72" s="80" t="str">
        <f>CVSSv3!$A$13</f>
        <v>Nivel de resolución:</v>
      </c>
      <c r="H72" s="81" t="s">
        <v>714</v>
      </c>
      <c r="I72" s="88"/>
      <c r="J72" s="89"/>
      <c r="K72" s="89"/>
      <c r="L72" s="85"/>
      <c r="M72" s="85"/>
      <c r="N72" s="85"/>
      <c r="O72" s="85"/>
    </row>
    <row r="73" spans="1:15" x14ac:dyDescent="0.25">
      <c r="A73" s="89"/>
      <c r="B73" s="85"/>
      <c r="C73" s="85"/>
      <c r="D73" s="85"/>
      <c r="E73" s="85"/>
      <c r="F73" s="85"/>
      <c r="G73" s="80" t="str">
        <f>CVSSv3!$A$14</f>
        <v>Nivel de confianza</v>
      </c>
      <c r="H73" s="81" t="s">
        <v>715</v>
      </c>
      <c r="I73" s="88"/>
      <c r="J73" s="89"/>
      <c r="K73" s="89"/>
      <c r="L73" s="85"/>
      <c r="M73" s="85"/>
      <c r="N73" s="85"/>
      <c r="O73" s="85"/>
    </row>
    <row r="74" spans="1:15" x14ac:dyDescent="0.25">
      <c r="A74" s="89"/>
      <c r="B74" s="85"/>
      <c r="C74" s="85"/>
      <c r="D74" s="85"/>
      <c r="E74" s="85"/>
      <c r="F74" s="85"/>
      <c r="G74" s="86" t="str">
        <f>"("&amp;CVSSv3!$B$4&amp;":"&amp;IF(H63=CVSSv3!$C$4,CVSSv3!$C$30,IF(H63=CVSSv3!$D$4,CVSSv3!$D$30,IF(H63=CVSSv3!$E$4,CVSSv3!$E$30,IF(H63=CVSSv3!$F$4,CVSSv3!$F$30,""))))&amp;"/"&amp;CVSSv3!$B$5&amp;":"&amp;IF(H64=CVSSv3!$C$5,CVSSv3!$C$31,IF(H64=CVSSv3!$D$5,CVSSv3!$D$31,""))&amp;"/"&amp;CVSSv3!$B$6&amp;":"&amp;IF(H65=CVSSv3!$C$6,CVSSv3!$C$32,IF(H65=CVSSv3!$D$6,CVSSv3!$D$32,IF(H65=CVSSv3!$E$6,CVSSv3!$E$32,"")))&amp;"/"&amp;CVSSv3!$B$7&amp;":"&amp;IF(H66=CVSSv3!$C$7,CVSSv3!$C$33,IF(H66=CVSSv3!$D$7,CVSSv3!$D$33,""))&amp;"/"&amp;CVSSv3!$B$8&amp;":"&amp;IF(H67=CVSSv3!$C$8,CVSSv3!$C$34,IF(H67=CVSSv3!$D$8,CVSSv3!$D$34,""))&amp;"/"&amp;CVSSv3!$B$9&amp;":"&amp;IF(H68=CVSSv3!$C$9,CVSSv3!$C$35,IF(H68=CVSSv3!$D$9,CVSSv3!$D$35,IF(H68=CVSSv3!$E$9,CVSSv3!$E$35,"")))&amp;"/"&amp;CVSSv3!$B$10&amp;":"&amp;IF(H69=CVSSv3!$C$10,CVSSv3!$C$36,IF(H69=CVSSv3!$D$10,CVSSv3!$D$36,IF(H69=CVSSv3!$E$10,CVSSv3!$E$36,"")))&amp;"/"&amp;CVSSv3!$B$11&amp;":"&amp;IF(H70=CVSSv3!$C$11,CVSSv3!$C$37,IF(H70=CVSSv3!$D$11,CVSSv3!$D$37,IF(H70=CVSSv3!$E$11,CVSSv3!$E$37,"")))&amp;"/"&amp;CVSSv3!$B$12&amp;":"&amp;IF(H71=CVSSv3!$C$12,CVSSv3!$C$38,IF(H71=CVSSv3!$D$12,CVSSv3!$D$38,IF(H71=CVSSv3!$E$12,CVSSv3!$E$38,IF(H71=CVSSv3!$F$12,CVSSv3!$F$38,""))))&amp;"/"&amp;CVSSv3!$B$13&amp;":"&amp;IF(H72=CVSSv3!$C$13,CVSSv3!$C$39,IF(H72=CVSSv3!$D$13,CVSSv3!$D$39,IF(H72=CVSSv3!$E$13,CVSSv3!$E$39,IF(H72=CVSSv3!$F$13,CVSSv3!$F$39,""))))&amp;"/"&amp;CVSSv3!$B$14&amp;":"&amp;IF(H73=CVSSv3!$C$14,CVSSv3!$C$40,IF(H73=CVSSv3!$D$14,CVSSv3!$D$40,IF(H73=CVSSv3!$E$14,CVSSv3!$E$40,"")))&amp;")"</f>
        <v>(AV:N/AC:H/PR:N/UI:N/S:C/C:H/I:H/A:H/E:H/RL:U/RC:C)</v>
      </c>
      <c r="H74" s="87"/>
      <c r="I74" s="88"/>
      <c r="J74" s="89"/>
      <c r="K74" s="89"/>
      <c r="L74" s="85"/>
      <c r="M74" s="85"/>
      <c r="N74" s="85"/>
      <c r="O74" s="85"/>
    </row>
    <row r="75" spans="1:15" x14ac:dyDescent="0.25">
      <c r="A75" s="89">
        <v>7</v>
      </c>
      <c r="B75" s="85" t="s">
        <v>720</v>
      </c>
      <c r="C75" s="85" t="s">
        <v>17</v>
      </c>
      <c r="D75" s="85" t="s">
        <v>17</v>
      </c>
      <c r="E75" s="85" t="s">
        <v>17</v>
      </c>
      <c r="F75"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75" s="82" t="str">
        <f>CVSSv3!$A$4</f>
        <v>Vector de ataque:</v>
      </c>
      <c r="H75" s="84" t="s">
        <v>706</v>
      </c>
      <c r="I75" s="88">
        <f>ROUNDUP((IF((IF(H79=CVSSv3!$C$8,(6.42*(1-((1-(IF(H80=CVSSv3!$C$9,CVSSv3!$C$22,(IF(H80=CVSSv3!$D$9,CVSSv3!$D$22,(IF(H80=CVSSv3!$E$9,CVSSv3!$E$22,"")))))))*(1-(IF(H81=CVSSv3!$C$10,CVSSv3!$C$23,(IF(H81=CVSSv3!$D$10,CVSSv3!$D$23,(IF(H81=CVSSv3!$E$10,CVSSv3!$E$23,"")))))))*(1-(IF(H82=CVSSv3!$C$11,CVSSv3!$C$24,(IF(H82=CVSSv3!$D$11,CVSSv3!$D$24,(IF(H82=CVSSv3!$E$11,CVSSv3!$E$24,"")))))))))),((7.52*((1-((1-(IF(H80=CVSSv3!$C$9,CVSSv3!$C$22,(IF(H80=CVSSv3!$D$9,CVSSv3!$D$22,(IF(H80=CVSSv3!$E$9,CVSSv3!$E$22,"")))))))*(1-(IF(H81=CVSSv3!$C$10,CVSSv3!$C$23,(IF(H81=CVSSv3!$D$10,CVSSv3!$D$23,(IF(H81=CVSSv3!$E$10,CVSSv3!$E$23,"")))))))*(1-(IF(H82=CVSSv3!$C$11,CVSSv3!$C$24,(IF(H82=CVSSv3!$D$11,CVSSv3!$D$24,(IF(H82=CVSSv3!$E$11,CVSSv3!$E$24,"")))))))))-0.029))-(3.25*POWER(((1-((1-(IF(H80=CVSSv3!$C$9,CVSSv3!$C$22,(IF(H80=CVSSv3!$D$9,CVSSv3!$D$22,(IF(H80=CVSSv3!$E$9,CVSSv3!$E$22,"")))))))*(1-(IF(H81=CVSSv3!$C$10,CVSSv3!$C$23,(IF(H81=CVSSv3!$D$10,CVSSv3!$D$23,(IF(H81=CVSSv3!$E$10,CVSSv3!$E$23,"")))))))*(1-(IF(H82=CVSSv3!$C$11,CVSSv3!$C$24,(IF(H82=CVSSv3!$D$11,CVSSv3!$D$24,(IF(H82=CVSSv3!$E$11,CVSSv3!$E$24,"")))))))))-0.02),15)))))&lt;=0,0,(IF(H79=CVSSv3!$C$8,ROUNDUP((MIN((IF(H79=CVSSv3!$C$8,(6.42*(1-((1-(IF(H80=CVSSv3!$C$9,CVSSv3!$C$22,(IF(H80=CVSSv3!$D$9,CVSSv3!$D$22,(IF(H80=CVSSv3!$E$9,CVSSv3!$E$22,"")))))))*(1-(IF(H81=CVSSv3!$C$10,CVSSv3!$C$23,(IF(H81=CVSSv3!$D$10,CVSSv3!$D$23,(IF(H81=CVSSv3!$E$10,CVSSv3!$E$23,"")))))))*(1-(IF(H82=CVSSv3!$C$11,CVSSv3!$C$24,(IF(H82=CVSSv3!$D$11,CVSSv3!$D$24,(IF(H82=CVSSv3!$E$11,CVSSv3!$E$24,"")))))))))),((7.52*((1-((1-(IF(H80=CVSSv3!$C$9,CVSSv3!$C$22,(IF(H80=CVSSv3!$D$9,CVSSv3!$D$22,(IF(H80=CVSSv3!$E$9,CVSSv3!$E$22,"")))))))*(1-(IF(H81=CVSSv3!$C$10,CVSSv3!$C$23,(IF(H81=CVSSv3!$D$10,CVSSv3!$D$23,(IF(H81=CVSSv3!$E$10,CVSSv3!$E$23,"")))))))*(1-(IF(H82=CVSSv3!$C$11,CVSSv3!$C$24,(IF(H82=CVSSv3!$D$11,CVSSv3!$D$24,(IF(H82=CVSSv3!$E$11,CVSSv3!$E$24,"")))))))))-0.029))-(3.25*POWER(((1-((1-(IF(H80=CVSSv3!$C$9,CVSSv3!$C$22,(IF(H80=CVSSv3!$D$9,CVSSv3!$D$22,(IF(H80=CVSSv3!$E$9,CVSSv3!$E$22,"")))))))*(1-(IF(H81=CVSSv3!$C$10,CVSSv3!$C$23,(IF(H81=CVSSv3!$D$10,CVSSv3!$D$23,(IF(H81=CVSSv3!$E$10,CVSSv3!$E$23,"")))))))*(1-(IF(H82=CVSSv3!$C$11,CVSSv3!$C$24,(IF(H82=CVSSv3!$D$11,CVSSv3!$D$24,(IF(H82=CVSSv3!$E$11,CVSSv3!$E$24,"")))))))))-0.02),15)))))+(8.22*(IF(H75=CVSSv3!$C$4,CVSSv3!$C$17,(IF(H75=CVSSv3!$D$4,CVSSv3!$D$17,(IF(H75=CVSSv3!$E$4,CVSSv3!$E$17,(IF(H75=CVSSv3!$F$4,CVSSv3!$F$17,""))))))))*(IF(H76=CVSSv3!$C$5,CVSSv3!$C$18,(IF(H76=CVSSv3!$D$5,CVSSv3!$D$18,""))))*(IF(H77=CVSSv3!$C$6,CVSSv3!$C$19,(IF(H77=CVSSv3!$D$6,(IF(H79=CVSSv3!$D$8,0.68,CVSSv3!$D$19)),(IF(H77=CVSSv3!$E$6,(IF(H79=CVSSv3!$D$8,0.5,CVSSv3!$E$19))))))))*(IF(H78=CVSSv3!$C$7,CVSSv3!$C$20,(IF(H78=CVSSv3!$D$7,CVSSv3!$D$20,""))))),10)),1),ROUNDUP((MIN(1.08*((IF(H79=CVSSv3!$C$8,(6.42*(1-((1-(IF(H80=CVSSv3!$C$9,CVSSv3!$C$22,(IF(H80=CVSSv3!$D$9,CVSSv3!$D$22,(IF(H80=CVSSv3!$E$9,CVSSv3!$E$22,"")))))))*(1-(IF(H81=CVSSv3!$C$10,CVSSv3!$C$23,(IF(H81=CVSSv3!$D$10,CVSSv3!$D$23,(IF(H81=CVSSv3!$E$10,CVSSv3!$E$23,"")))))))*(1-(IF(H82=CVSSv3!$C$11,CVSSv3!$C$24,(IF(H82=CVSSv3!$D$11,CVSSv3!$D$24,(IF(H82=CVSSv3!$E$11,CVSSv3!$E$24,"")))))))))),((7.52*((1-((1-(IF(H80=CVSSv3!$C$9,CVSSv3!$C$22,(IF(H80=CVSSv3!$D$9,CVSSv3!$D$22,(IF(H80=CVSSv3!$E$9,CVSSv3!$E$22,"")))))))*(1-(IF(H81=CVSSv3!$C$10,CVSSv3!$C$23,(IF(H81=CVSSv3!$D$10,CVSSv3!$D$23,(IF(H81=CVSSv3!$E$10,CVSSv3!$E$23,"")))))))*(1-(IF(H82=CVSSv3!$C$11,CVSSv3!$C$24,(IF(H82=CVSSv3!$D$11,CVSSv3!$D$24,(IF(H82=CVSSv3!$E$11,CVSSv3!$E$24,"")))))))))-0.029))-(3.25*POWER(((1-((1-(IF(H80=CVSSv3!$C$9,CVSSv3!$C$22,(IF(H80=CVSSv3!$D$9,CVSSv3!$D$22,(IF(H80=CVSSv3!$E$9,CVSSv3!$E$22,"")))))))*(1-(IF(H81=CVSSv3!$C$10,CVSSv3!$C$23,(IF(H81=CVSSv3!$D$10,CVSSv3!$D$23,(IF(H81=CVSSv3!$E$10,CVSSv3!$E$23,"")))))))*(1-(IF(H82=CVSSv3!$C$11,CVSSv3!$C$24,(IF(H82=CVSSv3!$D$11,CVSSv3!$D$24,(IF(H82=CVSSv3!$E$11,CVSSv3!$E$24,"")))))))))-0.02),15)))))+(8.22*(IF(H75=CVSSv3!$C$4,CVSSv3!$C$17,(IF(H75=CVSSv3!$D$4,CVSSv3!$D$17,(IF(H75=CVSSv3!$E$4,CVSSv3!$E$17,(IF(H75=CVSSv3!$F$4,CVSSv3!$F$17,""))))))))*(IF(H76=CVSSv3!$C$5,CVSSv3!$C$18,(IF(H76=CVSSv3!$D$5,CVSSv3!$D$18,""))))*(IF(H77=CVSSv3!$C$6,CVSSv3!$C$19,(IF(H77=CVSSv3!$D$6,(IF(H79=CVSSv3!$D$8,0.68,CVSSv3!$D$19)),(IF(H77=CVSSv3!$E$6,(IF(H79=CVSSv3!$D$8,0.5,CVSSv3!$E$19))))))))*(IF(H78=CVSSv3!$C$7,CVSSv3!$C$20,(IF(H78=CVSSv3!$D$7,CVSSv3!$D$20,"")))))),10)),1))))*(IF(H83=CVSSv3!$C$12,CVSSv3!$C$25,(IF(H83=CVSSv3!$D$12,CVSSv3!$D$25,(IF(H83=CVSSv3!$E$12,CVSSv3!$E$25,(IF(H83=CVSSv3!$F$12,CVSSv3!$F$25,""))))))))*(IF(H84=CVSSv3!$C$13,CVSSv3!$C$26,(IF(H84=CVSSv3!$D$13,CVSSv3!$D$26,(IF(H84=CVSSv3!$E$13,CVSSv3!$E$26,(IF(H84=CVSSv3!$F$13,CVSSv3!$F$26,""))))))))*(IF(H85=CVSSv3!$C$14,CVSSv3!$C$27,(IF(H85=CVSSv3!$D$14,CVSSv3!$D$27,(IF(H85=CVSSv3!$E$14,CVSSv3!$E$27,""))))))),1)</f>
        <v>9</v>
      </c>
      <c r="J75" s="89">
        <v>0</v>
      </c>
      <c r="K75" s="89">
        <v>0</v>
      </c>
      <c r="L75" s="85" t="s">
        <v>17</v>
      </c>
      <c r="M75" s="85" t="s">
        <v>17</v>
      </c>
      <c r="N75" s="85" t="s">
        <v>707</v>
      </c>
      <c r="O75" s="85" t="s">
        <v>708</v>
      </c>
    </row>
    <row r="76" spans="1:15" x14ac:dyDescent="0.25">
      <c r="A76" s="89"/>
      <c r="B76" s="85"/>
      <c r="C76" s="85"/>
      <c r="D76" s="85"/>
      <c r="E76" s="85"/>
      <c r="F76" s="85"/>
      <c r="G76" s="80" t="str">
        <f>CVSSv3!$A$5</f>
        <v>Complejidad de ataque:</v>
      </c>
      <c r="H76" s="81" t="s">
        <v>709</v>
      </c>
      <c r="I76" s="88"/>
      <c r="J76" s="89"/>
      <c r="K76" s="89"/>
      <c r="L76" s="85"/>
      <c r="M76" s="85"/>
      <c r="N76" s="85"/>
      <c r="O76" s="85"/>
    </row>
    <row r="77" spans="1:15" x14ac:dyDescent="0.25">
      <c r="A77" s="89"/>
      <c r="B77" s="85"/>
      <c r="C77" s="85"/>
      <c r="D77" s="85"/>
      <c r="E77" s="85"/>
      <c r="F77" s="85"/>
      <c r="G77" s="80" t="str">
        <f>CVSSv3!$A$6</f>
        <v>Privilegios requeridos:</v>
      </c>
      <c r="H77" s="81" t="s">
        <v>710</v>
      </c>
      <c r="I77" s="88"/>
      <c r="J77" s="89"/>
      <c r="K77" s="89"/>
      <c r="L77" s="85"/>
      <c r="M77" s="85"/>
      <c r="N77" s="85"/>
      <c r="O77" s="85"/>
    </row>
    <row r="78" spans="1:15" x14ac:dyDescent="0.25">
      <c r="A78" s="89"/>
      <c r="B78" s="85"/>
      <c r="C78" s="85"/>
      <c r="D78" s="85"/>
      <c r="E78" s="85"/>
      <c r="F78" s="85"/>
      <c r="G78" s="80" t="str">
        <f>CVSSv3!$A$7</f>
        <v>Interacción del usuario:</v>
      </c>
      <c r="H78" s="81" t="s">
        <v>711</v>
      </c>
      <c r="I78" s="88"/>
      <c r="J78" s="89"/>
      <c r="K78" s="89"/>
      <c r="L78" s="85"/>
      <c r="M78" s="85"/>
      <c r="N78" s="85"/>
      <c r="O78" s="85"/>
    </row>
    <row r="79" spans="1:15" x14ac:dyDescent="0.25">
      <c r="A79" s="89"/>
      <c r="B79" s="85"/>
      <c r="C79" s="85"/>
      <c r="D79" s="85"/>
      <c r="E79" s="85"/>
      <c r="F79" s="85"/>
      <c r="G79" s="80" t="str">
        <f>CVSSv3!$A$8</f>
        <v>Alcance:</v>
      </c>
      <c r="H79" s="81" t="s">
        <v>712</v>
      </c>
      <c r="I79" s="88"/>
      <c r="J79" s="89"/>
      <c r="K79" s="89"/>
      <c r="L79" s="85"/>
      <c r="M79" s="85"/>
      <c r="N79" s="85"/>
      <c r="O79" s="85"/>
    </row>
    <row r="80" spans="1:15" x14ac:dyDescent="0.25">
      <c r="A80" s="89"/>
      <c r="B80" s="85"/>
      <c r="C80" s="85"/>
      <c r="D80" s="85"/>
      <c r="E80" s="85"/>
      <c r="F80" s="85"/>
      <c r="G80" s="80" t="str">
        <f>CVSSv3!$A$9</f>
        <v>Impacto a la confidencialidad:</v>
      </c>
      <c r="H80" s="81" t="s">
        <v>713</v>
      </c>
      <c r="I80" s="88"/>
      <c r="J80" s="89"/>
      <c r="K80" s="89"/>
      <c r="L80" s="85"/>
      <c r="M80" s="85"/>
      <c r="N80" s="85"/>
      <c r="O80" s="85"/>
    </row>
    <row r="81" spans="1:15" x14ac:dyDescent="0.25">
      <c r="A81" s="89"/>
      <c r="B81" s="85"/>
      <c r="C81" s="85"/>
      <c r="D81" s="85"/>
      <c r="E81" s="85"/>
      <c r="F81" s="85"/>
      <c r="G81" s="80" t="str">
        <f>CVSSv3!$A$10</f>
        <v>Impacto a la integridad:</v>
      </c>
      <c r="H81" s="81" t="s">
        <v>713</v>
      </c>
      <c r="I81" s="88"/>
      <c r="J81" s="89"/>
      <c r="K81" s="89"/>
      <c r="L81" s="85"/>
      <c r="M81" s="85"/>
      <c r="N81" s="85"/>
      <c r="O81" s="85"/>
    </row>
    <row r="82" spans="1:15" x14ac:dyDescent="0.25">
      <c r="A82" s="89"/>
      <c r="B82" s="85"/>
      <c r="C82" s="85"/>
      <c r="D82" s="85"/>
      <c r="E82" s="85"/>
      <c r="F82" s="85"/>
      <c r="G82" s="80" t="str">
        <f>CVSSv3!$A$11</f>
        <v>Impacto a la disponibilidad:</v>
      </c>
      <c r="H82" s="81" t="s">
        <v>713</v>
      </c>
      <c r="I82" s="88"/>
      <c r="J82" s="89"/>
      <c r="K82" s="89"/>
      <c r="L82" s="85"/>
      <c r="M82" s="85"/>
      <c r="N82" s="85"/>
      <c r="O82" s="85"/>
    </row>
    <row r="83" spans="1:15" x14ac:dyDescent="0.25">
      <c r="A83" s="89"/>
      <c r="B83" s="85"/>
      <c r="C83" s="85"/>
      <c r="D83" s="85"/>
      <c r="E83" s="85"/>
      <c r="F83" s="85"/>
      <c r="G83" s="80" t="str">
        <f>CVSSv3!$A$12</f>
        <v>Explotabilidad:</v>
      </c>
      <c r="H83" s="81" t="s">
        <v>709</v>
      </c>
      <c r="I83" s="88"/>
      <c r="J83" s="89"/>
      <c r="K83" s="89"/>
      <c r="L83" s="85"/>
      <c r="M83" s="85"/>
      <c r="N83" s="85"/>
      <c r="O83" s="85"/>
    </row>
    <row r="84" spans="1:15" x14ac:dyDescent="0.25">
      <c r="A84" s="89"/>
      <c r="B84" s="85"/>
      <c r="C84" s="85"/>
      <c r="D84" s="85"/>
      <c r="E84" s="85"/>
      <c r="F84" s="85"/>
      <c r="G84" s="80" t="str">
        <f>CVSSv3!$A$13</f>
        <v>Nivel de resolución:</v>
      </c>
      <c r="H84" s="81" t="s">
        <v>714</v>
      </c>
      <c r="I84" s="88"/>
      <c r="J84" s="89"/>
      <c r="K84" s="89"/>
      <c r="L84" s="85"/>
      <c r="M84" s="85"/>
      <c r="N84" s="85"/>
      <c r="O84" s="85"/>
    </row>
    <row r="85" spans="1:15" x14ac:dyDescent="0.25">
      <c r="A85" s="89"/>
      <c r="B85" s="85"/>
      <c r="C85" s="85"/>
      <c r="D85" s="85"/>
      <c r="E85" s="85"/>
      <c r="F85" s="85"/>
      <c r="G85" s="80" t="str">
        <f>CVSSv3!$A$14</f>
        <v>Nivel de confianza</v>
      </c>
      <c r="H85" s="81" t="s">
        <v>715</v>
      </c>
      <c r="I85" s="88"/>
      <c r="J85" s="89"/>
      <c r="K85" s="89"/>
      <c r="L85" s="85"/>
      <c r="M85" s="85"/>
      <c r="N85" s="85"/>
      <c r="O85" s="85"/>
    </row>
    <row r="86" spans="1:15" x14ac:dyDescent="0.25">
      <c r="A86" s="89"/>
      <c r="B86" s="85"/>
      <c r="C86" s="85"/>
      <c r="D86" s="85"/>
      <c r="E86" s="85"/>
      <c r="F86" s="85"/>
      <c r="G86" s="86" t="str">
        <f>"("&amp;CVSSv3!$B$4&amp;":"&amp;IF(H75=CVSSv3!$C$4,CVSSv3!$C$30,IF(H75=CVSSv3!$D$4,CVSSv3!$D$30,IF(H75=CVSSv3!$E$4,CVSSv3!$E$30,IF(H75=CVSSv3!$F$4,CVSSv3!$F$30,""))))&amp;"/"&amp;CVSSv3!$B$5&amp;":"&amp;IF(H76=CVSSv3!$C$5,CVSSv3!$C$31,IF(H76=CVSSv3!$D$5,CVSSv3!$D$31,""))&amp;"/"&amp;CVSSv3!$B$6&amp;":"&amp;IF(H77=CVSSv3!$C$6,CVSSv3!$C$32,IF(H77=CVSSv3!$D$6,CVSSv3!$D$32,IF(H77=CVSSv3!$E$6,CVSSv3!$E$32,"")))&amp;"/"&amp;CVSSv3!$B$7&amp;":"&amp;IF(H78=CVSSv3!$C$7,CVSSv3!$C$33,IF(H78=CVSSv3!$D$7,CVSSv3!$D$33,""))&amp;"/"&amp;CVSSv3!$B$8&amp;":"&amp;IF(H79=CVSSv3!$C$8,CVSSv3!$C$34,IF(H79=CVSSv3!$D$8,CVSSv3!$D$34,""))&amp;"/"&amp;CVSSv3!$B$9&amp;":"&amp;IF(H80=CVSSv3!$C$9,CVSSv3!$C$35,IF(H80=CVSSv3!$D$9,CVSSv3!$D$35,IF(H80=CVSSv3!$E$9,CVSSv3!$E$35,"")))&amp;"/"&amp;CVSSv3!$B$10&amp;":"&amp;IF(H81=CVSSv3!$C$10,CVSSv3!$C$36,IF(H81=CVSSv3!$D$10,CVSSv3!$D$36,IF(H81=CVSSv3!$E$10,CVSSv3!$E$36,"")))&amp;"/"&amp;CVSSv3!$B$11&amp;":"&amp;IF(H82=CVSSv3!$C$11,CVSSv3!$C$37,IF(H82=CVSSv3!$D$11,CVSSv3!$D$37,IF(H82=CVSSv3!$E$11,CVSSv3!$E$37,"")))&amp;"/"&amp;CVSSv3!$B$12&amp;":"&amp;IF(H83=CVSSv3!$C$12,CVSSv3!$C$38,IF(H83=CVSSv3!$D$12,CVSSv3!$D$38,IF(H83=CVSSv3!$E$12,CVSSv3!$E$38,IF(H83=CVSSv3!$F$12,CVSSv3!$F$38,""))))&amp;"/"&amp;CVSSv3!$B$13&amp;":"&amp;IF(H84=CVSSv3!$C$13,CVSSv3!$C$39,IF(H84=CVSSv3!$D$13,CVSSv3!$D$39,IF(H84=CVSSv3!$E$13,CVSSv3!$E$39,IF(H84=CVSSv3!$F$13,CVSSv3!$F$39,""))))&amp;"/"&amp;CVSSv3!$B$14&amp;":"&amp;IF(H85=CVSSv3!$C$14,CVSSv3!$C$40,IF(H85=CVSSv3!$D$14,CVSSv3!$D$40,IF(H85=CVSSv3!$E$14,CVSSv3!$E$40,"")))&amp;")"</f>
        <v>(AV:N/AC:H/PR:N/UI:N/S:C/C:H/I:H/A:H/E:H/RL:U/RC:C)</v>
      </c>
      <c r="H86" s="87"/>
      <c r="I86" s="88"/>
      <c r="J86" s="89"/>
      <c r="K86" s="89"/>
      <c r="L86" s="85"/>
      <c r="M86" s="85"/>
      <c r="N86" s="85"/>
      <c r="O86" s="85"/>
    </row>
    <row r="87" spans="1:15" x14ac:dyDescent="0.25">
      <c r="A87" s="89">
        <v>8</v>
      </c>
      <c r="B87" s="85" t="s">
        <v>721</v>
      </c>
      <c r="C87" s="85" t="s">
        <v>17</v>
      </c>
      <c r="D87" s="85" t="s">
        <v>17</v>
      </c>
      <c r="E87" s="85" t="s">
        <v>17</v>
      </c>
      <c r="F87"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87" s="82" t="str">
        <f>CVSSv3!$A$4</f>
        <v>Vector de ataque:</v>
      </c>
      <c r="H87" s="84" t="s">
        <v>706</v>
      </c>
      <c r="I87" s="88">
        <f>ROUNDUP((IF((IF(H91=CVSSv3!$C$8,(6.42*(1-((1-(IF(H92=CVSSv3!$C$9,CVSSv3!$C$22,(IF(H92=CVSSv3!$D$9,CVSSv3!$D$22,(IF(H92=CVSSv3!$E$9,CVSSv3!$E$22,"")))))))*(1-(IF(H93=CVSSv3!$C$10,CVSSv3!$C$23,(IF(H93=CVSSv3!$D$10,CVSSv3!$D$23,(IF(H93=CVSSv3!$E$10,CVSSv3!$E$23,"")))))))*(1-(IF(H94=CVSSv3!$C$11,CVSSv3!$C$24,(IF(H94=CVSSv3!$D$11,CVSSv3!$D$24,(IF(H94=CVSSv3!$E$11,CVSSv3!$E$24,"")))))))))),((7.52*((1-((1-(IF(H92=CVSSv3!$C$9,CVSSv3!$C$22,(IF(H92=CVSSv3!$D$9,CVSSv3!$D$22,(IF(H92=CVSSv3!$E$9,CVSSv3!$E$22,"")))))))*(1-(IF(H93=CVSSv3!$C$10,CVSSv3!$C$23,(IF(H93=CVSSv3!$D$10,CVSSv3!$D$23,(IF(H93=CVSSv3!$E$10,CVSSv3!$E$23,"")))))))*(1-(IF(H94=CVSSv3!$C$11,CVSSv3!$C$24,(IF(H94=CVSSv3!$D$11,CVSSv3!$D$24,(IF(H94=CVSSv3!$E$11,CVSSv3!$E$24,"")))))))))-0.029))-(3.25*POWER(((1-((1-(IF(H92=CVSSv3!$C$9,CVSSv3!$C$22,(IF(H92=CVSSv3!$D$9,CVSSv3!$D$22,(IF(H92=CVSSv3!$E$9,CVSSv3!$E$22,"")))))))*(1-(IF(H93=CVSSv3!$C$10,CVSSv3!$C$23,(IF(H93=CVSSv3!$D$10,CVSSv3!$D$23,(IF(H93=CVSSv3!$E$10,CVSSv3!$E$23,"")))))))*(1-(IF(H94=CVSSv3!$C$11,CVSSv3!$C$24,(IF(H94=CVSSv3!$D$11,CVSSv3!$D$24,(IF(H94=CVSSv3!$E$11,CVSSv3!$E$24,"")))))))))-0.02),15)))))&lt;=0,0,(IF(H91=CVSSv3!$C$8,ROUNDUP((MIN((IF(H91=CVSSv3!$C$8,(6.42*(1-((1-(IF(H92=CVSSv3!$C$9,CVSSv3!$C$22,(IF(H92=CVSSv3!$D$9,CVSSv3!$D$22,(IF(H92=CVSSv3!$E$9,CVSSv3!$E$22,"")))))))*(1-(IF(H93=CVSSv3!$C$10,CVSSv3!$C$23,(IF(H93=CVSSv3!$D$10,CVSSv3!$D$23,(IF(H93=CVSSv3!$E$10,CVSSv3!$E$23,"")))))))*(1-(IF(H94=CVSSv3!$C$11,CVSSv3!$C$24,(IF(H94=CVSSv3!$D$11,CVSSv3!$D$24,(IF(H94=CVSSv3!$E$11,CVSSv3!$E$24,"")))))))))),((7.52*((1-((1-(IF(H92=CVSSv3!$C$9,CVSSv3!$C$22,(IF(H92=CVSSv3!$D$9,CVSSv3!$D$22,(IF(H92=CVSSv3!$E$9,CVSSv3!$E$22,"")))))))*(1-(IF(H93=CVSSv3!$C$10,CVSSv3!$C$23,(IF(H93=CVSSv3!$D$10,CVSSv3!$D$23,(IF(H93=CVSSv3!$E$10,CVSSv3!$E$23,"")))))))*(1-(IF(H94=CVSSv3!$C$11,CVSSv3!$C$24,(IF(H94=CVSSv3!$D$11,CVSSv3!$D$24,(IF(H94=CVSSv3!$E$11,CVSSv3!$E$24,"")))))))))-0.029))-(3.25*POWER(((1-((1-(IF(H92=CVSSv3!$C$9,CVSSv3!$C$22,(IF(H92=CVSSv3!$D$9,CVSSv3!$D$22,(IF(H92=CVSSv3!$E$9,CVSSv3!$E$22,"")))))))*(1-(IF(H93=CVSSv3!$C$10,CVSSv3!$C$23,(IF(H93=CVSSv3!$D$10,CVSSv3!$D$23,(IF(H93=CVSSv3!$E$10,CVSSv3!$E$23,"")))))))*(1-(IF(H94=CVSSv3!$C$11,CVSSv3!$C$24,(IF(H94=CVSSv3!$D$11,CVSSv3!$D$24,(IF(H94=CVSSv3!$E$11,CVSSv3!$E$24,"")))))))))-0.02),15)))))+(8.22*(IF(H87=CVSSv3!$C$4,CVSSv3!$C$17,(IF(H87=CVSSv3!$D$4,CVSSv3!$D$17,(IF(H87=CVSSv3!$E$4,CVSSv3!$E$17,(IF(H87=CVSSv3!$F$4,CVSSv3!$F$17,""))))))))*(IF(H88=CVSSv3!$C$5,CVSSv3!$C$18,(IF(H88=CVSSv3!$D$5,CVSSv3!$D$18,""))))*(IF(H89=CVSSv3!$C$6,CVSSv3!$C$19,(IF(H89=CVSSv3!$D$6,(IF(H91=CVSSv3!$D$8,0.68,CVSSv3!$D$19)),(IF(H89=CVSSv3!$E$6,(IF(H91=CVSSv3!$D$8,0.5,CVSSv3!$E$19))))))))*(IF(H90=CVSSv3!$C$7,CVSSv3!$C$20,(IF(H90=CVSSv3!$D$7,CVSSv3!$D$20,""))))),10)),1),ROUNDUP((MIN(1.08*((IF(H91=CVSSv3!$C$8,(6.42*(1-((1-(IF(H92=CVSSv3!$C$9,CVSSv3!$C$22,(IF(H92=CVSSv3!$D$9,CVSSv3!$D$22,(IF(H92=CVSSv3!$E$9,CVSSv3!$E$22,"")))))))*(1-(IF(H93=CVSSv3!$C$10,CVSSv3!$C$23,(IF(H93=CVSSv3!$D$10,CVSSv3!$D$23,(IF(H93=CVSSv3!$E$10,CVSSv3!$E$23,"")))))))*(1-(IF(H94=CVSSv3!$C$11,CVSSv3!$C$24,(IF(H94=CVSSv3!$D$11,CVSSv3!$D$24,(IF(H94=CVSSv3!$E$11,CVSSv3!$E$24,"")))))))))),((7.52*((1-((1-(IF(H92=CVSSv3!$C$9,CVSSv3!$C$22,(IF(H92=CVSSv3!$D$9,CVSSv3!$D$22,(IF(H92=CVSSv3!$E$9,CVSSv3!$E$22,"")))))))*(1-(IF(H93=CVSSv3!$C$10,CVSSv3!$C$23,(IF(H93=CVSSv3!$D$10,CVSSv3!$D$23,(IF(H93=CVSSv3!$E$10,CVSSv3!$E$23,"")))))))*(1-(IF(H94=CVSSv3!$C$11,CVSSv3!$C$24,(IF(H94=CVSSv3!$D$11,CVSSv3!$D$24,(IF(H94=CVSSv3!$E$11,CVSSv3!$E$24,"")))))))))-0.029))-(3.25*POWER(((1-((1-(IF(H92=CVSSv3!$C$9,CVSSv3!$C$22,(IF(H92=CVSSv3!$D$9,CVSSv3!$D$22,(IF(H92=CVSSv3!$E$9,CVSSv3!$E$22,"")))))))*(1-(IF(H93=CVSSv3!$C$10,CVSSv3!$C$23,(IF(H93=CVSSv3!$D$10,CVSSv3!$D$23,(IF(H93=CVSSv3!$E$10,CVSSv3!$E$23,"")))))))*(1-(IF(H94=CVSSv3!$C$11,CVSSv3!$C$24,(IF(H94=CVSSv3!$D$11,CVSSv3!$D$24,(IF(H94=CVSSv3!$E$11,CVSSv3!$E$24,"")))))))))-0.02),15)))))+(8.22*(IF(H87=CVSSv3!$C$4,CVSSv3!$C$17,(IF(H87=CVSSv3!$D$4,CVSSv3!$D$17,(IF(H87=CVSSv3!$E$4,CVSSv3!$E$17,(IF(H87=CVSSv3!$F$4,CVSSv3!$F$17,""))))))))*(IF(H88=CVSSv3!$C$5,CVSSv3!$C$18,(IF(H88=CVSSv3!$D$5,CVSSv3!$D$18,""))))*(IF(H89=CVSSv3!$C$6,CVSSv3!$C$19,(IF(H89=CVSSv3!$D$6,(IF(H91=CVSSv3!$D$8,0.68,CVSSv3!$D$19)),(IF(H89=CVSSv3!$E$6,(IF(H91=CVSSv3!$D$8,0.5,CVSSv3!$E$19))))))))*(IF(H90=CVSSv3!$C$7,CVSSv3!$C$20,(IF(H90=CVSSv3!$D$7,CVSSv3!$D$20,"")))))),10)),1))))*(IF(H95=CVSSv3!$C$12,CVSSv3!$C$25,(IF(H95=CVSSv3!$D$12,CVSSv3!$D$25,(IF(H95=CVSSv3!$E$12,CVSSv3!$E$25,(IF(H95=CVSSv3!$F$12,CVSSv3!$F$25,""))))))))*(IF(H96=CVSSv3!$C$13,CVSSv3!$C$26,(IF(H96=CVSSv3!$D$13,CVSSv3!$D$26,(IF(H96=CVSSv3!$E$13,CVSSv3!$E$26,(IF(H96=CVSSv3!$F$13,CVSSv3!$F$26,""))))))))*(IF(H97=CVSSv3!$C$14,CVSSv3!$C$27,(IF(H97=CVSSv3!$D$14,CVSSv3!$D$27,(IF(H97=CVSSv3!$E$14,CVSSv3!$E$27,""))))))),1)</f>
        <v>9</v>
      </c>
      <c r="J87" s="89">
        <v>0</v>
      </c>
      <c r="K87" s="89">
        <v>0</v>
      </c>
      <c r="L87" s="85" t="s">
        <v>17</v>
      </c>
      <c r="M87" s="85" t="s">
        <v>17</v>
      </c>
      <c r="N87" s="85" t="s">
        <v>707</v>
      </c>
      <c r="O87" s="85" t="s">
        <v>708</v>
      </c>
    </row>
    <row r="88" spans="1:15" x14ac:dyDescent="0.25">
      <c r="A88" s="89"/>
      <c r="B88" s="85"/>
      <c r="C88" s="85"/>
      <c r="D88" s="85"/>
      <c r="E88" s="85"/>
      <c r="F88" s="85"/>
      <c r="G88" s="80" t="str">
        <f>CVSSv3!$A$5</f>
        <v>Complejidad de ataque:</v>
      </c>
      <c r="H88" s="81" t="s">
        <v>709</v>
      </c>
      <c r="I88" s="88"/>
      <c r="J88" s="89"/>
      <c r="K88" s="89"/>
      <c r="L88" s="85"/>
      <c r="M88" s="85"/>
      <c r="N88" s="85"/>
      <c r="O88" s="85"/>
    </row>
    <row r="89" spans="1:15" x14ac:dyDescent="0.25">
      <c r="A89" s="89"/>
      <c r="B89" s="85"/>
      <c r="C89" s="85"/>
      <c r="D89" s="85"/>
      <c r="E89" s="85"/>
      <c r="F89" s="85"/>
      <c r="G89" s="80" t="str">
        <f>CVSSv3!$A$6</f>
        <v>Privilegios requeridos:</v>
      </c>
      <c r="H89" s="81" t="s">
        <v>710</v>
      </c>
      <c r="I89" s="88"/>
      <c r="J89" s="89"/>
      <c r="K89" s="89"/>
      <c r="L89" s="85"/>
      <c r="M89" s="85"/>
      <c r="N89" s="85"/>
      <c r="O89" s="85"/>
    </row>
    <row r="90" spans="1:15" x14ac:dyDescent="0.25">
      <c r="A90" s="89"/>
      <c r="B90" s="85"/>
      <c r="C90" s="85"/>
      <c r="D90" s="85"/>
      <c r="E90" s="85"/>
      <c r="F90" s="85"/>
      <c r="G90" s="80" t="str">
        <f>CVSSv3!$A$7</f>
        <v>Interacción del usuario:</v>
      </c>
      <c r="H90" s="81" t="s">
        <v>711</v>
      </c>
      <c r="I90" s="88"/>
      <c r="J90" s="89"/>
      <c r="K90" s="89"/>
      <c r="L90" s="85"/>
      <c r="M90" s="85"/>
      <c r="N90" s="85"/>
      <c r="O90" s="85"/>
    </row>
    <row r="91" spans="1:15" x14ac:dyDescent="0.25">
      <c r="A91" s="89"/>
      <c r="B91" s="85"/>
      <c r="C91" s="85"/>
      <c r="D91" s="85"/>
      <c r="E91" s="85"/>
      <c r="F91" s="85"/>
      <c r="G91" s="80" t="str">
        <f>CVSSv3!$A$8</f>
        <v>Alcance:</v>
      </c>
      <c r="H91" s="81" t="s">
        <v>712</v>
      </c>
      <c r="I91" s="88"/>
      <c r="J91" s="89"/>
      <c r="K91" s="89"/>
      <c r="L91" s="85"/>
      <c r="M91" s="85"/>
      <c r="N91" s="85"/>
      <c r="O91" s="85"/>
    </row>
    <row r="92" spans="1:15" x14ac:dyDescent="0.25">
      <c r="A92" s="89"/>
      <c r="B92" s="85"/>
      <c r="C92" s="85"/>
      <c r="D92" s="85"/>
      <c r="E92" s="85"/>
      <c r="F92" s="85"/>
      <c r="G92" s="80" t="str">
        <f>CVSSv3!$A$9</f>
        <v>Impacto a la confidencialidad:</v>
      </c>
      <c r="H92" s="81" t="s">
        <v>713</v>
      </c>
      <c r="I92" s="88"/>
      <c r="J92" s="89"/>
      <c r="K92" s="89"/>
      <c r="L92" s="85"/>
      <c r="M92" s="85"/>
      <c r="N92" s="85"/>
      <c r="O92" s="85"/>
    </row>
    <row r="93" spans="1:15" x14ac:dyDescent="0.25">
      <c r="A93" s="89"/>
      <c r="B93" s="85"/>
      <c r="C93" s="85"/>
      <c r="D93" s="85"/>
      <c r="E93" s="85"/>
      <c r="F93" s="85"/>
      <c r="G93" s="80" t="str">
        <f>CVSSv3!$A$10</f>
        <v>Impacto a la integridad:</v>
      </c>
      <c r="H93" s="81" t="s">
        <v>713</v>
      </c>
      <c r="I93" s="88"/>
      <c r="J93" s="89"/>
      <c r="K93" s="89"/>
      <c r="L93" s="85"/>
      <c r="M93" s="85"/>
      <c r="N93" s="85"/>
      <c r="O93" s="85"/>
    </row>
    <row r="94" spans="1:15" x14ac:dyDescent="0.25">
      <c r="A94" s="89"/>
      <c r="B94" s="85"/>
      <c r="C94" s="85"/>
      <c r="D94" s="85"/>
      <c r="E94" s="85"/>
      <c r="F94" s="85"/>
      <c r="G94" s="80" t="str">
        <f>CVSSv3!$A$11</f>
        <v>Impacto a la disponibilidad:</v>
      </c>
      <c r="H94" s="81" t="s">
        <v>713</v>
      </c>
      <c r="I94" s="88"/>
      <c r="J94" s="89"/>
      <c r="K94" s="89"/>
      <c r="L94" s="85"/>
      <c r="M94" s="85"/>
      <c r="N94" s="85"/>
      <c r="O94" s="85"/>
    </row>
    <row r="95" spans="1:15" x14ac:dyDescent="0.25">
      <c r="A95" s="89"/>
      <c r="B95" s="85"/>
      <c r="C95" s="85"/>
      <c r="D95" s="85"/>
      <c r="E95" s="85"/>
      <c r="F95" s="85"/>
      <c r="G95" s="80" t="str">
        <f>CVSSv3!$A$12</f>
        <v>Explotabilidad:</v>
      </c>
      <c r="H95" s="81" t="s">
        <v>709</v>
      </c>
      <c r="I95" s="88"/>
      <c r="J95" s="89"/>
      <c r="K95" s="89"/>
      <c r="L95" s="85"/>
      <c r="M95" s="85"/>
      <c r="N95" s="85"/>
      <c r="O95" s="85"/>
    </row>
    <row r="96" spans="1:15" x14ac:dyDescent="0.25">
      <c r="A96" s="89"/>
      <c r="B96" s="85"/>
      <c r="C96" s="85"/>
      <c r="D96" s="85"/>
      <c r="E96" s="85"/>
      <c r="F96" s="85"/>
      <c r="G96" s="80" t="str">
        <f>CVSSv3!$A$13</f>
        <v>Nivel de resolución:</v>
      </c>
      <c r="H96" s="81" t="s">
        <v>714</v>
      </c>
      <c r="I96" s="88"/>
      <c r="J96" s="89"/>
      <c r="K96" s="89"/>
      <c r="L96" s="85"/>
      <c r="M96" s="85"/>
      <c r="N96" s="85"/>
      <c r="O96" s="85"/>
    </row>
    <row r="97" spans="1:15" x14ac:dyDescent="0.25">
      <c r="A97" s="89"/>
      <c r="B97" s="85"/>
      <c r="C97" s="85"/>
      <c r="D97" s="85"/>
      <c r="E97" s="85"/>
      <c r="F97" s="85"/>
      <c r="G97" s="80" t="str">
        <f>CVSSv3!$A$14</f>
        <v>Nivel de confianza</v>
      </c>
      <c r="H97" s="81" t="s">
        <v>715</v>
      </c>
      <c r="I97" s="88"/>
      <c r="J97" s="89"/>
      <c r="K97" s="89"/>
      <c r="L97" s="85"/>
      <c r="M97" s="85"/>
      <c r="N97" s="85"/>
      <c r="O97" s="85"/>
    </row>
    <row r="98" spans="1:15" x14ac:dyDescent="0.25">
      <c r="A98" s="89"/>
      <c r="B98" s="85"/>
      <c r="C98" s="85"/>
      <c r="D98" s="85"/>
      <c r="E98" s="85"/>
      <c r="F98" s="85"/>
      <c r="G98" s="86" t="str">
        <f>"("&amp;CVSSv3!$B$4&amp;":"&amp;IF(H87=CVSSv3!$C$4,CVSSv3!$C$30,IF(H87=CVSSv3!$D$4,CVSSv3!$D$30,IF(H87=CVSSv3!$E$4,CVSSv3!$E$30,IF(H87=CVSSv3!$F$4,CVSSv3!$F$30,""))))&amp;"/"&amp;CVSSv3!$B$5&amp;":"&amp;IF(H88=CVSSv3!$C$5,CVSSv3!$C$31,IF(H88=CVSSv3!$D$5,CVSSv3!$D$31,""))&amp;"/"&amp;CVSSv3!$B$6&amp;":"&amp;IF(H89=CVSSv3!$C$6,CVSSv3!$C$32,IF(H89=CVSSv3!$D$6,CVSSv3!$D$32,IF(H89=CVSSv3!$E$6,CVSSv3!$E$32,"")))&amp;"/"&amp;CVSSv3!$B$7&amp;":"&amp;IF(H90=CVSSv3!$C$7,CVSSv3!$C$33,IF(H90=CVSSv3!$D$7,CVSSv3!$D$33,""))&amp;"/"&amp;CVSSv3!$B$8&amp;":"&amp;IF(H91=CVSSv3!$C$8,CVSSv3!$C$34,IF(H91=CVSSv3!$D$8,CVSSv3!$D$34,""))&amp;"/"&amp;CVSSv3!$B$9&amp;":"&amp;IF(H92=CVSSv3!$C$9,CVSSv3!$C$35,IF(H92=CVSSv3!$D$9,CVSSv3!$D$35,IF(H92=CVSSv3!$E$9,CVSSv3!$E$35,"")))&amp;"/"&amp;CVSSv3!$B$10&amp;":"&amp;IF(H93=CVSSv3!$C$10,CVSSv3!$C$36,IF(H93=CVSSv3!$D$10,CVSSv3!$D$36,IF(H93=CVSSv3!$E$10,CVSSv3!$E$36,"")))&amp;"/"&amp;CVSSv3!$B$11&amp;":"&amp;IF(H94=CVSSv3!$C$11,CVSSv3!$C$37,IF(H94=CVSSv3!$D$11,CVSSv3!$D$37,IF(H94=CVSSv3!$E$11,CVSSv3!$E$37,"")))&amp;"/"&amp;CVSSv3!$B$12&amp;":"&amp;IF(H95=CVSSv3!$C$12,CVSSv3!$C$38,IF(H95=CVSSv3!$D$12,CVSSv3!$D$38,IF(H95=CVSSv3!$E$12,CVSSv3!$E$38,IF(H95=CVSSv3!$F$12,CVSSv3!$F$38,""))))&amp;"/"&amp;CVSSv3!$B$13&amp;":"&amp;IF(H96=CVSSv3!$C$13,CVSSv3!$C$39,IF(H96=CVSSv3!$D$13,CVSSv3!$D$39,IF(H96=CVSSv3!$E$13,CVSSv3!$E$39,IF(H96=CVSSv3!$F$13,CVSSv3!$F$39,""))))&amp;"/"&amp;CVSSv3!$B$14&amp;":"&amp;IF(H97=CVSSv3!$C$14,CVSSv3!$C$40,IF(H97=CVSSv3!$D$14,CVSSv3!$D$40,IF(H97=CVSSv3!$E$14,CVSSv3!$E$40,"")))&amp;")"</f>
        <v>(AV:N/AC:H/PR:N/UI:N/S:C/C:H/I:H/A:H/E:H/RL:U/RC:C)</v>
      </c>
      <c r="H98" s="87"/>
      <c r="I98" s="88"/>
      <c r="J98" s="89"/>
      <c r="K98" s="89"/>
      <c r="L98" s="85"/>
      <c r="M98" s="85"/>
      <c r="N98" s="85"/>
      <c r="O98" s="85"/>
    </row>
    <row r="99" spans="1:15" x14ac:dyDescent="0.25">
      <c r="A99" s="89">
        <v>9</v>
      </c>
      <c r="B99" s="85" t="s">
        <v>722</v>
      </c>
      <c r="C99" s="85" t="s">
        <v>17</v>
      </c>
      <c r="D99" s="85" t="s">
        <v>17</v>
      </c>
      <c r="E99" s="85" t="s">
        <v>17</v>
      </c>
      <c r="F99"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99" s="82" t="str">
        <f>CVSSv3!$A$4</f>
        <v>Vector de ataque:</v>
      </c>
      <c r="H99" s="84" t="s">
        <v>706</v>
      </c>
      <c r="I99" s="88">
        <f>ROUNDUP((IF((IF(H103=CVSSv3!$C$8,(6.42*(1-((1-(IF(H104=CVSSv3!$C$9,CVSSv3!$C$22,(IF(H104=CVSSv3!$D$9,CVSSv3!$D$22,(IF(H104=CVSSv3!$E$9,CVSSv3!$E$22,"")))))))*(1-(IF(H105=CVSSv3!$C$10,CVSSv3!$C$23,(IF(H105=CVSSv3!$D$10,CVSSv3!$D$23,(IF(H105=CVSSv3!$E$10,CVSSv3!$E$23,"")))))))*(1-(IF(H106=CVSSv3!$C$11,CVSSv3!$C$24,(IF(H106=CVSSv3!$D$11,CVSSv3!$D$24,(IF(H106=CVSSv3!$E$11,CVSSv3!$E$24,"")))))))))),((7.52*((1-((1-(IF(H104=CVSSv3!$C$9,CVSSv3!$C$22,(IF(H104=CVSSv3!$D$9,CVSSv3!$D$22,(IF(H104=CVSSv3!$E$9,CVSSv3!$E$22,"")))))))*(1-(IF(H105=CVSSv3!$C$10,CVSSv3!$C$23,(IF(H105=CVSSv3!$D$10,CVSSv3!$D$23,(IF(H105=CVSSv3!$E$10,CVSSv3!$E$23,"")))))))*(1-(IF(H106=CVSSv3!$C$11,CVSSv3!$C$24,(IF(H106=CVSSv3!$D$11,CVSSv3!$D$24,(IF(H106=CVSSv3!$E$11,CVSSv3!$E$24,"")))))))))-0.029))-(3.25*POWER(((1-((1-(IF(H104=CVSSv3!$C$9,CVSSv3!$C$22,(IF(H104=CVSSv3!$D$9,CVSSv3!$D$22,(IF(H104=CVSSv3!$E$9,CVSSv3!$E$22,"")))))))*(1-(IF(H105=CVSSv3!$C$10,CVSSv3!$C$23,(IF(H105=CVSSv3!$D$10,CVSSv3!$D$23,(IF(H105=CVSSv3!$E$10,CVSSv3!$E$23,"")))))))*(1-(IF(H106=CVSSv3!$C$11,CVSSv3!$C$24,(IF(H106=CVSSv3!$D$11,CVSSv3!$D$24,(IF(H106=CVSSv3!$E$11,CVSSv3!$E$24,"")))))))))-0.02),15)))))&lt;=0,0,(IF(H103=CVSSv3!$C$8,ROUNDUP((MIN((IF(H103=CVSSv3!$C$8,(6.42*(1-((1-(IF(H104=CVSSv3!$C$9,CVSSv3!$C$22,(IF(H104=CVSSv3!$D$9,CVSSv3!$D$22,(IF(H104=CVSSv3!$E$9,CVSSv3!$E$22,"")))))))*(1-(IF(H105=CVSSv3!$C$10,CVSSv3!$C$23,(IF(H105=CVSSv3!$D$10,CVSSv3!$D$23,(IF(H105=CVSSv3!$E$10,CVSSv3!$E$23,"")))))))*(1-(IF(H106=CVSSv3!$C$11,CVSSv3!$C$24,(IF(H106=CVSSv3!$D$11,CVSSv3!$D$24,(IF(H106=CVSSv3!$E$11,CVSSv3!$E$24,"")))))))))),((7.52*((1-((1-(IF(H104=CVSSv3!$C$9,CVSSv3!$C$22,(IF(H104=CVSSv3!$D$9,CVSSv3!$D$22,(IF(H104=CVSSv3!$E$9,CVSSv3!$E$22,"")))))))*(1-(IF(H105=CVSSv3!$C$10,CVSSv3!$C$23,(IF(H105=CVSSv3!$D$10,CVSSv3!$D$23,(IF(H105=CVSSv3!$E$10,CVSSv3!$E$23,"")))))))*(1-(IF(H106=CVSSv3!$C$11,CVSSv3!$C$24,(IF(H106=CVSSv3!$D$11,CVSSv3!$D$24,(IF(H106=CVSSv3!$E$11,CVSSv3!$E$24,"")))))))))-0.029))-(3.25*POWER(((1-((1-(IF(H104=CVSSv3!$C$9,CVSSv3!$C$22,(IF(H104=CVSSv3!$D$9,CVSSv3!$D$22,(IF(H104=CVSSv3!$E$9,CVSSv3!$E$22,"")))))))*(1-(IF(H105=CVSSv3!$C$10,CVSSv3!$C$23,(IF(H105=CVSSv3!$D$10,CVSSv3!$D$23,(IF(H105=CVSSv3!$E$10,CVSSv3!$E$23,"")))))))*(1-(IF(H106=CVSSv3!$C$11,CVSSv3!$C$24,(IF(H106=CVSSv3!$D$11,CVSSv3!$D$24,(IF(H106=CVSSv3!$E$11,CVSSv3!$E$24,"")))))))))-0.02),15)))))+(8.22*(IF(H99=CVSSv3!$C$4,CVSSv3!$C$17,(IF(H99=CVSSv3!$D$4,CVSSv3!$D$17,(IF(H99=CVSSv3!$E$4,CVSSv3!$E$17,(IF(H99=CVSSv3!$F$4,CVSSv3!$F$17,""))))))))*(IF(H100=CVSSv3!$C$5,CVSSv3!$C$18,(IF(H100=CVSSv3!$D$5,CVSSv3!$D$18,""))))*(IF(H101=CVSSv3!$C$6,CVSSv3!$C$19,(IF(H101=CVSSv3!$D$6,(IF(H103=CVSSv3!$D$8,0.68,CVSSv3!$D$19)),(IF(H101=CVSSv3!$E$6,(IF(H103=CVSSv3!$D$8,0.5,CVSSv3!$E$19))))))))*(IF(H102=CVSSv3!$C$7,CVSSv3!$C$20,(IF(H102=CVSSv3!$D$7,CVSSv3!$D$20,""))))),10)),1),ROUNDUP((MIN(1.08*((IF(H103=CVSSv3!$C$8,(6.42*(1-((1-(IF(H104=CVSSv3!$C$9,CVSSv3!$C$22,(IF(H104=CVSSv3!$D$9,CVSSv3!$D$22,(IF(H104=CVSSv3!$E$9,CVSSv3!$E$22,"")))))))*(1-(IF(H105=CVSSv3!$C$10,CVSSv3!$C$23,(IF(H105=CVSSv3!$D$10,CVSSv3!$D$23,(IF(H105=CVSSv3!$E$10,CVSSv3!$E$23,"")))))))*(1-(IF(H106=CVSSv3!$C$11,CVSSv3!$C$24,(IF(H106=CVSSv3!$D$11,CVSSv3!$D$24,(IF(H106=CVSSv3!$E$11,CVSSv3!$E$24,"")))))))))),((7.52*((1-((1-(IF(H104=CVSSv3!$C$9,CVSSv3!$C$22,(IF(H104=CVSSv3!$D$9,CVSSv3!$D$22,(IF(H104=CVSSv3!$E$9,CVSSv3!$E$22,"")))))))*(1-(IF(H105=CVSSv3!$C$10,CVSSv3!$C$23,(IF(H105=CVSSv3!$D$10,CVSSv3!$D$23,(IF(H105=CVSSv3!$E$10,CVSSv3!$E$23,"")))))))*(1-(IF(H106=CVSSv3!$C$11,CVSSv3!$C$24,(IF(H106=CVSSv3!$D$11,CVSSv3!$D$24,(IF(H106=CVSSv3!$E$11,CVSSv3!$E$24,"")))))))))-0.029))-(3.25*POWER(((1-((1-(IF(H104=CVSSv3!$C$9,CVSSv3!$C$22,(IF(H104=CVSSv3!$D$9,CVSSv3!$D$22,(IF(H104=CVSSv3!$E$9,CVSSv3!$E$22,"")))))))*(1-(IF(H105=CVSSv3!$C$10,CVSSv3!$C$23,(IF(H105=CVSSv3!$D$10,CVSSv3!$D$23,(IF(H105=CVSSv3!$E$10,CVSSv3!$E$23,"")))))))*(1-(IF(H106=CVSSv3!$C$11,CVSSv3!$C$24,(IF(H106=CVSSv3!$D$11,CVSSv3!$D$24,(IF(H106=CVSSv3!$E$11,CVSSv3!$E$24,"")))))))))-0.02),15)))))+(8.22*(IF(H99=CVSSv3!$C$4,CVSSv3!$C$17,(IF(H99=CVSSv3!$D$4,CVSSv3!$D$17,(IF(H99=CVSSv3!$E$4,CVSSv3!$E$17,(IF(H99=CVSSv3!$F$4,CVSSv3!$F$17,""))))))))*(IF(H100=CVSSv3!$C$5,CVSSv3!$C$18,(IF(H100=CVSSv3!$D$5,CVSSv3!$D$18,""))))*(IF(H101=CVSSv3!$C$6,CVSSv3!$C$19,(IF(H101=CVSSv3!$D$6,(IF(H103=CVSSv3!$D$8,0.68,CVSSv3!$D$19)),(IF(H101=CVSSv3!$E$6,(IF(H103=CVSSv3!$D$8,0.5,CVSSv3!$E$19))))))))*(IF(H102=CVSSv3!$C$7,CVSSv3!$C$20,(IF(H102=CVSSv3!$D$7,CVSSv3!$D$20,"")))))),10)),1))))*(IF(H107=CVSSv3!$C$12,CVSSv3!$C$25,(IF(H107=CVSSv3!$D$12,CVSSv3!$D$25,(IF(H107=CVSSv3!$E$12,CVSSv3!$E$25,(IF(H107=CVSSv3!$F$12,CVSSv3!$F$25,""))))))))*(IF(H108=CVSSv3!$C$13,CVSSv3!$C$26,(IF(H108=CVSSv3!$D$13,CVSSv3!$D$26,(IF(H108=CVSSv3!$E$13,CVSSv3!$E$26,(IF(H108=CVSSv3!$F$13,CVSSv3!$F$26,""))))))))*(IF(H109=CVSSv3!$C$14,CVSSv3!$C$27,(IF(H109=CVSSv3!$D$14,CVSSv3!$D$27,(IF(H109=CVSSv3!$E$14,CVSSv3!$E$27,""))))))),1)</f>
        <v>9</v>
      </c>
      <c r="J99" s="89">
        <v>0</v>
      </c>
      <c r="K99" s="89">
        <v>0</v>
      </c>
      <c r="L99" s="85" t="s">
        <v>17</v>
      </c>
      <c r="M99" s="85" t="s">
        <v>17</v>
      </c>
      <c r="N99" s="85" t="s">
        <v>707</v>
      </c>
      <c r="O99" s="85" t="s">
        <v>708</v>
      </c>
    </row>
    <row r="100" spans="1:15" x14ac:dyDescent="0.25">
      <c r="A100" s="89"/>
      <c r="B100" s="85"/>
      <c r="C100" s="85"/>
      <c r="D100" s="85"/>
      <c r="E100" s="85"/>
      <c r="F100" s="85"/>
      <c r="G100" s="80" t="str">
        <f>CVSSv3!$A$5</f>
        <v>Complejidad de ataque:</v>
      </c>
      <c r="H100" s="81" t="s">
        <v>709</v>
      </c>
      <c r="I100" s="88"/>
      <c r="J100" s="89"/>
      <c r="K100" s="89"/>
      <c r="L100" s="85"/>
      <c r="M100" s="85"/>
      <c r="N100" s="85"/>
      <c r="O100" s="85"/>
    </row>
    <row r="101" spans="1:15" x14ac:dyDescent="0.25">
      <c r="A101" s="89"/>
      <c r="B101" s="85"/>
      <c r="C101" s="85"/>
      <c r="D101" s="85"/>
      <c r="E101" s="85"/>
      <c r="F101" s="85"/>
      <c r="G101" s="80" t="str">
        <f>CVSSv3!$A$6</f>
        <v>Privilegios requeridos:</v>
      </c>
      <c r="H101" s="81" t="s">
        <v>710</v>
      </c>
      <c r="I101" s="88"/>
      <c r="J101" s="89"/>
      <c r="K101" s="89"/>
      <c r="L101" s="85"/>
      <c r="M101" s="85"/>
      <c r="N101" s="85"/>
      <c r="O101" s="85"/>
    </row>
    <row r="102" spans="1:15" x14ac:dyDescent="0.25">
      <c r="A102" s="89"/>
      <c r="B102" s="85"/>
      <c r="C102" s="85"/>
      <c r="D102" s="85"/>
      <c r="E102" s="85"/>
      <c r="F102" s="85"/>
      <c r="G102" s="80" t="str">
        <f>CVSSv3!$A$7</f>
        <v>Interacción del usuario:</v>
      </c>
      <c r="H102" s="81" t="s">
        <v>711</v>
      </c>
      <c r="I102" s="88"/>
      <c r="J102" s="89"/>
      <c r="K102" s="89"/>
      <c r="L102" s="85"/>
      <c r="M102" s="85"/>
      <c r="N102" s="85"/>
      <c r="O102" s="85"/>
    </row>
    <row r="103" spans="1:15" x14ac:dyDescent="0.25">
      <c r="A103" s="89"/>
      <c r="B103" s="85"/>
      <c r="C103" s="85"/>
      <c r="D103" s="85"/>
      <c r="E103" s="85"/>
      <c r="F103" s="85"/>
      <c r="G103" s="80" t="str">
        <f>CVSSv3!$A$8</f>
        <v>Alcance:</v>
      </c>
      <c r="H103" s="81" t="s">
        <v>712</v>
      </c>
      <c r="I103" s="88"/>
      <c r="J103" s="89"/>
      <c r="K103" s="89"/>
      <c r="L103" s="85"/>
      <c r="M103" s="85"/>
      <c r="N103" s="85"/>
      <c r="O103" s="85"/>
    </row>
    <row r="104" spans="1:15" x14ac:dyDescent="0.25">
      <c r="A104" s="89"/>
      <c r="B104" s="85"/>
      <c r="C104" s="85"/>
      <c r="D104" s="85"/>
      <c r="E104" s="85"/>
      <c r="F104" s="85"/>
      <c r="G104" s="80" t="str">
        <f>CVSSv3!$A$9</f>
        <v>Impacto a la confidencialidad:</v>
      </c>
      <c r="H104" s="81" t="s">
        <v>713</v>
      </c>
      <c r="I104" s="88"/>
      <c r="J104" s="89"/>
      <c r="K104" s="89"/>
      <c r="L104" s="85"/>
      <c r="M104" s="85"/>
      <c r="N104" s="85"/>
      <c r="O104" s="85"/>
    </row>
    <row r="105" spans="1:15" x14ac:dyDescent="0.25">
      <c r="A105" s="89"/>
      <c r="B105" s="85"/>
      <c r="C105" s="85"/>
      <c r="D105" s="85"/>
      <c r="E105" s="85"/>
      <c r="F105" s="85"/>
      <c r="G105" s="80" t="str">
        <f>CVSSv3!$A$10</f>
        <v>Impacto a la integridad:</v>
      </c>
      <c r="H105" s="81" t="s">
        <v>713</v>
      </c>
      <c r="I105" s="88"/>
      <c r="J105" s="89"/>
      <c r="K105" s="89"/>
      <c r="L105" s="85"/>
      <c r="M105" s="85"/>
      <c r="N105" s="85"/>
      <c r="O105" s="85"/>
    </row>
    <row r="106" spans="1:15" x14ac:dyDescent="0.25">
      <c r="A106" s="89"/>
      <c r="B106" s="85"/>
      <c r="C106" s="85"/>
      <c r="D106" s="85"/>
      <c r="E106" s="85"/>
      <c r="F106" s="85"/>
      <c r="G106" s="80" t="str">
        <f>CVSSv3!$A$11</f>
        <v>Impacto a la disponibilidad:</v>
      </c>
      <c r="H106" s="81" t="s">
        <v>713</v>
      </c>
      <c r="I106" s="88"/>
      <c r="J106" s="89"/>
      <c r="K106" s="89"/>
      <c r="L106" s="85"/>
      <c r="M106" s="85"/>
      <c r="N106" s="85"/>
      <c r="O106" s="85"/>
    </row>
    <row r="107" spans="1:15" x14ac:dyDescent="0.25">
      <c r="A107" s="89"/>
      <c r="B107" s="85"/>
      <c r="C107" s="85"/>
      <c r="D107" s="85"/>
      <c r="E107" s="85"/>
      <c r="F107" s="85"/>
      <c r="G107" s="80" t="str">
        <f>CVSSv3!$A$12</f>
        <v>Explotabilidad:</v>
      </c>
      <c r="H107" s="81" t="s">
        <v>709</v>
      </c>
      <c r="I107" s="88"/>
      <c r="J107" s="89"/>
      <c r="K107" s="89"/>
      <c r="L107" s="85"/>
      <c r="M107" s="85"/>
      <c r="N107" s="85"/>
      <c r="O107" s="85"/>
    </row>
    <row r="108" spans="1:15" x14ac:dyDescent="0.25">
      <c r="A108" s="89"/>
      <c r="B108" s="85"/>
      <c r="C108" s="85"/>
      <c r="D108" s="85"/>
      <c r="E108" s="85"/>
      <c r="F108" s="85"/>
      <c r="G108" s="80" t="str">
        <f>CVSSv3!$A$13</f>
        <v>Nivel de resolución:</v>
      </c>
      <c r="H108" s="81" t="s">
        <v>714</v>
      </c>
      <c r="I108" s="88"/>
      <c r="J108" s="89"/>
      <c r="K108" s="89"/>
      <c r="L108" s="85"/>
      <c r="M108" s="85"/>
      <c r="N108" s="85"/>
      <c r="O108" s="85"/>
    </row>
    <row r="109" spans="1:15" x14ac:dyDescent="0.25">
      <c r="A109" s="89"/>
      <c r="B109" s="85"/>
      <c r="C109" s="85"/>
      <c r="D109" s="85"/>
      <c r="E109" s="85"/>
      <c r="F109" s="85"/>
      <c r="G109" s="80" t="str">
        <f>CVSSv3!$A$14</f>
        <v>Nivel de confianza</v>
      </c>
      <c r="H109" s="81" t="s">
        <v>715</v>
      </c>
      <c r="I109" s="88"/>
      <c r="J109" s="89"/>
      <c r="K109" s="89"/>
      <c r="L109" s="85"/>
      <c r="M109" s="85"/>
      <c r="N109" s="85"/>
      <c r="O109" s="85"/>
    </row>
    <row r="110" spans="1:15" x14ac:dyDescent="0.25">
      <c r="A110" s="89"/>
      <c r="B110" s="85"/>
      <c r="C110" s="85"/>
      <c r="D110" s="85"/>
      <c r="E110" s="85"/>
      <c r="F110" s="85"/>
      <c r="G110" s="86" t="str">
        <f>"("&amp;CVSSv3!$B$4&amp;":"&amp;IF(H99=CVSSv3!$C$4,CVSSv3!$C$30,IF(H99=CVSSv3!$D$4,CVSSv3!$D$30,IF(H99=CVSSv3!$E$4,CVSSv3!$E$30,IF(H99=CVSSv3!$F$4,CVSSv3!$F$30,""))))&amp;"/"&amp;CVSSv3!$B$5&amp;":"&amp;IF(H100=CVSSv3!$C$5,CVSSv3!$C$31,IF(H100=CVSSv3!$D$5,CVSSv3!$D$31,""))&amp;"/"&amp;CVSSv3!$B$6&amp;":"&amp;IF(H101=CVSSv3!$C$6,CVSSv3!$C$32,IF(H101=CVSSv3!$D$6,CVSSv3!$D$32,IF(H101=CVSSv3!$E$6,CVSSv3!$E$32,"")))&amp;"/"&amp;CVSSv3!$B$7&amp;":"&amp;IF(H102=CVSSv3!$C$7,CVSSv3!$C$33,IF(H102=CVSSv3!$D$7,CVSSv3!$D$33,""))&amp;"/"&amp;CVSSv3!$B$8&amp;":"&amp;IF(H103=CVSSv3!$C$8,CVSSv3!$C$34,IF(H103=CVSSv3!$D$8,CVSSv3!$D$34,""))&amp;"/"&amp;CVSSv3!$B$9&amp;":"&amp;IF(H104=CVSSv3!$C$9,CVSSv3!$C$35,IF(H104=CVSSv3!$D$9,CVSSv3!$D$35,IF(H104=CVSSv3!$E$9,CVSSv3!$E$35,"")))&amp;"/"&amp;CVSSv3!$B$10&amp;":"&amp;IF(H105=CVSSv3!$C$10,CVSSv3!$C$36,IF(H105=CVSSv3!$D$10,CVSSv3!$D$36,IF(H105=CVSSv3!$E$10,CVSSv3!$E$36,"")))&amp;"/"&amp;CVSSv3!$B$11&amp;":"&amp;IF(H106=CVSSv3!$C$11,CVSSv3!$C$37,IF(H106=CVSSv3!$D$11,CVSSv3!$D$37,IF(H106=CVSSv3!$E$11,CVSSv3!$E$37,"")))&amp;"/"&amp;CVSSv3!$B$12&amp;":"&amp;IF(H107=CVSSv3!$C$12,CVSSv3!$C$38,IF(H107=CVSSv3!$D$12,CVSSv3!$D$38,IF(H107=CVSSv3!$E$12,CVSSv3!$E$38,IF(H107=CVSSv3!$F$12,CVSSv3!$F$38,""))))&amp;"/"&amp;CVSSv3!$B$13&amp;":"&amp;IF(H108=CVSSv3!$C$13,CVSSv3!$C$39,IF(H108=CVSSv3!$D$13,CVSSv3!$D$39,IF(H108=CVSSv3!$E$13,CVSSv3!$E$39,IF(H108=CVSSv3!$F$13,CVSSv3!$F$39,""))))&amp;"/"&amp;CVSSv3!$B$14&amp;":"&amp;IF(H109=CVSSv3!$C$14,CVSSv3!$C$40,IF(H109=CVSSv3!$D$14,CVSSv3!$D$40,IF(H109=CVSSv3!$E$14,CVSSv3!$E$40,"")))&amp;")"</f>
        <v>(AV:N/AC:H/PR:N/UI:N/S:C/C:H/I:H/A:H/E:H/RL:U/RC:C)</v>
      </c>
      <c r="H110" s="87"/>
      <c r="I110" s="88"/>
      <c r="J110" s="89"/>
      <c r="K110" s="89"/>
      <c r="L110" s="85"/>
      <c r="M110" s="85"/>
      <c r="N110" s="85"/>
      <c r="O110" s="85"/>
    </row>
    <row r="111" spans="1:15" x14ac:dyDescent="0.25">
      <c r="A111" s="89">
        <v>10</v>
      </c>
      <c r="B111" s="85" t="s">
        <v>723</v>
      </c>
      <c r="C111" s="85" t="s">
        <v>17</v>
      </c>
      <c r="D111" s="85" t="s">
        <v>17</v>
      </c>
      <c r="E111" s="85" t="s">
        <v>17</v>
      </c>
      <c r="F111"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11" s="82" t="str">
        <f>CVSSv3!$A$4</f>
        <v>Vector de ataque:</v>
      </c>
      <c r="H111" s="84" t="s">
        <v>706</v>
      </c>
      <c r="I111" s="88">
        <f>ROUNDUP((IF((IF(H115=CVSSv3!$C$8,(6.42*(1-((1-(IF(H116=CVSSv3!$C$9,CVSSv3!$C$22,(IF(H116=CVSSv3!$D$9,CVSSv3!$D$22,(IF(H116=CVSSv3!$E$9,CVSSv3!$E$22,"")))))))*(1-(IF(H117=CVSSv3!$C$10,CVSSv3!$C$23,(IF(H117=CVSSv3!$D$10,CVSSv3!$D$23,(IF(H117=CVSSv3!$E$10,CVSSv3!$E$23,"")))))))*(1-(IF(H118=CVSSv3!$C$11,CVSSv3!$C$24,(IF(H118=CVSSv3!$D$11,CVSSv3!$D$24,(IF(H118=CVSSv3!$E$11,CVSSv3!$E$24,"")))))))))),((7.52*((1-((1-(IF(H116=CVSSv3!$C$9,CVSSv3!$C$22,(IF(H116=CVSSv3!$D$9,CVSSv3!$D$22,(IF(H116=CVSSv3!$E$9,CVSSv3!$E$22,"")))))))*(1-(IF(H117=CVSSv3!$C$10,CVSSv3!$C$23,(IF(H117=CVSSv3!$D$10,CVSSv3!$D$23,(IF(H117=CVSSv3!$E$10,CVSSv3!$E$23,"")))))))*(1-(IF(H118=CVSSv3!$C$11,CVSSv3!$C$24,(IF(H118=CVSSv3!$D$11,CVSSv3!$D$24,(IF(H118=CVSSv3!$E$11,CVSSv3!$E$24,"")))))))))-0.029))-(3.25*POWER(((1-((1-(IF(H116=CVSSv3!$C$9,CVSSv3!$C$22,(IF(H116=CVSSv3!$D$9,CVSSv3!$D$22,(IF(H116=CVSSv3!$E$9,CVSSv3!$E$22,"")))))))*(1-(IF(H117=CVSSv3!$C$10,CVSSv3!$C$23,(IF(H117=CVSSv3!$D$10,CVSSv3!$D$23,(IF(H117=CVSSv3!$E$10,CVSSv3!$E$23,"")))))))*(1-(IF(H118=CVSSv3!$C$11,CVSSv3!$C$24,(IF(H118=CVSSv3!$D$11,CVSSv3!$D$24,(IF(H118=CVSSv3!$E$11,CVSSv3!$E$24,"")))))))))-0.02),15)))))&lt;=0,0,(IF(H115=CVSSv3!$C$8,ROUNDUP((MIN((IF(H115=CVSSv3!$C$8,(6.42*(1-((1-(IF(H116=CVSSv3!$C$9,CVSSv3!$C$22,(IF(H116=CVSSv3!$D$9,CVSSv3!$D$22,(IF(H116=CVSSv3!$E$9,CVSSv3!$E$22,"")))))))*(1-(IF(H117=CVSSv3!$C$10,CVSSv3!$C$23,(IF(H117=CVSSv3!$D$10,CVSSv3!$D$23,(IF(H117=CVSSv3!$E$10,CVSSv3!$E$23,"")))))))*(1-(IF(H118=CVSSv3!$C$11,CVSSv3!$C$24,(IF(H118=CVSSv3!$D$11,CVSSv3!$D$24,(IF(H118=CVSSv3!$E$11,CVSSv3!$E$24,"")))))))))),((7.52*((1-((1-(IF(H116=CVSSv3!$C$9,CVSSv3!$C$22,(IF(H116=CVSSv3!$D$9,CVSSv3!$D$22,(IF(H116=CVSSv3!$E$9,CVSSv3!$E$22,"")))))))*(1-(IF(H117=CVSSv3!$C$10,CVSSv3!$C$23,(IF(H117=CVSSv3!$D$10,CVSSv3!$D$23,(IF(H117=CVSSv3!$E$10,CVSSv3!$E$23,"")))))))*(1-(IF(H118=CVSSv3!$C$11,CVSSv3!$C$24,(IF(H118=CVSSv3!$D$11,CVSSv3!$D$24,(IF(H118=CVSSv3!$E$11,CVSSv3!$E$24,"")))))))))-0.029))-(3.25*POWER(((1-((1-(IF(H116=CVSSv3!$C$9,CVSSv3!$C$22,(IF(H116=CVSSv3!$D$9,CVSSv3!$D$22,(IF(H116=CVSSv3!$E$9,CVSSv3!$E$22,"")))))))*(1-(IF(H117=CVSSv3!$C$10,CVSSv3!$C$23,(IF(H117=CVSSv3!$D$10,CVSSv3!$D$23,(IF(H117=CVSSv3!$E$10,CVSSv3!$E$23,"")))))))*(1-(IF(H118=CVSSv3!$C$11,CVSSv3!$C$24,(IF(H118=CVSSv3!$D$11,CVSSv3!$D$24,(IF(H118=CVSSv3!$E$11,CVSSv3!$E$24,"")))))))))-0.02),15)))))+(8.22*(IF(H111=CVSSv3!$C$4,CVSSv3!$C$17,(IF(H111=CVSSv3!$D$4,CVSSv3!$D$17,(IF(H111=CVSSv3!$E$4,CVSSv3!$E$17,(IF(H111=CVSSv3!$F$4,CVSSv3!$F$17,""))))))))*(IF(H112=CVSSv3!$C$5,CVSSv3!$C$18,(IF(H112=CVSSv3!$D$5,CVSSv3!$D$18,""))))*(IF(H113=CVSSv3!$C$6,CVSSv3!$C$19,(IF(H113=CVSSv3!$D$6,(IF(H115=CVSSv3!$D$8,0.68,CVSSv3!$D$19)),(IF(H113=CVSSv3!$E$6,(IF(H115=CVSSv3!$D$8,0.5,CVSSv3!$E$19))))))))*(IF(H114=CVSSv3!$C$7,CVSSv3!$C$20,(IF(H114=CVSSv3!$D$7,CVSSv3!$D$20,""))))),10)),1),ROUNDUP((MIN(1.08*((IF(H115=CVSSv3!$C$8,(6.42*(1-((1-(IF(H116=CVSSv3!$C$9,CVSSv3!$C$22,(IF(H116=CVSSv3!$D$9,CVSSv3!$D$22,(IF(H116=CVSSv3!$E$9,CVSSv3!$E$22,"")))))))*(1-(IF(H117=CVSSv3!$C$10,CVSSv3!$C$23,(IF(H117=CVSSv3!$D$10,CVSSv3!$D$23,(IF(H117=CVSSv3!$E$10,CVSSv3!$E$23,"")))))))*(1-(IF(H118=CVSSv3!$C$11,CVSSv3!$C$24,(IF(H118=CVSSv3!$D$11,CVSSv3!$D$24,(IF(H118=CVSSv3!$E$11,CVSSv3!$E$24,"")))))))))),((7.52*((1-((1-(IF(H116=CVSSv3!$C$9,CVSSv3!$C$22,(IF(H116=CVSSv3!$D$9,CVSSv3!$D$22,(IF(H116=CVSSv3!$E$9,CVSSv3!$E$22,"")))))))*(1-(IF(H117=CVSSv3!$C$10,CVSSv3!$C$23,(IF(H117=CVSSv3!$D$10,CVSSv3!$D$23,(IF(H117=CVSSv3!$E$10,CVSSv3!$E$23,"")))))))*(1-(IF(H118=CVSSv3!$C$11,CVSSv3!$C$24,(IF(H118=CVSSv3!$D$11,CVSSv3!$D$24,(IF(H118=CVSSv3!$E$11,CVSSv3!$E$24,"")))))))))-0.029))-(3.25*POWER(((1-((1-(IF(H116=CVSSv3!$C$9,CVSSv3!$C$22,(IF(H116=CVSSv3!$D$9,CVSSv3!$D$22,(IF(H116=CVSSv3!$E$9,CVSSv3!$E$22,"")))))))*(1-(IF(H117=CVSSv3!$C$10,CVSSv3!$C$23,(IF(H117=CVSSv3!$D$10,CVSSv3!$D$23,(IF(H117=CVSSv3!$E$10,CVSSv3!$E$23,"")))))))*(1-(IF(H118=CVSSv3!$C$11,CVSSv3!$C$24,(IF(H118=CVSSv3!$D$11,CVSSv3!$D$24,(IF(H118=CVSSv3!$E$11,CVSSv3!$E$24,"")))))))))-0.02),15)))))+(8.22*(IF(H111=CVSSv3!$C$4,CVSSv3!$C$17,(IF(H111=CVSSv3!$D$4,CVSSv3!$D$17,(IF(H111=CVSSv3!$E$4,CVSSv3!$E$17,(IF(H111=CVSSv3!$F$4,CVSSv3!$F$17,""))))))))*(IF(H112=CVSSv3!$C$5,CVSSv3!$C$18,(IF(H112=CVSSv3!$D$5,CVSSv3!$D$18,""))))*(IF(H113=CVSSv3!$C$6,CVSSv3!$C$19,(IF(H113=CVSSv3!$D$6,(IF(H115=CVSSv3!$D$8,0.68,CVSSv3!$D$19)),(IF(H113=CVSSv3!$E$6,(IF(H115=CVSSv3!$D$8,0.5,CVSSv3!$E$19))))))))*(IF(H114=CVSSv3!$C$7,CVSSv3!$C$20,(IF(H114=CVSSv3!$D$7,CVSSv3!$D$20,"")))))),10)),1))))*(IF(H119=CVSSv3!$C$12,CVSSv3!$C$25,(IF(H119=CVSSv3!$D$12,CVSSv3!$D$25,(IF(H119=CVSSv3!$E$12,CVSSv3!$E$25,(IF(H119=CVSSv3!$F$12,CVSSv3!$F$25,""))))))))*(IF(H120=CVSSv3!$C$13,CVSSv3!$C$26,(IF(H120=CVSSv3!$D$13,CVSSv3!$D$26,(IF(H120=CVSSv3!$E$13,CVSSv3!$E$26,(IF(H120=CVSSv3!$F$13,CVSSv3!$F$26,""))))))))*(IF(H121=CVSSv3!$C$14,CVSSv3!$C$27,(IF(H121=CVSSv3!$D$14,CVSSv3!$D$27,(IF(H121=CVSSv3!$E$14,CVSSv3!$E$27,""))))))),1)</f>
        <v>9</v>
      </c>
      <c r="J111" s="89">
        <v>0</v>
      </c>
      <c r="K111" s="89">
        <v>0</v>
      </c>
      <c r="L111" s="85" t="s">
        <v>17</v>
      </c>
      <c r="M111" s="85" t="s">
        <v>17</v>
      </c>
      <c r="N111" s="85" t="s">
        <v>707</v>
      </c>
      <c r="O111" s="85" t="s">
        <v>708</v>
      </c>
    </row>
    <row r="112" spans="1:15" x14ac:dyDescent="0.25">
      <c r="A112" s="89"/>
      <c r="B112" s="85"/>
      <c r="C112" s="85"/>
      <c r="D112" s="85"/>
      <c r="E112" s="85"/>
      <c r="F112" s="85"/>
      <c r="G112" s="80" t="str">
        <f>CVSSv3!$A$5</f>
        <v>Complejidad de ataque:</v>
      </c>
      <c r="H112" s="81" t="s">
        <v>709</v>
      </c>
      <c r="I112" s="88"/>
      <c r="J112" s="89"/>
      <c r="K112" s="89"/>
      <c r="L112" s="85"/>
      <c r="M112" s="85"/>
      <c r="N112" s="85"/>
      <c r="O112" s="85"/>
    </row>
    <row r="113" spans="1:15" x14ac:dyDescent="0.25">
      <c r="A113" s="89"/>
      <c r="B113" s="85"/>
      <c r="C113" s="85"/>
      <c r="D113" s="85"/>
      <c r="E113" s="85"/>
      <c r="F113" s="85"/>
      <c r="G113" s="80" t="str">
        <f>CVSSv3!$A$6</f>
        <v>Privilegios requeridos:</v>
      </c>
      <c r="H113" s="81" t="s">
        <v>710</v>
      </c>
      <c r="I113" s="88"/>
      <c r="J113" s="89"/>
      <c r="K113" s="89"/>
      <c r="L113" s="85"/>
      <c r="M113" s="85"/>
      <c r="N113" s="85"/>
      <c r="O113" s="85"/>
    </row>
    <row r="114" spans="1:15" x14ac:dyDescent="0.25">
      <c r="A114" s="89"/>
      <c r="B114" s="85"/>
      <c r="C114" s="85"/>
      <c r="D114" s="85"/>
      <c r="E114" s="85"/>
      <c r="F114" s="85"/>
      <c r="G114" s="80" t="str">
        <f>CVSSv3!$A$7</f>
        <v>Interacción del usuario:</v>
      </c>
      <c r="H114" s="81" t="s">
        <v>711</v>
      </c>
      <c r="I114" s="88"/>
      <c r="J114" s="89"/>
      <c r="K114" s="89"/>
      <c r="L114" s="85"/>
      <c r="M114" s="85"/>
      <c r="N114" s="85"/>
      <c r="O114" s="85"/>
    </row>
    <row r="115" spans="1:15" x14ac:dyDescent="0.25">
      <c r="A115" s="89"/>
      <c r="B115" s="85"/>
      <c r="C115" s="85"/>
      <c r="D115" s="85"/>
      <c r="E115" s="85"/>
      <c r="F115" s="85"/>
      <c r="G115" s="80" t="str">
        <f>CVSSv3!$A$8</f>
        <v>Alcance:</v>
      </c>
      <c r="H115" s="81" t="s">
        <v>712</v>
      </c>
      <c r="I115" s="88"/>
      <c r="J115" s="89"/>
      <c r="K115" s="89"/>
      <c r="L115" s="85"/>
      <c r="M115" s="85"/>
      <c r="N115" s="85"/>
      <c r="O115" s="85"/>
    </row>
    <row r="116" spans="1:15" x14ac:dyDescent="0.25">
      <c r="A116" s="89"/>
      <c r="B116" s="85"/>
      <c r="C116" s="85"/>
      <c r="D116" s="85"/>
      <c r="E116" s="85"/>
      <c r="F116" s="85"/>
      <c r="G116" s="80" t="str">
        <f>CVSSv3!$A$9</f>
        <v>Impacto a la confidencialidad:</v>
      </c>
      <c r="H116" s="81" t="s">
        <v>713</v>
      </c>
      <c r="I116" s="88"/>
      <c r="J116" s="89"/>
      <c r="K116" s="89"/>
      <c r="L116" s="85"/>
      <c r="M116" s="85"/>
      <c r="N116" s="85"/>
      <c r="O116" s="85"/>
    </row>
    <row r="117" spans="1:15" x14ac:dyDescent="0.25">
      <c r="A117" s="89"/>
      <c r="B117" s="85"/>
      <c r="C117" s="85"/>
      <c r="D117" s="85"/>
      <c r="E117" s="85"/>
      <c r="F117" s="85"/>
      <c r="G117" s="80" t="str">
        <f>CVSSv3!$A$10</f>
        <v>Impacto a la integridad:</v>
      </c>
      <c r="H117" s="81" t="s">
        <v>713</v>
      </c>
      <c r="I117" s="88"/>
      <c r="J117" s="89"/>
      <c r="K117" s="89"/>
      <c r="L117" s="85"/>
      <c r="M117" s="85"/>
      <c r="N117" s="85"/>
      <c r="O117" s="85"/>
    </row>
    <row r="118" spans="1:15" x14ac:dyDescent="0.25">
      <c r="A118" s="89"/>
      <c r="B118" s="85"/>
      <c r="C118" s="85"/>
      <c r="D118" s="85"/>
      <c r="E118" s="85"/>
      <c r="F118" s="85"/>
      <c r="G118" s="80" t="str">
        <f>CVSSv3!$A$11</f>
        <v>Impacto a la disponibilidad:</v>
      </c>
      <c r="H118" s="81" t="s">
        <v>713</v>
      </c>
      <c r="I118" s="88"/>
      <c r="J118" s="89"/>
      <c r="K118" s="89"/>
      <c r="L118" s="85"/>
      <c r="M118" s="85"/>
      <c r="N118" s="85"/>
      <c r="O118" s="85"/>
    </row>
    <row r="119" spans="1:15" x14ac:dyDescent="0.25">
      <c r="A119" s="89"/>
      <c r="B119" s="85"/>
      <c r="C119" s="85"/>
      <c r="D119" s="85"/>
      <c r="E119" s="85"/>
      <c r="F119" s="85"/>
      <c r="G119" s="80" t="str">
        <f>CVSSv3!$A$12</f>
        <v>Explotabilidad:</v>
      </c>
      <c r="H119" s="81" t="s">
        <v>709</v>
      </c>
      <c r="I119" s="88"/>
      <c r="J119" s="89"/>
      <c r="K119" s="89"/>
      <c r="L119" s="85"/>
      <c r="M119" s="85"/>
      <c r="N119" s="85"/>
      <c r="O119" s="85"/>
    </row>
    <row r="120" spans="1:15" x14ac:dyDescent="0.25">
      <c r="A120" s="89"/>
      <c r="B120" s="85"/>
      <c r="C120" s="85"/>
      <c r="D120" s="85"/>
      <c r="E120" s="85"/>
      <c r="F120" s="85"/>
      <c r="G120" s="80" t="str">
        <f>CVSSv3!$A$13</f>
        <v>Nivel de resolución:</v>
      </c>
      <c r="H120" s="81" t="s">
        <v>714</v>
      </c>
      <c r="I120" s="88"/>
      <c r="J120" s="89"/>
      <c r="K120" s="89"/>
      <c r="L120" s="85"/>
      <c r="M120" s="85"/>
      <c r="N120" s="85"/>
      <c r="O120" s="85"/>
    </row>
    <row r="121" spans="1:15" x14ac:dyDescent="0.25">
      <c r="A121" s="89"/>
      <c r="B121" s="85"/>
      <c r="C121" s="85"/>
      <c r="D121" s="85"/>
      <c r="E121" s="85"/>
      <c r="F121" s="85"/>
      <c r="G121" s="80" t="str">
        <f>CVSSv3!$A$14</f>
        <v>Nivel de confianza</v>
      </c>
      <c r="H121" s="81" t="s">
        <v>715</v>
      </c>
      <c r="I121" s="88"/>
      <c r="J121" s="89"/>
      <c r="K121" s="89"/>
      <c r="L121" s="85"/>
      <c r="M121" s="85"/>
      <c r="N121" s="85"/>
      <c r="O121" s="85"/>
    </row>
    <row r="122" spans="1:15" x14ac:dyDescent="0.25">
      <c r="A122" s="89"/>
      <c r="B122" s="85"/>
      <c r="C122" s="85"/>
      <c r="D122" s="85"/>
      <c r="E122" s="85"/>
      <c r="F122" s="85"/>
      <c r="G122" s="86" t="str">
        <f>"("&amp;CVSSv3!$B$4&amp;":"&amp;IF(H111=CVSSv3!$C$4,CVSSv3!$C$30,IF(H111=CVSSv3!$D$4,CVSSv3!$D$30,IF(H111=CVSSv3!$E$4,CVSSv3!$E$30,IF(H111=CVSSv3!$F$4,CVSSv3!$F$30,""))))&amp;"/"&amp;CVSSv3!$B$5&amp;":"&amp;IF(H112=CVSSv3!$C$5,CVSSv3!$C$31,IF(H112=CVSSv3!$D$5,CVSSv3!$D$31,""))&amp;"/"&amp;CVSSv3!$B$6&amp;":"&amp;IF(H113=CVSSv3!$C$6,CVSSv3!$C$32,IF(H113=CVSSv3!$D$6,CVSSv3!$D$32,IF(H113=CVSSv3!$E$6,CVSSv3!$E$32,"")))&amp;"/"&amp;CVSSv3!$B$7&amp;":"&amp;IF(H114=CVSSv3!$C$7,CVSSv3!$C$33,IF(H114=CVSSv3!$D$7,CVSSv3!$D$33,""))&amp;"/"&amp;CVSSv3!$B$8&amp;":"&amp;IF(H115=CVSSv3!$C$8,CVSSv3!$C$34,IF(H115=CVSSv3!$D$8,CVSSv3!$D$34,""))&amp;"/"&amp;CVSSv3!$B$9&amp;":"&amp;IF(H116=CVSSv3!$C$9,CVSSv3!$C$35,IF(H116=CVSSv3!$D$9,CVSSv3!$D$35,IF(H116=CVSSv3!$E$9,CVSSv3!$E$35,"")))&amp;"/"&amp;CVSSv3!$B$10&amp;":"&amp;IF(H117=CVSSv3!$C$10,CVSSv3!$C$36,IF(H117=CVSSv3!$D$10,CVSSv3!$D$36,IF(H117=CVSSv3!$E$10,CVSSv3!$E$36,"")))&amp;"/"&amp;CVSSv3!$B$11&amp;":"&amp;IF(H118=CVSSv3!$C$11,CVSSv3!$C$37,IF(H118=CVSSv3!$D$11,CVSSv3!$D$37,IF(H118=CVSSv3!$E$11,CVSSv3!$E$37,"")))&amp;"/"&amp;CVSSv3!$B$12&amp;":"&amp;IF(H119=CVSSv3!$C$12,CVSSv3!$C$38,IF(H119=CVSSv3!$D$12,CVSSv3!$D$38,IF(H119=CVSSv3!$E$12,CVSSv3!$E$38,IF(H119=CVSSv3!$F$12,CVSSv3!$F$38,""))))&amp;"/"&amp;CVSSv3!$B$13&amp;":"&amp;IF(H120=CVSSv3!$C$13,CVSSv3!$C$39,IF(H120=CVSSv3!$D$13,CVSSv3!$D$39,IF(H120=CVSSv3!$E$13,CVSSv3!$E$39,IF(H120=CVSSv3!$F$13,CVSSv3!$F$39,""))))&amp;"/"&amp;CVSSv3!$B$14&amp;":"&amp;IF(H121=CVSSv3!$C$14,CVSSv3!$C$40,IF(H121=CVSSv3!$D$14,CVSSv3!$D$40,IF(H121=CVSSv3!$E$14,CVSSv3!$E$40,"")))&amp;")"</f>
        <v>(AV:N/AC:H/PR:N/UI:N/S:C/C:H/I:H/A:H/E:H/RL:U/RC:C)</v>
      </c>
      <c r="H122" s="87"/>
      <c r="I122" s="88"/>
      <c r="J122" s="89"/>
      <c r="K122" s="89"/>
      <c r="L122" s="85"/>
      <c r="M122" s="85"/>
      <c r="N122" s="85"/>
      <c r="O122" s="85"/>
    </row>
    <row r="123" spans="1:15" x14ac:dyDescent="0.25">
      <c r="A123" s="89">
        <v>11</v>
      </c>
      <c r="B123" s="85" t="s">
        <v>724</v>
      </c>
      <c r="C123" s="85" t="s">
        <v>17</v>
      </c>
      <c r="D123" s="85" t="s">
        <v>17</v>
      </c>
      <c r="E123" s="85" t="s">
        <v>17</v>
      </c>
      <c r="F123"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23" s="82" t="str">
        <f>CVSSv3!$A$4</f>
        <v>Vector de ataque:</v>
      </c>
      <c r="H123" s="84" t="s">
        <v>706</v>
      </c>
      <c r="I123" s="88">
        <f>ROUNDUP((IF((IF(H127=CVSSv3!$C$8,(6.42*(1-((1-(IF(H128=CVSSv3!$C$9,CVSSv3!$C$22,(IF(H128=CVSSv3!$D$9,CVSSv3!$D$22,(IF(H128=CVSSv3!$E$9,CVSSv3!$E$22,"")))))))*(1-(IF(H129=CVSSv3!$C$10,CVSSv3!$C$23,(IF(H129=CVSSv3!$D$10,CVSSv3!$D$23,(IF(H129=CVSSv3!$E$10,CVSSv3!$E$23,"")))))))*(1-(IF(H130=CVSSv3!$C$11,CVSSv3!$C$24,(IF(H130=CVSSv3!$D$11,CVSSv3!$D$24,(IF(H130=CVSSv3!$E$11,CVSSv3!$E$24,"")))))))))),((7.52*((1-((1-(IF(H128=CVSSv3!$C$9,CVSSv3!$C$22,(IF(H128=CVSSv3!$D$9,CVSSv3!$D$22,(IF(H128=CVSSv3!$E$9,CVSSv3!$E$22,"")))))))*(1-(IF(H129=CVSSv3!$C$10,CVSSv3!$C$23,(IF(H129=CVSSv3!$D$10,CVSSv3!$D$23,(IF(H129=CVSSv3!$E$10,CVSSv3!$E$23,"")))))))*(1-(IF(H130=CVSSv3!$C$11,CVSSv3!$C$24,(IF(H130=CVSSv3!$D$11,CVSSv3!$D$24,(IF(H130=CVSSv3!$E$11,CVSSv3!$E$24,"")))))))))-0.029))-(3.25*POWER(((1-((1-(IF(H128=CVSSv3!$C$9,CVSSv3!$C$22,(IF(H128=CVSSv3!$D$9,CVSSv3!$D$22,(IF(H128=CVSSv3!$E$9,CVSSv3!$E$22,"")))))))*(1-(IF(H129=CVSSv3!$C$10,CVSSv3!$C$23,(IF(H129=CVSSv3!$D$10,CVSSv3!$D$23,(IF(H129=CVSSv3!$E$10,CVSSv3!$E$23,"")))))))*(1-(IF(H130=CVSSv3!$C$11,CVSSv3!$C$24,(IF(H130=CVSSv3!$D$11,CVSSv3!$D$24,(IF(H130=CVSSv3!$E$11,CVSSv3!$E$24,"")))))))))-0.02),15)))))&lt;=0,0,(IF(H127=CVSSv3!$C$8,ROUNDUP((MIN((IF(H127=CVSSv3!$C$8,(6.42*(1-((1-(IF(H128=CVSSv3!$C$9,CVSSv3!$C$22,(IF(H128=CVSSv3!$D$9,CVSSv3!$D$22,(IF(H128=CVSSv3!$E$9,CVSSv3!$E$22,"")))))))*(1-(IF(H129=CVSSv3!$C$10,CVSSv3!$C$23,(IF(H129=CVSSv3!$D$10,CVSSv3!$D$23,(IF(H129=CVSSv3!$E$10,CVSSv3!$E$23,"")))))))*(1-(IF(H130=CVSSv3!$C$11,CVSSv3!$C$24,(IF(H130=CVSSv3!$D$11,CVSSv3!$D$24,(IF(H130=CVSSv3!$E$11,CVSSv3!$E$24,"")))))))))),((7.52*((1-((1-(IF(H128=CVSSv3!$C$9,CVSSv3!$C$22,(IF(H128=CVSSv3!$D$9,CVSSv3!$D$22,(IF(H128=CVSSv3!$E$9,CVSSv3!$E$22,"")))))))*(1-(IF(H129=CVSSv3!$C$10,CVSSv3!$C$23,(IF(H129=CVSSv3!$D$10,CVSSv3!$D$23,(IF(H129=CVSSv3!$E$10,CVSSv3!$E$23,"")))))))*(1-(IF(H130=CVSSv3!$C$11,CVSSv3!$C$24,(IF(H130=CVSSv3!$D$11,CVSSv3!$D$24,(IF(H130=CVSSv3!$E$11,CVSSv3!$E$24,"")))))))))-0.029))-(3.25*POWER(((1-((1-(IF(H128=CVSSv3!$C$9,CVSSv3!$C$22,(IF(H128=CVSSv3!$D$9,CVSSv3!$D$22,(IF(H128=CVSSv3!$E$9,CVSSv3!$E$22,"")))))))*(1-(IF(H129=CVSSv3!$C$10,CVSSv3!$C$23,(IF(H129=CVSSv3!$D$10,CVSSv3!$D$23,(IF(H129=CVSSv3!$E$10,CVSSv3!$E$23,"")))))))*(1-(IF(H130=CVSSv3!$C$11,CVSSv3!$C$24,(IF(H130=CVSSv3!$D$11,CVSSv3!$D$24,(IF(H130=CVSSv3!$E$11,CVSSv3!$E$24,"")))))))))-0.02),15)))))+(8.22*(IF(H123=CVSSv3!$C$4,CVSSv3!$C$17,(IF(H123=CVSSv3!$D$4,CVSSv3!$D$17,(IF(H123=CVSSv3!$E$4,CVSSv3!$E$17,(IF(H123=CVSSv3!$F$4,CVSSv3!$F$17,""))))))))*(IF(H124=CVSSv3!$C$5,CVSSv3!$C$18,(IF(H124=CVSSv3!$D$5,CVSSv3!$D$18,""))))*(IF(H125=CVSSv3!$C$6,CVSSv3!$C$19,(IF(H125=CVSSv3!$D$6,(IF(H127=CVSSv3!$D$8,0.68,CVSSv3!$D$19)),(IF(H125=CVSSv3!$E$6,(IF(H127=CVSSv3!$D$8,0.5,CVSSv3!$E$19))))))))*(IF(H126=CVSSv3!$C$7,CVSSv3!$C$20,(IF(H126=CVSSv3!$D$7,CVSSv3!$D$20,""))))),10)),1),ROUNDUP((MIN(1.08*((IF(H127=CVSSv3!$C$8,(6.42*(1-((1-(IF(H128=CVSSv3!$C$9,CVSSv3!$C$22,(IF(H128=CVSSv3!$D$9,CVSSv3!$D$22,(IF(H128=CVSSv3!$E$9,CVSSv3!$E$22,"")))))))*(1-(IF(H129=CVSSv3!$C$10,CVSSv3!$C$23,(IF(H129=CVSSv3!$D$10,CVSSv3!$D$23,(IF(H129=CVSSv3!$E$10,CVSSv3!$E$23,"")))))))*(1-(IF(H130=CVSSv3!$C$11,CVSSv3!$C$24,(IF(H130=CVSSv3!$D$11,CVSSv3!$D$24,(IF(H130=CVSSv3!$E$11,CVSSv3!$E$24,"")))))))))),((7.52*((1-((1-(IF(H128=CVSSv3!$C$9,CVSSv3!$C$22,(IF(H128=CVSSv3!$D$9,CVSSv3!$D$22,(IF(H128=CVSSv3!$E$9,CVSSv3!$E$22,"")))))))*(1-(IF(H129=CVSSv3!$C$10,CVSSv3!$C$23,(IF(H129=CVSSv3!$D$10,CVSSv3!$D$23,(IF(H129=CVSSv3!$E$10,CVSSv3!$E$23,"")))))))*(1-(IF(H130=CVSSv3!$C$11,CVSSv3!$C$24,(IF(H130=CVSSv3!$D$11,CVSSv3!$D$24,(IF(H130=CVSSv3!$E$11,CVSSv3!$E$24,"")))))))))-0.029))-(3.25*POWER(((1-((1-(IF(H128=CVSSv3!$C$9,CVSSv3!$C$22,(IF(H128=CVSSv3!$D$9,CVSSv3!$D$22,(IF(H128=CVSSv3!$E$9,CVSSv3!$E$22,"")))))))*(1-(IF(H129=CVSSv3!$C$10,CVSSv3!$C$23,(IF(H129=CVSSv3!$D$10,CVSSv3!$D$23,(IF(H129=CVSSv3!$E$10,CVSSv3!$E$23,"")))))))*(1-(IF(H130=CVSSv3!$C$11,CVSSv3!$C$24,(IF(H130=CVSSv3!$D$11,CVSSv3!$D$24,(IF(H130=CVSSv3!$E$11,CVSSv3!$E$24,"")))))))))-0.02),15)))))+(8.22*(IF(H123=CVSSv3!$C$4,CVSSv3!$C$17,(IF(H123=CVSSv3!$D$4,CVSSv3!$D$17,(IF(H123=CVSSv3!$E$4,CVSSv3!$E$17,(IF(H123=CVSSv3!$F$4,CVSSv3!$F$17,""))))))))*(IF(H124=CVSSv3!$C$5,CVSSv3!$C$18,(IF(H124=CVSSv3!$D$5,CVSSv3!$D$18,""))))*(IF(H125=CVSSv3!$C$6,CVSSv3!$C$19,(IF(H125=CVSSv3!$D$6,(IF(H127=CVSSv3!$D$8,0.68,CVSSv3!$D$19)),(IF(H125=CVSSv3!$E$6,(IF(H127=CVSSv3!$D$8,0.5,CVSSv3!$E$19))))))))*(IF(H126=CVSSv3!$C$7,CVSSv3!$C$20,(IF(H126=CVSSv3!$D$7,CVSSv3!$D$20,"")))))),10)),1))))*(IF(H131=CVSSv3!$C$12,CVSSv3!$C$25,(IF(H131=CVSSv3!$D$12,CVSSv3!$D$25,(IF(H131=CVSSv3!$E$12,CVSSv3!$E$25,(IF(H131=CVSSv3!$F$12,CVSSv3!$F$25,""))))))))*(IF(H132=CVSSv3!$C$13,CVSSv3!$C$26,(IF(H132=CVSSv3!$D$13,CVSSv3!$D$26,(IF(H132=CVSSv3!$E$13,CVSSv3!$E$26,(IF(H132=CVSSv3!$F$13,CVSSv3!$F$26,""))))))))*(IF(H133=CVSSv3!$C$14,CVSSv3!$C$27,(IF(H133=CVSSv3!$D$14,CVSSv3!$D$27,(IF(H133=CVSSv3!$E$14,CVSSv3!$E$27,""))))))),1)</f>
        <v>9</v>
      </c>
      <c r="J123" s="89">
        <v>0</v>
      </c>
      <c r="K123" s="89">
        <v>0</v>
      </c>
      <c r="L123" s="85" t="s">
        <v>17</v>
      </c>
      <c r="M123" s="85" t="s">
        <v>17</v>
      </c>
      <c r="N123" s="85" t="s">
        <v>707</v>
      </c>
      <c r="O123" s="85" t="s">
        <v>708</v>
      </c>
    </row>
    <row r="124" spans="1:15" x14ac:dyDescent="0.25">
      <c r="A124" s="89"/>
      <c r="B124" s="85"/>
      <c r="C124" s="85"/>
      <c r="D124" s="85"/>
      <c r="E124" s="85"/>
      <c r="F124" s="85"/>
      <c r="G124" s="80" t="str">
        <f>CVSSv3!$A$5</f>
        <v>Complejidad de ataque:</v>
      </c>
      <c r="H124" s="81" t="s">
        <v>709</v>
      </c>
      <c r="I124" s="88"/>
      <c r="J124" s="89"/>
      <c r="K124" s="89"/>
      <c r="L124" s="85"/>
      <c r="M124" s="85"/>
      <c r="N124" s="85"/>
      <c r="O124" s="85"/>
    </row>
    <row r="125" spans="1:15" x14ac:dyDescent="0.25">
      <c r="A125" s="89"/>
      <c r="B125" s="85"/>
      <c r="C125" s="85"/>
      <c r="D125" s="85"/>
      <c r="E125" s="85"/>
      <c r="F125" s="85"/>
      <c r="G125" s="80" t="str">
        <f>CVSSv3!$A$6</f>
        <v>Privilegios requeridos:</v>
      </c>
      <c r="H125" s="81" t="s">
        <v>710</v>
      </c>
      <c r="I125" s="88"/>
      <c r="J125" s="89"/>
      <c r="K125" s="89"/>
      <c r="L125" s="85"/>
      <c r="M125" s="85"/>
      <c r="N125" s="85"/>
      <c r="O125" s="85"/>
    </row>
    <row r="126" spans="1:15" x14ac:dyDescent="0.25">
      <c r="A126" s="89"/>
      <c r="B126" s="85"/>
      <c r="C126" s="85"/>
      <c r="D126" s="85"/>
      <c r="E126" s="85"/>
      <c r="F126" s="85"/>
      <c r="G126" s="80" t="str">
        <f>CVSSv3!$A$7</f>
        <v>Interacción del usuario:</v>
      </c>
      <c r="H126" s="81" t="s">
        <v>711</v>
      </c>
      <c r="I126" s="88"/>
      <c r="J126" s="89"/>
      <c r="K126" s="89"/>
      <c r="L126" s="85"/>
      <c r="M126" s="85"/>
      <c r="N126" s="85"/>
      <c r="O126" s="85"/>
    </row>
    <row r="127" spans="1:15" x14ac:dyDescent="0.25">
      <c r="A127" s="89"/>
      <c r="B127" s="85"/>
      <c r="C127" s="85"/>
      <c r="D127" s="85"/>
      <c r="E127" s="85"/>
      <c r="F127" s="85"/>
      <c r="G127" s="80" t="str">
        <f>CVSSv3!$A$8</f>
        <v>Alcance:</v>
      </c>
      <c r="H127" s="81" t="s">
        <v>712</v>
      </c>
      <c r="I127" s="88"/>
      <c r="J127" s="89"/>
      <c r="K127" s="89"/>
      <c r="L127" s="85"/>
      <c r="M127" s="85"/>
      <c r="N127" s="85"/>
      <c r="O127" s="85"/>
    </row>
    <row r="128" spans="1:15" x14ac:dyDescent="0.25">
      <c r="A128" s="89"/>
      <c r="B128" s="85"/>
      <c r="C128" s="85"/>
      <c r="D128" s="85"/>
      <c r="E128" s="85"/>
      <c r="F128" s="85"/>
      <c r="G128" s="80" t="str">
        <f>CVSSv3!$A$9</f>
        <v>Impacto a la confidencialidad:</v>
      </c>
      <c r="H128" s="81" t="s">
        <v>713</v>
      </c>
      <c r="I128" s="88"/>
      <c r="J128" s="89"/>
      <c r="K128" s="89"/>
      <c r="L128" s="85"/>
      <c r="M128" s="85"/>
      <c r="N128" s="85"/>
      <c r="O128" s="85"/>
    </row>
    <row r="129" spans="1:15" x14ac:dyDescent="0.25">
      <c r="A129" s="89"/>
      <c r="B129" s="85"/>
      <c r="C129" s="85"/>
      <c r="D129" s="85"/>
      <c r="E129" s="85"/>
      <c r="F129" s="85"/>
      <c r="G129" s="80" t="str">
        <f>CVSSv3!$A$10</f>
        <v>Impacto a la integridad:</v>
      </c>
      <c r="H129" s="81" t="s">
        <v>713</v>
      </c>
      <c r="I129" s="88"/>
      <c r="J129" s="89"/>
      <c r="K129" s="89"/>
      <c r="L129" s="85"/>
      <c r="M129" s="85"/>
      <c r="N129" s="85"/>
      <c r="O129" s="85"/>
    </row>
    <row r="130" spans="1:15" x14ac:dyDescent="0.25">
      <c r="A130" s="89"/>
      <c r="B130" s="85"/>
      <c r="C130" s="85"/>
      <c r="D130" s="85"/>
      <c r="E130" s="85"/>
      <c r="F130" s="85"/>
      <c r="G130" s="80" t="str">
        <f>CVSSv3!$A$11</f>
        <v>Impacto a la disponibilidad:</v>
      </c>
      <c r="H130" s="81" t="s">
        <v>713</v>
      </c>
      <c r="I130" s="88"/>
      <c r="J130" s="89"/>
      <c r="K130" s="89"/>
      <c r="L130" s="85"/>
      <c r="M130" s="85"/>
      <c r="N130" s="85"/>
      <c r="O130" s="85"/>
    </row>
    <row r="131" spans="1:15" x14ac:dyDescent="0.25">
      <c r="A131" s="89"/>
      <c r="B131" s="85"/>
      <c r="C131" s="85"/>
      <c r="D131" s="85"/>
      <c r="E131" s="85"/>
      <c r="F131" s="85"/>
      <c r="G131" s="80" t="str">
        <f>CVSSv3!$A$12</f>
        <v>Explotabilidad:</v>
      </c>
      <c r="H131" s="81" t="s">
        <v>709</v>
      </c>
      <c r="I131" s="88"/>
      <c r="J131" s="89"/>
      <c r="K131" s="89"/>
      <c r="L131" s="85"/>
      <c r="M131" s="85"/>
      <c r="N131" s="85"/>
      <c r="O131" s="85"/>
    </row>
    <row r="132" spans="1:15" x14ac:dyDescent="0.25">
      <c r="A132" s="89"/>
      <c r="B132" s="85"/>
      <c r="C132" s="85"/>
      <c r="D132" s="85"/>
      <c r="E132" s="85"/>
      <c r="F132" s="85"/>
      <c r="G132" s="80" t="str">
        <f>CVSSv3!$A$13</f>
        <v>Nivel de resolución:</v>
      </c>
      <c r="H132" s="81" t="s">
        <v>714</v>
      </c>
      <c r="I132" s="88"/>
      <c r="J132" s="89"/>
      <c r="K132" s="89"/>
      <c r="L132" s="85"/>
      <c r="M132" s="85"/>
      <c r="N132" s="85"/>
      <c r="O132" s="85"/>
    </row>
    <row r="133" spans="1:15" x14ac:dyDescent="0.25">
      <c r="A133" s="89"/>
      <c r="B133" s="85"/>
      <c r="C133" s="85"/>
      <c r="D133" s="85"/>
      <c r="E133" s="85"/>
      <c r="F133" s="85"/>
      <c r="G133" s="80" t="str">
        <f>CVSSv3!$A$14</f>
        <v>Nivel de confianza</v>
      </c>
      <c r="H133" s="81" t="s">
        <v>715</v>
      </c>
      <c r="I133" s="88"/>
      <c r="J133" s="89"/>
      <c r="K133" s="89"/>
      <c r="L133" s="85"/>
      <c r="M133" s="85"/>
      <c r="N133" s="85"/>
      <c r="O133" s="85"/>
    </row>
    <row r="134" spans="1:15" x14ac:dyDescent="0.25">
      <c r="A134" s="89"/>
      <c r="B134" s="85"/>
      <c r="C134" s="85"/>
      <c r="D134" s="85"/>
      <c r="E134" s="85"/>
      <c r="F134" s="85"/>
      <c r="G134" s="86" t="str">
        <f>"("&amp;CVSSv3!$B$4&amp;":"&amp;IF(H123=CVSSv3!$C$4,CVSSv3!$C$30,IF(H123=CVSSv3!$D$4,CVSSv3!$D$30,IF(H123=CVSSv3!$E$4,CVSSv3!$E$30,IF(H123=CVSSv3!$F$4,CVSSv3!$F$30,""))))&amp;"/"&amp;CVSSv3!$B$5&amp;":"&amp;IF(H124=CVSSv3!$C$5,CVSSv3!$C$31,IF(H124=CVSSv3!$D$5,CVSSv3!$D$31,""))&amp;"/"&amp;CVSSv3!$B$6&amp;":"&amp;IF(H125=CVSSv3!$C$6,CVSSv3!$C$32,IF(H125=CVSSv3!$D$6,CVSSv3!$D$32,IF(H125=CVSSv3!$E$6,CVSSv3!$E$32,"")))&amp;"/"&amp;CVSSv3!$B$7&amp;":"&amp;IF(H126=CVSSv3!$C$7,CVSSv3!$C$33,IF(H126=CVSSv3!$D$7,CVSSv3!$D$33,""))&amp;"/"&amp;CVSSv3!$B$8&amp;":"&amp;IF(H127=CVSSv3!$C$8,CVSSv3!$C$34,IF(H127=CVSSv3!$D$8,CVSSv3!$D$34,""))&amp;"/"&amp;CVSSv3!$B$9&amp;":"&amp;IF(H128=CVSSv3!$C$9,CVSSv3!$C$35,IF(H128=CVSSv3!$D$9,CVSSv3!$D$35,IF(H128=CVSSv3!$E$9,CVSSv3!$E$35,"")))&amp;"/"&amp;CVSSv3!$B$10&amp;":"&amp;IF(H129=CVSSv3!$C$10,CVSSv3!$C$36,IF(H129=CVSSv3!$D$10,CVSSv3!$D$36,IF(H129=CVSSv3!$E$10,CVSSv3!$E$36,"")))&amp;"/"&amp;CVSSv3!$B$11&amp;":"&amp;IF(H130=CVSSv3!$C$11,CVSSv3!$C$37,IF(H130=CVSSv3!$D$11,CVSSv3!$D$37,IF(H130=CVSSv3!$E$11,CVSSv3!$E$37,"")))&amp;"/"&amp;CVSSv3!$B$12&amp;":"&amp;IF(H131=CVSSv3!$C$12,CVSSv3!$C$38,IF(H131=CVSSv3!$D$12,CVSSv3!$D$38,IF(H131=CVSSv3!$E$12,CVSSv3!$E$38,IF(H131=CVSSv3!$F$12,CVSSv3!$F$38,""))))&amp;"/"&amp;CVSSv3!$B$13&amp;":"&amp;IF(H132=CVSSv3!$C$13,CVSSv3!$C$39,IF(H132=CVSSv3!$D$13,CVSSv3!$D$39,IF(H132=CVSSv3!$E$13,CVSSv3!$E$39,IF(H132=CVSSv3!$F$13,CVSSv3!$F$39,""))))&amp;"/"&amp;CVSSv3!$B$14&amp;":"&amp;IF(H133=CVSSv3!$C$14,CVSSv3!$C$40,IF(H133=CVSSv3!$D$14,CVSSv3!$D$40,IF(H133=CVSSv3!$E$14,CVSSv3!$E$40,"")))&amp;")"</f>
        <v>(AV:N/AC:H/PR:N/UI:N/S:C/C:H/I:H/A:H/E:H/RL:U/RC:C)</v>
      </c>
      <c r="H134" s="87"/>
      <c r="I134" s="88"/>
      <c r="J134" s="89"/>
      <c r="K134" s="89"/>
      <c r="L134" s="85"/>
      <c r="M134" s="85"/>
      <c r="N134" s="85"/>
      <c r="O134" s="85"/>
    </row>
    <row r="135" spans="1:15" x14ac:dyDescent="0.25">
      <c r="A135" s="89">
        <v>12</v>
      </c>
      <c r="B135" s="85" t="s">
        <v>725</v>
      </c>
      <c r="C135" s="85" t="s">
        <v>17</v>
      </c>
      <c r="D135" s="85" t="s">
        <v>17</v>
      </c>
      <c r="E135" s="85" t="s">
        <v>17</v>
      </c>
      <c r="F135"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35" s="82" t="str">
        <f>CVSSv3!$A$4</f>
        <v>Vector de ataque:</v>
      </c>
      <c r="H135" s="84" t="s">
        <v>706</v>
      </c>
      <c r="I135" s="88">
        <f>ROUNDUP((IF((IF(H139=CVSSv3!$C$8,(6.42*(1-((1-(IF(H140=CVSSv3!$C$9,CVSSv3!$C$22,(IF(H140=CVSSv3!$D$9,CVSSv3!$D$22,(IF(H140=CVSSv3!$E$9,CVSSv3!$E$22,"")))))))*(1-(IF(H141=CVSSv3!$C$10,CVSSv3!$C$23,(IF(H141=CVSSv3!$D$10,CVSSv3!$D$23,(IF(H141=CVSSv3!$E$10,CVSSv3!$E$23,"")))))))*(1-(IF(H142=CVSSv3!$C$11,CVSSv3!$C$24,(IF(H142=CVSSv3!$D$11,CVSSv3!$D$24,(IF(H142=CVSSv3!$E$11,CVSSv3!$E$24,"")))))))))),((7.52*((1-((1-(IF(H140=CVSSv3!$C$9,CVSSv3!$C$22,(IF(H140=CVSSv3!$D$9,CVSSv3!$D$22,(IF(H140=CVSSv3!$E$9,CVSSv3!$E$22,"")))))))*(1-(IF(H141=CVSSv3!$C$10,CVSSv3!$C$23,(IF(H141=CVSSv3!$D$10,CVSSv3!$D$23,(IF(H141=CVSSv3!$E$10,CVSSv3!$E$23,"")))))))*(1-(IF(H142=CVSSv3!$C$11,CVSSv3!$C$24,(IF(H142=CVSSv3!$D$11,CVSSv3!$D$24,(IF(H142=CVSSv3!$E$11,CVSSv3!$E$24,"")))))))))-0.029))-(3.25*POWER(((1-((1-(IF(H140=CVSSv3!$C$9,CVSSv3!$C$22,(IF(H140=CVSSv3!$D$9,CVSSv3!$D$22,(IF(H140=CVSSv3!$E$9,CVSSv3!$E$22,"")))))))*(1-(IF(H141=CVSSv3!$C$10,CVSSv3!$C$23,(IF(H141=CVSSv3!$D$10,CVSSv3!$D$23,(IF(H141=CVSSv3!$E$10,CVSSv3!$E$23,"")))))))*(1-(IF(H142=CVSSv3!$C$11,CVSSv3!$C$24,(IF(H142=CVSSv3!$D$11,CVSSv3!$D$24,(IF(H142=CVSSv3!$E$11,CVSSv3!$E$24,"")))))))))-0.02),15)))))&lt;=0,0,(IF(H139=CVSSv3!$C$8,ROUNDUP((MIN((IF(H139=CVSSv3!$C$8,(6.42*(1-((1-(IF(H140=CVSSv3!$C$9,CVSSv3!$C$22,(IF(H140=CVSSv3!$D$9,CVSSv3!$D$22,(IF(H140=CVSSv3!$E$9,CVSSv3!$E$22,"")))))))*(1-(IF(H141=CVSSv3!$C$10,CVSSv3!$C$23,(IF(H141=CVSSv3!$D$10,CVSSv3!$D$23,(IF(H141=CVSSv3!$E$10,CVSSv3!$E$23,"")))))))*(1-(IF(H142=CVSSv3!$C$11,CVSSv3!$C$24,(IF(H142=CVSSv3!$D$11,CVSSv3!$D$24,(IF(H142=CVSSv3!$E$11,CVSSv3!$E$24,"")))))))))),((7.52*((1-((1-(IF(H140=CVSSv3!$C$9,CVSSv3!$C$22,(IF(H140=CVSSv3!$D$9,CVSSv3!$D$22,(IF(H140=CVSSv3!$E$9,CVSSv3!$E$22,"")))))))*(1-(IF(H141=CVSSv3!$C$10,CVSSv3!$C$23,(IF(H141=CVSSv3!$D$10,CVSSv3!$D$23,(IF(H141=CVSSv3!$E$10,CVSSv3!$E$23,"")))))))*(1-(IF(H142=CVSSv3!$C$11,CVSSv3!$C$24,(IF(H142=CVSSv3!$D$11,CVSSv3!$D$24,(IF(H142=CVSSv3!$E$11,CVSSv3!$E$24,"")))))))))-0.029))-(3.25*POWER(((1-((1-(IF(H140=CVSSv3!$C$9,CVSSv3!$C$22,(IF(H140=CVSSv3!$D$9,CVSSv3!$D$22,(IF(H140=CVSSv3!$E$9,CVSSv3!$E$22,"")))))))*(1-(IF(H141=CVSSv3!$C$10,CVSSv3!$C$23,(IF(H141=CVSSv3!$D$10,CVSSv3!$D$23,(IF(H141=CVSSv3!$E$10,CVSSv3!$E$23,"")))))))*(1-(IF(H142=CVSSv3!$C$11,CVSSv3!$C$24,(IF(H142=CVSSv3!$D$11,CVSSv3!$D$24,(IF(H142=CVSSv3!$E$11,CVSSv3!$E$24,"")))))))))-0.02),15)))))+(8.22*(IF(H135=CVSSv3!$C$4,CVSSv3!$C$17,(IF(H135=CVSSv3!$D$4,CVSSv3!$D$17,(IF(H135=CVSSv3!$E$4,CVSSv3!$E$17,(IF(H135=CVSSv3!$F$4,CVSSv3!$F$17,""))))))))*(IF(H136=CVSSv3!$C$5,CVSSv3!$C$18,(IF(H136=CVSSv3!$D$5,CVSSv3!$D$18,""))))*(IF(H137=CVSSv3!$C$6,CVSSv3!$C$19,(IF(H137=CVSSv3!$D$6,(IF(H139=CVSSv3!$D$8,0.68,CVSSv3!$D$19)),(IF(H137=CVSSv3!$E$6,(IF(H139=CVSSv3!$D$8,0.5,CVSSv3!$E$19))))))))*(IF(H138=CVSSv3!$C$7,CVSSv3!$C$20,(IF(H138=CVSSv3!$D$7,CVSSv3!$D$20,""))))),10)),1),ROUNDUP((MIN(1.08*((IF(H139=CVSSv3!$C$8,(6.42*(1-((1-(IF(H140=CVSSv3!$C$9,CVSSv3!$C$22,(IF(H140=CVSSv3!$D$9,CVSSv3!$D$22,(IF(H140=CVSSv3!$E$9,CVSSv3!$E$22,"")))))))*(1-(IF(H141=CVSSv3!$C$10,CVSSv3!$C$23,(IF(H141=CVSSv3!$D$10,CVSSv3!$D$23,(IF(H141=CVSSv3!$E$10,CVSSv3!$E$23,"")))))))*(1-(IF(H142=CVSSv3!$C$11,CVSSv3!$C$24,(IF(H142=CVSSv3!$D$11,CVSSv3!$D$24,(IF(H142=CVSSv3!$E$11,CVSSv3!$E$24,"")))))))))),((7.52*((1-((1-(IF(H140=CVSSv3!$C$9,CVSSv3!$C$22,(IF(H140=CVSSv3!$D$9,CVSSv3!$D$22,(IF(H140=CVSSv3!$E$9,CVSSv3!$E$22,"")))))))*(1-(IF(H141=CVSSv3!$C$10,CVSSv3!$C$23,(IF(H141=CVSSv3!$D$10,CVSSv3!$D$23,(IF(H141=CVSSv3!$E$10,CVSSv3!$E$23,"")))))))*(1-(IF(H142=CVSSv3!$C$11,CVSSv3!$C$24,(IF(H142=CVSSv3!$D$11,CVSSv3!$D$24,(IF(H142=CVSSv3!$E$11,CVSSv3!$E$24,"")))))))))-0.029))-(3.25*POWER(((1-((1-(IF(H140=CVSSv3!$C$9,CVSSv3!$C$22,(IF(H140=CVSSv3!$D$9,CVSSv3!$D$22,(IF(H140=CVSSv3!$E$9,CVSSv3!$E$22,"")))))))*(1-(IF(H141=CVSSv3!$C$10,CVSSv3!$C$23,(IF(H141=CVSSv3!$D$10,CVSSv3!$D$23,(IF(H141=CVSSv3!$E$10,CVSSv3!$E$23,"")))))))*(1-(IF(H142=CVSSv3!$C$11,CVSSv3!$C$24,(IF(H142=CVSSv3!$D$11,CVSSv3!$D$24,(IF(H142=CVSSv3!$E$11,CVSSv3!$E$24,"")))))))))-0.02),15)))))+(8.22*(IF(H135=CVSSv3!$C$4,CVSSv3!$C$17,(IF(H135=CVSSv3!$D$4,CVSSv3!$D$17,(IF(H135=CVSSv3!$E$4,CVSSv3!$E$17,(IF(H135=CVSSv3!$F$4,CVSSv3!$F$17,""))))))))*(IF(H136=CVSSv3!$C$5,CVSSv3!$C$18,(IF(H136=CVSSv3!$D$5,CVSSv3!$D$18,""))))*(IF(H137=CVSSv3!$C$6,CVSSv3!$C$19,(IF(H137=CVSSv3!$D$6,(IF(H139=CVSSv3!$D$8,0.68,CVSSv3!$D$19)),(IF(H137=CVSSv3!$E$6,(IF(H139=CVSSv3!$D$8,0.5,CVSSv3!$E$19))))))))*(IF(H138=CVSSv3!$C$7,CVSSv3!$C$20,(IF(H138=CVSSv3!$D$7,CVSSv3!$D$20,"")))))),10)),1))))*(IF(H143=CVSSv3!$C$12,CVSSv3!$C$25,(IF(H143=CVSSv3!$D$12,CVSSv3!$D$25,(IF(H143=CVSSv3!$E$12,CVSSv3!$E$25,(IF(H143=CVSSv3!$F$12,CVSSv3!$F$25,""))))))))*(IF(H144=CVSSv3!$C$13,CVSSv3!$C$26,(IF(H144=CVSSv3!$D$13,CVSSv3!$D$26,(IF(H144=CVSSv3!$E$13,CVSSv3!$E$26,(IF(H144=CVSSv3!$F$13,CVSSv3!$F$26,""))))))))*(IF(H145=CVSSv3!$C$14,CVSSv3!$C$27,(IF(H145=CVSSv3!$D$14,CVSSv3!$D$27,(IF(H145=CVSSv3!$E$14,CVSSv3!$E$27,""))))))),1)</f>
        <v>9</v>
      </c>
      <c r="J135" s="89">
        <v>0</v>
      </c>
      <c r="K135" s="89">
        <v>0</v>
      </c>
      <c r="L135" s="85" t="s">
        <v>17</v>
      </c>
      <c r="M135" s="85" t="s">
        <v>17</v>
      </c>
      <c r="N135" s="85" t="s">
        <v>707</v>
      </c>
      <c r="O135" s="85" t="s">
        <v>708</v>
      </c>
    </row>
    <row r="136" spans="1:15" x14ac:dyDescent="0.25">
      <c r="A136" s="89"/>
      <c r="B136" s="85"/>
      <c r="C136" s="85"/>
      <c r="D136" s="85"/>
      <c r="E136" s="85"/>
      <c r="F136" s="85"/>
      <c r="G136" s="80" t="str">
        <f>CVSSv3!$A$5</f>
        <v>Complejidad de ataque:</v>
      </c>
      <c r="H136" s="81" t="s">
        <v>709</v>
      </c>
      <c r="I136" s="88"/>
      <c r="J136" s="89"/>
      <c r="K136" s="89"/>
      <c r="L136" s="85"/>
      <c r="M136" s="85"/>
      <c r="N136" s="85"/>
      <c r="O136" s="85"/>
    </row>
    <row r="137" spans="1:15" x14ac:dyDescent="0.25">
      <c r="A137" s="89"/>
      <c r="B137" s="85"/>
      <c r="C137" s="85"/>
      <c r="D137" s="85"/>
      <c r="E137" s="85"/>
      <c r="F137" s="85"/>
      <c r="G137" s="80" t="str">
        <f>CVSSv3!$A$6</f>
        <v>Privilegios requeridos:</v>
      </c>
      <c r="H137" s="81" t="s">
        <v>710</v>
      </c>
      <c r="I137" s="88"/>
      <c r="J137" s="89"/>
      <c r="K137" s="89"/>
      <c r="L137" s="85"/>
      <c r="M137" s="85"/>
      <c r="N137" s="85"/>
      <c r="O137" s="85"/>
    </row>
    <row r="138" spans="1:15" x14ac:dyDescent="0.25">
      <c r="A138" s="89"/>
      <c r="B138" s="85"/>
      <c r="C138" s="85"/>
      <c r="D138" s="85"/>
      <c r="E138" s="85"/>
      <c r="F138" s="85"/>
      <c r="G138" s="80" t="str">
        <f>CVSSv3!$A$7</f>
        <v>Interacción del usuario:</v>
      </c>
      <c r="H138" s="81" t="s">
        <v>711</v>
      </c>
      <c r="I138" s="88"/>
      <c r="J138" s="89"/>
      <c r="K138" s="89"/>
      <c r="L138" s="85"/>
      <c r="M138" s="85"/>
      <c r="N138" s="85"/>
      <c r="O138" s="85"/>
    </row>
    <row r="139" spans="1:15" x14ac:dyDescent="0.25">
      <c r="A139" s="89"/>
      <c r="B139" s="85"/>
      <c r="C139" s="85"/>
      <c r="D139" s="85"/>
      <c r="E139" s="85"/>
      <c r="F139" s="85"/>
      <c r="G139" s="80" t="str">
        <f>CVSSv3!$A$8</f>
        <v>Alcance:</v>
      </c>
      <c r="H139" s="81" t="s">
        <v>712</v>
      </c>
      <c r="I139" s="88"/>
      <c r="J139" s="89"/>
      <c r="K139" s="89"/>
      <c r="L139" s="85"/>
      <c r="M139" s="85"/>
      <c r="N139" s="85"/>
      <c r="O139" s="85"/>
    </row>
    <row r="140" spans="1:15" x14ac:dyDescent="0.25">
      <c r="A140" s="89"/>
      <c r="B140" s="85"/>
      <c r="C140" s="85"/>
      <c r="D140" s="85"/>
      <c r="E140" s="85"/>
      <c r="F140" s="85"/>
      <c r="G140" s="80" t="str">
        <f>CVSSv3!$A$9</f>
        <v>Impacto a la confidencialidad:</v>
      </c>
      <c r="H140" s="81" t="s">
        <v>713</v>
      </c>
      <c r="I140" s="88"/>
      <c r="J140" s="89"/>
      <c r="K140" s="89"/>
      <c r="L140" s="85"/>
      <c r="M140" s="85"/>
      <c r="N140" s="85"/>
      <c r="O140" s="85"/>
    </row>
    <row r="141" spans="1:15" x14ac:dyDescent="0.25">
      <c r="A141" s="89"/>
      <c r="B141" s="85"/>
      <c r="C141" s="85"/>
      <c r="D141" s="85"/>
      <c r="E141" s="85"/>
      <c r="F141" s="85"/>
      <c r="G141" s="80" t="str">
        <f>CVSSv3!$A$10</f>
        <v>Impacto a la integridad:</v>
      </c>
      <c r="H141" s="81" t="s">
        <v>713</v>
      </c>
      <c r="I141" s="88"/>
      <c r="J141" s="89"/>
      <c r="K141" s="89"/>
      <c r="L141" s="85"/>
      <c r="M141" s="85"/>
      <c r="N141" s="85"/>
      <c r="O141" s="85"/>
    </row>
    <row r="142" spans="1:15" x14ac:dyDescent="0.25">
      <c r="A142" s="89"/>
      <c r="B142" s="85"/>
      <c r="C142" s="85"/>
      <c r="D142" s="85"/>
      <c r="E142" s="85"/>
      <c r="F142" s="85"/>
      <c r="G142" s="80" t="str">
        <f>CVSSv3!$A$11</f>
        <v>Impacto a la disponibilidad:</v>
      </c>
      <c r="H142" s="81" t="s">
        <v>713</v>
      </c>
      <c r="I142" s="88"/>
      <c r="J142" s="89"/>
      <c r="K142" s="89"/>
      <c r="L142" s="85"/>
      <c r="M142" s="85"/>
      <c r="N142" s="85"/>
      <c r="O142" s="85"/>
    </row>
    <row r="143" spans="1:15" x14ac:dyDescent="0.25">
      <c r="A143" s="89"/>
      <c r="B143" s="85"/>
      <c r="C143" s="85"/>
      <c r="D143" s="85"/>
      <c r="E143" s="85"/>
      <c r="F143" s="85"/>
      <c r="G143" s="80" t="str">
        <f>CVSSv3!$A$12</f>
        <v>Explotabilidad:</v>
      </c>
      <c r="H143" s="81" t="s">
        <v>709</v>
      </c>
      <c r="I143" s="88"/>
      <c r="J143" s="89"/>
      <c r="K143" s="89"/>
      <c r="L143" s="85"/>
      <c r="M143" s="85"/>
      <c r="N143" s="85"/>
      <c r="O143" s="85"/>
    </row>
    <row r="144" spans="1:15" x14ac:dyDescent="0.25">
      <c r="A144" s="89"/>
      <c r="B144" s="85"/>
      <c r="C144" s="85"/>
      <c r="D144" s="85"/>
      <c r="E144" s="85"/>
      <c r="F144" s="85"/>
      <c r="G144" s="80" t="str">
        <f>CVSSv3!$A$13</f>
        <v>Nivel de resolución:</v>
      </c>
      <c r="H144" s="81" t="s">
        <v>714</v>
      </c>
      <c r="I144" s="88"/>
      <c r="J144" s="89"/>
      <c r="K144" s="89"/>
      <c r="L144" s="85"/>
      <c r="M144" s="85"/>
      <c r="N144" s="85"/>
      <c r="O144" s="85"/>
    </row>
    <row r="145" spans="1:15" x14ac:dyDescent="0.25">
      <c r="A145" s="89"/>
      <c r="B145" s="85"/>
      <c r="C145" s="85"/>
      <c r="D145" s="85"/>
      <c r="E145" s="85"/>
      <c r="F145" s="85"/>
      <c r="G145" s="80" t="str">
        <f>CVSSv3!$A$14</f>
        <v>Nivel de confianza</v>
      </c>
      <c r="H145" s="81" t="s">
        <v>715</v>
      </c>
      <c r="I145" s="88"/>
      <c r="J145" s="89"/>
      <c r="K145" s="89"/>
      <c r="L145" s="85"/>
      <c r="M145" s="85"/>
      <c r="N145" s="85"/>
      <c r="O145" s="85"/>
    </row>
    <row r="146" spans="1:15" x14ac:dyDescent="0.25">
      <c r="A146" s="89"/>
      <c r="B146" s="85"/>
      <c r="C146" s="85"/>
      <c r="D146" s="85"/>
      <c r="E146" s="85"/>
      <c r="F146" s="85"/>
      <c r="G146" s="86" t="str">
        <f>"("&amp;CVSSv3!$B$4&amp;":"&amp;IF(H135=CVSSv3!$C$4,CVSSv3!$C$30,IF(H135=CVSSv3!$D$4,CVSSv3!$D$30,IF(H135=CVSSv3!$E$4,CVSSv3!$E$30,IF(H135=CVSSv3!$F$4,CVSSv3!$F$30,""))))&amp;"/"&amp;CVSSv3!$B$5&amp;":"&amp;IF(H136=CVSSv3!$C$5,CVSSv3!$C$31,IF(H136=CVSSv3!$D$5,CVSSv3!$D$31,""))&amp;"/"&amp;CVSSv3!$B$6&amp;":"&amp;IF(H137=CVSSv3!$C$6,CVSSv3!$C$32,IF(H137=CVSSv3!$D$6,CVSSv3!$D$32,IF(H137=CVSSv3!$E$6,CVSSv3!$E$32,"")))&amp;"/"&amp;CVSSv3!$B$7&amp;":"&amp;IF(H138=CVSSv3!$C$7,CVSSv3!$C$33,IF(H138=CVSSv3!$D$7,CVSSv3!$D$33,""))&amp;"/"&amp;CVSSv3!$B$8&amp;":"&amp;IF(H139=CVSSv3!$C$8,CVSSv3!$C$34,IF(H139=CVSSv3!$D$8,CVSSv3!$D$34,""))&amp;"/"&amp;CVSSv3!$B$9&amp;":"&amp;IF(H140=CVSSv3!$C$9,CVSSv3!$C$35,IF(H140=CVSSv3!$D$9,CVSSv3!$D$35,IF(H140=CVSSv3!$E$9,CVSSv3!$E$35,"")))&amp;"/"&amp;CVSSv3!$B$10&amp;":"&amp;IF(H141=CVSSv3!$C$10,CVSSv3!$C$36,IF(H141=CVSSv3!$D$10,CVSSv3!$D$36,IF(H141=CVSSv3!$E$10,CVSSv3!$E$36,"")))&amp;"/"&amp;CVSSv3!$B$11&amp;":"&amp;IF(H142=CVSSv3!$C$11,CVSSv3!$C$37,IF(H142=CVSSv3!$D$11,CVSSv3!$D$37,IF(H142=CVSSv3!$E$11,CVSSv3!$E$37,"")))&amp;"/"&amp;CVSSv3!$B$12&amp;":"&amp;IF(H143=CVSSv3!$C$12,CVSSv3!$C$38,IF(H143=CVSSv3!$D$12,CVSSv3!$D$38,IF(H143=CVSSv3!$E$12,CVSSv3!$E$38,IF(H143=CVSSv3!$F$12,CVSSv3!$F$38,""))))&amp;"/"&amp;CVSSv3!$B$13&amp;":"&amp;IF(H144=CVSSv3!$C$13,CVSSv3!$C$39,IF(H144=CVSSv3!$D$13,CVSSv3!$D$39,IF(H144=CVSSv3!$E$13,CVSSv3!$E$39,IF(H144=CVSSv3!$F$13,CVSSv3!$F$39,""))))&amp;"/"&amp;CVSSv3!$B$14&amp;":"&amp;IF(H145=CVSSv3!$C$14,CVSSv3!$C$40,IF(H145=CVSSv3!$D$14,CVSSv3!$D$40,IF(H145=CVSSv3!$E$14,CVSSv3!$E$40,"")))&amp;")"</f>
        <v>(AV:N/AC:H/PR:N/UI:N/S:C/C:H/I:H/A:H/E:H/RL:U/RC:C)</v>
      </c>
      <c r="H146" s="87"/>
      <c r="I146" s="88"/>
      <c r="J146" s="89"/>
      <c r="K146" s="89"/>
      <c r="L146" s="85"/>
      <c r="M146" s="85"/>
      <c r="N146" s="85"/>
      <c r="O146" s="85"/>
    </row>
    <row r="147" spans="1:15" x14ac:dyDescent="0.25">
      <c r="A147" s="89">
        <v>13</v>
      </c>
      <c r="B147" s="85" t="s">
        <v>726</v>
      </c>
      <c r="C147" s="85" t="s">
        <v>17</v>
      </c>
      <c r="D147" s="85" t="s">
        <v>17</v>
      </c>
      <c r="E147" s="85" t="s">
        <v>17</v>
      </c>
      <c r="F147"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47" s="82" t="str">
        <f>CVSSv3!$A$4</f>
        <v>Vector de ataque:</v>
      </c>
      <c r="H147" s="84" t="s">
        <v>706</v>
      </c>
      <c r="I147" s="88">
        <f>ROUNDUP((IF((IF(H151=CVSSv3!$C$8,(6.42*(1-((1-(IF(H152=CVSSv3!$C$9,CVSSv3!$C$22,(IF(H152=CVSSv3!$D$9,CVSSv3!$D$22,(IF(H152=CVSSv3!$E$9,CVSSv3!$E$22,"")))))))*(1-(IF(H153=CVSSv3!$C$10,CVSSv3!$C$23,(IF(H153=CVSSv3!$D$10,CVSSv3!$D$23,(IF(H153=CVSSv3!$E$10,CVSSv3!$E$23,"")))))))*(1-(IF(H154=CVSSv3!$C$11,CVSSv3!$C$24,(IF(H154=CVSSv3!$D$11,CVSSv3!$D$24,(IF(H154=CVSSv3!$E$11,CVSSv3!$E$24,"")))))))))),((7.52*((1-((1-(IF(H152=CVSSv3!$C$9,CVSSv3!$C$22,(IF(H152=CVSSv3!$D$9,CVSSv3!$D$22,(IF(H152=CVSSv3!$E$9,CVSSv3!$E$22,"")))))))*(1-(IF(H153=CVSSv3!$C$10,CVSSv3!$C$23,(IF(H153=CVSSv3!$D$10,CVSSv3!$D$23,(IF(H153=CVSSv3!$E$10,CVSSv3!$E$23,"")))))))*(1-(IF(H154=CVSSv3!$C$11,CVSSv3!$C$24,(IF(H154=CVSSv3!$D$11,CVSSv3!$D$24,(IF(H154=CVSSv3!$E$11,CVSSv3!$E$24,"")))))))))-0.029))-(3.25*POWER(((1-((1-(IF(H152=CVSSv3!$C$9,CVSSv3!$C$22,(IF(H152=CVSSv3!$D$9,CVSSv3!$D$22,(IF(H152=CVSSv3!$E$9,CVSSv3!$E$22,"")))))))*(1-(IF(H153=CVSSv3!$C$10,CVSSv3!$C$23,(IF(H153=CVSSv3!$D$10,CVSSv3!$D$23,(IF(H153=CVSSv3!$E$10,CVSSv3!$E$23,"")))))))*(1-(IF(H154=CVSSv3!$C$11,CVSSv3!$C$24,(IF(H154=CVSSv3!$D$11,CVSSv3!$D$24,(IF(H154=CVSSv3!$E$11,CVSSv3!$E$24,"")))))))))-0.02),15)))))&lt;=0,0,(IF(H151=CVSSv3!$C$8,ROUNDUP((MIN((IF(H151=CVSSv3!$C$8,(6.42*(1-((1-(IF(H152=CVSSv3!$C$9,CVSSv3!$C$22,(IF(H152=CVSSv3!$D$9,CVSSv3!$D$22,(IF(H152=CVSSv3!$E$9,CVSSv3!$E$22,"")))))))*(1-(IF(H153=CVSSv3!$C$10,CVSSv3!$C$23,(IF(H153=CVSSv3!$D$10,CVSSv3!$D$23,(IF(H153=CVSSv3!$E$10,CVSSv3!$E$23,"")))))))*(1-(IF(H154=CVSSv3!$C$11,CVSSv3!$C$24,(IF(H154=CVSSv3!$D$11,CVSSv3!$D$24,(IF(H154=CVSSv3!$E$11,CVSSv3!$E$24,"")))))))))),((7.52*((1-((1-(IF(H152=CVSSv3!$C$9,CVSSv3!$C$22,(IF(H152=CVSSv3!$D$9,CVSSv3!$D$22,(IF(H152=CVSSv3!$E$9,CVSSv3!$E$22,"")))))))*(1-(IF(H153=CVSSv3!$C$10,CVSSv3!$C$23,(IF(H153=CVSSv3!$D$10,CVSSv3!$D$23,(IF(H153=CVSSv3!$E$10,CVSSv3!$E$23,"")))))))*(1-(IF(H154=CVSSv3!$C$11,CVSSv3!$C$24,(IF(H154=CVSSv3!$D$11,CVSSv3!$D$24,(IF(H154=CVSSv3!$E$11,CVSSv3!$E$24,"")))))))))-0.029))-(3.25*POWER(((1-((1-(IF(H152=CVSSv3!$C$9,CVSSv3!$C$22,(IF(H152=CVSSv3!$D$9,CVSSv3!$D$22,(IF(H152=CVSSv3!$E$9,CVSSv3!$E$22,"")))))))*(1-(IF(H153=CVSSv3!$C$10,CVSSv3!$C$23,(IF(H153=CVSSv3!$D$10,CVSSv3!$D$23,(IF(H153=CVSSv3!$E$10,CVSSv3!$E$23,"")))))))*(1-(IF(H154=CVSSv3!$C$11,CVSSv3!$C$24,(IF(H154=CVSSv3!$D$11,CVSSv3!$D$24,(IF(H154=CVSSv3!$E$11,CVSSv3!$E$24,"")))))))))-0.02),15)))))+(8.22*(IF(H147=CVSSv3!$C$4,CVSSv3!$C$17,(IF(H147=CVSSv3!$D$4,CVSSv3!$D$17,(IF(H147=CVSSv3!$E$4,CVSSv3!$E$17,(IF(H147=CVSSv3!$F$4,CVSSv3!$F$17,""))))))))*(IF(H148=CVSSv3!$C$5,CVSSv3!$C$18,(IF(H148=CVSSv3!$D$5,CVSSv3!$D$18,""))))*(IF(H149=CVSSv3!$C$6,CVSSv3!$C$19,(IF(H149=CVSSv3!$D$6,(IF(H151=CVSSv3!$D$8,0.68,CVSSv3!$D$19)),(IF(H149=CVSSv3!$E$6,(IF(H151=CVSSv3!$D$8,0.5,CVSSv3!$E$19))))))))*(IF(H150=CVSSv3!$C$7,CVSSv3!$C$20,(IF(H150=CVSSv3!$D$7,CVSSv3!$D$20,""))))),10)),1),ROUNDUP((MIN(1.08*((IF(H151=CVSSv3!$C$8,(6.42*(1-((1-(IF(H152=CVSSv3!$C$9,CVSSv3!$C$22,(IF(H152=CVSSv3!$D$9,CVSSv3!$D$22,(IF(H152=CVSSv3!$E$9,CVSSv3!$E$22,"")))))))*(1-(IF(H153=CVSSv3!$C$10,CVSSv3!$C$23,(IF(H153=CVSSv3!$D$10,CVSSv3!$D$23,(IF(H153=CVSSv3!$E$10,CVSSv3!$E$23,"")))))))*(1-(IF(H154=CVSSv3!$C$11,CVSSv3!$C$24,(IF(H154=CVSSv3!$D$11,CVSSv3!$D$24,(IF(H154=CVSSv3!$E$11,CVSSv3!$E$24,"")))))))))),((7.52*((1-((1-(IF(H152=CVSSv3!$C$9,CVSSv3!$C$22,(IF(H152=CVSSv3!$D$9,CVSSv3!$D$22,(IF(H152=CVSSv3!$E$9,CVSSv3!$E$22,"")))))))*(1-(IF(H153=CVSSv3!$C$10,CVSSv3!$C$23,(IF(H153=CVSSv3!$D$10,CVSSv3!$D$23,(IF(H153=CVSSv3!$E$10,CVSSv3!$E$23,"")))))))*(1-(IF(H154=CVSSv3!$C$11,CVSSv3!$C$24,(IF(H154=CVSSv3!$D$11,CVSSv3!$D$24,(IF(H154=CVSSv3!$E$11,CVSSv3!$E$24,"")))))))))-0.029))-(3.25*POWER(((1-((1-(IF(H152=CVSSv3!$C$9,CVSSv3!$C$22,(IF(H152=CVSSv3!$D$9,CVSSv3!$D$22,(IF(H152=CVSSv3!$E$9,CVSSv3!$E$22,"")))))))*(1-(IF(H153=CVSSv3!$C$10,CVSSv3!$C$23,(IF(H153=CVSSv3!$D$10,CVSSv3!$D$23,(IF(H153=CVSSv3!$E$10,CVSSv3!$E$23,"")))))))*(1-(IF(H154=CVSSv3!$C$11,CVSSv3!$C$24,(IF(H154=CVSSv3!$D$11,CVSSv3!$D$24,(IF(H154=CVSSv3!$E$11,CVSSv3!$E$24,"")))))))))-0.02),15)))))+(8.22*(IF(H147=CVSSv3!$C$4,CVSSv3!$C$17,(IF(H147=CVSSv3!$D$4,CVSSv3!$D$17,(IF(H147=CVSSv3!$E$4,CVSSv3!$E$17,(IF(H147=CVSSv3!$F$4,CVSSv3!$F$17,""))))))))*(IF(H148=CVSSv3!$C$5,CVSSv3!$C$18,(IF(H148=CVSSv3!$D$5,CVSSv3!$D$18,""))))*(IF(H149=CVSSv3!$C$6,CVSSv3!$C$19,(IF(H149=CVSSv3!$D$6,(IF(H151=CVSSv3!$D$8,0.68,CVSSv3!$D$19)),(IF(H149=CVSSv3!$E$6,(IF(H151=CVSSv3!$D$8,0.5,CVSSv3!$E$19))))))))*(IF(H150=CVSSv3!$C$7,CVSSv3!$C$20,(IF(H150=CVSSv3!$D$7,CVSSv3!$D$20,"")))))),10)),1))))*(IF(H155=CVSSv3!$C$12,CVSSv3!$C$25,(IF(H155=CVSSv3!$D$12,CVSSv3!$D$25,(IF(H155=CVSSv3!$E$12,CVSSv3!$E$25,(IF(H155=CVSSv3!$F$12,CVSSv3!$F$25,""))))))))*(IF(H156=CVSSv3!$C$13,CVSSv3!$C$26,(IF(H156=CVSSv3!$D$13,CVSSv3!$D$26,(IF(H156=CVSSv3!$E$13,CVSSv3!$E$26,(IF(H156=CVSSv3!$F$13,CVSSv3!$F$26,""))))))))*(IF(H157=CVSSv3!$C$14,CVSSv3!$C$27,(IF(H157=CVSSv3!$D$14,CVSSv3!$D$27,(IF(H157=CVSSv3!$E$14,CVSSv3!$E$27,""))))))),1)</f>
        <v>9</v>
      </c>
      <c r="J147" s="89">
        <v>0</v>
      </c>
      <c r="K147" s="89">
        <v>0</v>
      </c>
      <c r="L147" s="85" t="s">
        <v>17</v>
      </c>
      <c r="M147" s="85" t="s">
        <v>17</v>
      </c>
      <c r="N147" s="85" t="s">
        <v>707</v>
      </c>
      <c r="O147" s="85" t="s">
        <v>708</v>
      </c>
    </row>
    <row r="148" spans="1:15" x14ac:dyDescent="0.25">
      <c r="A148" s="89"/>
      <c r="B148" s="85"/>
      <c r="C148" s="85"/>
      <c r="D148" s="85"/>
      <c r="E148" s="85"/>
      <c r="F148" s="85"/>
      <c r="G148" s="80" t="str">
        <f>CVSSv3!$A$5</f>
        <v>Complejidad de ataque:</v>
      </c>
      <c r="H148" s="81" t="s">
        <v>709</v>
      </c>
      <c r="I148" s="88"/>
      <c r="J148" s="89"/>
      <c r="K148" s="89"/>
      <c r="L148" s="85"/>
      <c r="M148" s="85"/>
      <c r="N148" s="85"/>
      <c r="O148" s="85"/>
    </row>
    <row r="149" spans="1:15" x14ac:dyDescent="0.25">
      <c r="A149" s="89"/>
      <c r="B149" s="85"/>
      <c r="C149" s="85"/>
      <c r="D149" s="85"/>
      <c r="E149" s="85"/>
      <c r="F149" s="85"/>
      <c r="G149" s="80" t="str">
        <f>CVSSv3!$A$6</f>
        <v>Privilegios requeridos:</v>
      </c>
      <c r="H149" s="81" t="s">
        <v>710</v>
      </c>
      <c r="I149" s="88"/>
      <c r="J149" s="89"/>
      <c r="K149" s="89"/>
      <c r="L149" s="85"/>
      <c r="M149" s="85"/>
      <c r="N149" s="85"/>
      <c r="O149" s="85"/>
    </row>
    <row r="150" spans="1:15" x14ac:dyDescent="0.25">
      <c r="A150" s="89"/>
      <c r="B150" s="85"/>
      <c r="C150" s="85"/>
      <c r="D150" s="85"/>
      <c r="E150" s="85"/>
      <c r="F150" s="85"/>
      <c r="G150" s="80" t="str">
        <f>CVSSv3!$A$7</f>
        <v>Interacción del usuario:</v>
      </c>
      <c r="H150" s="81" t="s">
        <v>711</v>
      </c>
      <c r="I150" s="88"/>
      <c r="J150" s="89"/>
      <c r="K150" s="89"/>
      <c r="L150" s="85"/>
      <c r="M150" s="85"/>
      <c r="N150" s="85"/>
      <c r="O150" s="85"/>
    </row>
    <row r="151" spans="1:15" x14ac:dyDescent="0.25">
      <c r="A151" s="89"/>
      <c r="B151" s="85"/>
      <c r="C151" s="85"/>
      <c r="D151" s="85"/>
      <c r="E151" s="85"/>
      <c r="F151" s="85"/>
      <c r="G151" s="80" t="str">
        <f>CVSSv3!$A$8</f>
        <v>Alcance:</v>
      </c>
      <c r="H151" s="81" t="s">
        <v>712</v>
      </c>
      <c r="I151" s="88"/>
      <c r="J151" s="89"/>
      <c r="K151" s="89"/>
      <c r="L151" s="85"/>
      <c r="M151" s="85"/>
      <c r="N151" s="85"/>
      <c r="O151" s="85"/>
    </row>
    <row r="152" spans="1:15" x14ac:dyDescent="0.25">
      <c r="A152" s="89"/>
      <c r="B152" s="85"/>
      <c r="C152" s="85"/>
      <c r="D152" s="85"/>
      <c r="E152" s="85"/>
      <c r="F152" s="85"/>
      <c r="G152" s="80" t="str">
        <f>CVSSv3!$A$9</f>
        <v>Impacto a la confidencialidad:</v>
      </c>
      <c r="H152" s="81" t="s">
        <v>713</v>
      </c>
      <c r="I152" s="88"/>
      <c r="J152" s="89"/>
      <c r="K152" s="89"/>
      <c r="L152" s="85"/>
      <c r="M152" s="85"/>
      <c r="N152" s="85"/>
      <c r="O152" s="85"/>
    </row>
    <row r="153" spans="1:15" x14ac:dyDescent="0.25">
      <c r="A153" s="89"/>
      <c r="B153" s="85"/>
      <c r="C153" s="85"/>
      <c r="D153" s="85"/>
      <c r="E153" s="85"/>
      <c r="F153" s="85"/>
      <c r="G153" s="80" t="str">
        <f>CVSSv3!$A$10</f>
        <v>Impacto a la integridad:</v>
      </c>
      <c r="H153" s="81" t="s">
        <v>713</v>
      </c>
      <c r="I153" s="88"/>
      <c r="J153" s="89"/>
      <c r="K153" s="89"/>
      <c r="L153" s="85"/>
      <c r="M153" s="85"/>
      <c r="N153" s="85"/>
      <c r="O153" s="85"/>
    </row>
    <row r="154" spans="1:15" x14ac:dyDescent="0.25">
      <c r="A154" s="89"/>
      <c r="B154" s="85"/>
      <c r="C154" s="85"/>
      <c r="D154" s="85"/>
      <c r="E154" s="85"/>
      <c r="F154" s="85"/>
      <c r="G154" s="80" t="str">
        <f>CVSSv3!$A$11</f>
        <v>Impacto a la disponibilidad:</v>
      </c>
      <c r="H154" s="81" t="s">
        <v>713</v>
      </c>
      <c r="I154" s="88"/>
      <c r="J154" s="89"/>
      <c r="K154" s="89"/>
      <c r="L154" s="85"/>
      <c r="M154" s="85"/>
      <c r="N154" s="85"/>
      <c r="O154" s="85"/>
    </row>
    <row r="155" spans="1:15" x14ac:dyDescent="0.25">
      <c r="A155" s="89"/>
      <c r="B155" s="85"/>
      <c r="C155" s="85"/>
      <c r="D155" s="85"/>
      <c r="E155" s="85"/>
      <c r="F155" s="85"/>
      <c r="G155" s="80" t="str">
        <f>CVSSv3!$A$12</f>
        <v>Explotabilidad:</v>
      </c>
      <c r="H155" s="81" t="s">
        <v>709</v>
      </c>
      <c r="I155" s="88"/>
      <c r="J155" s="89"/>
      <c r="K155" s="89"/>
      <c r="L155" s="85"/>
      <c r="M155" s="85"/>
      <c r="N155" s="85"/>
      <c r="O155" s="85"/>
    </row>
    <row r="156" spans="1:15" x14ac:dyDescent="0.25">
      <c r="A156" s="89"/>
      <c r="B156" s="85"/>
      <c r="C156" s="85"/>
      <c r="D156" s="85"/>
      <c r="E156" s="85"/>
      <c r="F156" s="85"/>
      <c r="G156" s="80" t="str">
        <f>CVSSv3!$A$13</f>
        <v>Nivel de resolución:</v>
      </c>
      <c r="H156" s="81" t="s">
        <v>714</v>
      </c>
      <c r="I156" s="88"/>
      <c r="J156" s="89"/>
      <c r="K156" s="89"/>
      <c r="L156" s="85"/>
      <c r="M156" s="85"/>
      <c r="N156" s="85"/>
      <c r="O156" s="85"/>
    </row>
    <row r="157" spans="1:15" x14ac:dyDescent="0.25">
      <c r="A157" s="89"/>
      <c r="B157" s="85"/>
      <c r="C157" s="85"/>
      <c r="D157" s="85"/>
      <c r="E157" s="85"/>
      <c r="F157" s="85"/>
      <c r="G157" s="80" t="str">
        <f>CVSSv3!$A$14</f>
        <v>Nivel de confianza</v>
      </c>
      <c r="H157" s="81" t="s">
        <v>715</v>
      </c>
      <c r="I157" s="88"/>
      <c r="J157" s="89"/>
      <c r="K157" s="89"/>
      <c r="L157" s="85"/>
      <c r="M157" s="85"/>
      <c r="N157" s="85"/>
      <c r="O157" s="85"/>
    </row>
    <row r="158" spans="1:15" x14ac:dyDescent="0.25">
      <c r="A158" s="89"/>
      <c r="B158" s="85"/>
      <c r="C158" s="85"/>
      <c r="D158" s="85"/>
      <c r="E158" s="85"/>
      <c r="F158" s="85"/>
      <c r="G158" s="86" t="str">
        <f>"("&amp;CVSSv3!$B$4&amp;":"&amp;IF(H147=CVSSv3!$C$4,CVSSv3!$C$30,IF(H147=CVSSv3!$D$4,CVSSv3!$D$30,IF(H147=CVSSv3!$E$4,CVSSv3!$E$30,IF(H147=CVSSv3!$F$4,CVSSv3!$F$30,""))))&amp;"/"&amp;CVSSv3!$B$5&amp;":"&amp;IF(H148=CVSSv3!$C$5,CVSSv3!$C$31,IF(H148=CVSSv3!$D$5,CVSSv3!$D$31,""))&amp;"/"&amp;CVSSv3!$B$6&amp;":"&amp;IF(H149=CVSSv3!$C$6,CVSSv3!$C$32,IF(H149=CVSSv3!$D$6,CVSSv3!$D$32,IF(H149=CVSSv3!$E$6,CVSSv3!$E$32,"")))&amp;"/"&amp;CVSSv3!$B$7&amp;":"&amp;IF(H150=CVSSv3!$C$7,CVSSv3!$C$33,IF(H150=CVSSv3!$D$7,CVSSv3!$D$33,""))&amp;"/"&amp;CVSSv3!$B$8&amp;":"&amp;IF(H151=CVSSv3!$C$8,CVSSv3!$C$34,IF(H151=CVSSv3!$D$8,CVSSv3!$D$34,""))&amp;"/"&amp;CVSSv3!$B$9&amp;":"&amp;IF(H152=CVSSv3!$C$9,CVSSv3!$C$35,IF(H152=CVSSv3!$D$9,CVSSv3!$D$35,IF(H152=CVSSv3!$E$9,CVSSv3!$E$35,"")))&amp;"/"&amp;CVSSv3!$B$10&amp;":"&amp;IF(H153=CVSSv3!$C$10,CVSSv3!$C$36,IF(H153=CVSSv3!$D$10,CVSSv3!$D$36,IF(H153=CVSSv3!$E$10,CVSSv3!$E$36,"")))&amp;"/"&amp;CVSSv3!$B$11&amp;":"&amp;IF(H154=CVSSv3!$C$11,CVSSv3!$C$37,IF(H154=CVSSv3!$D$11,CVSSv3!$D$37,IF(H154=CVSSv3!$E$11,CVSSv3!$E$37,"")))&amp;"/"&amp;CVSSv3!$B$12&amp;":"&amp;IF(H155=CVSSv3!$C$12,CVSSv3!$C$38,IF(H155=CVSSv3!$D$12,CVSSv3!$D$38,IF(H155=CVSSv3!$E$12,CVSSv3!$E$38,IF(H155=CVSSv3!$F$12,CVSSv3!$F$38,""))))&amp;"/"&amp;CVSSv3!$B$13&amp;":"&amp;IF(H156=CVSSv3!$C$13,CVSSv3!$C$39,IF(H156=CVSSv3!$D$13,CVSSv3!$D$39,IF(H156=CVSSv3!$E$13,CVSSv3!$E$39,IF(H156=CVSSv3!$F$13,CVSSv3!$F$39,""))))&amp;"/"&amp;CVSSv3!$B$14&amp;":"&amp;IF(H157=CVSSv3!$C$14,CVSSv3!$C$40,IF(H157=CVSSv3!$D$14,CVSSv3!$D$40,IF(H157=CVSSv3!$E$14,CVSSv3!$E$40,"")))&amp;")"</f>
        <v>(AV:N/AC:H/PR:N/UI:N/S:C/C:H/I:H/A:H/E:H/RL:U/RC:C)</v>
      </c>
      <c r="H158" s="87"/>
      <c r="I158" s="88"/>
      <c r="J158" s="89"/>
      <c r="K158" s="89"/>
      <c r="L158" s="85"/>
      <c r="M158" s="85"/>
      <c r="N158" s="85"/>
      <c r="O158" s="85"/>
    </row>
    <row r="159" spans="1:15" x14ac:dyDescent="0.25">
      <c r="A159" s="89">
        <v>14</v>
      </c>
      <c r="B159" s="85" t="s">
        <v>727</v>
      </c>
      <c r="C159" s="85" t="s">
        <v>17</v>
      </c>
      <c r="D159" s="85" t="s">
        <v>17</v>
      </c>
      <c r="E159" s="85" t="s">
        <v>17</v>
      </c>
      <c r="F159"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59" s="82" t="str">
        <f>CVSSv3!$A$4</f>
        <v>Vector de ataque:</v>
      </c>
      <c r="H159" s="84" t="s">
        <v>706</v>
      </c>
      <c r="I159" s="88">
        <f>ROUNDUP((IF((IF(H163=CVSSv3!$C$8,(6.42*(1-((1-(IF(H164=CVSSv3!$C$9,CVSSv3!$C$22,(IF(H164=CVSSv3!$D$9,CVSSv3!$D$22,(IF(H164=CVSSv3!$E$9,CVSSv3!$E$22,"")))))))*(1-(IF(H165=CVSSv3!$C$10,CVSSv3!$C$23,(IF(H165=CVSSv3!$D$10,CVSSv3!$D$23,(IF(H165=CVSSv3!$E$10,CVSSv3!$E$23,"")))))))*(1-(IF(H166=CVSSv3!$C$11,CVSSv3!$C$24,(IF(H166=CVSSv3!$D$11,CVSSv3!$D$24,(IF(H166=CVSSv3!$E$11,CVSSv3!$E$24,"")))))))))),((7.52*((1-((1-(IF(H164=CVSSv3!$C$9,CVSSv3!$C$22,(IF(H164=CVSSv3!$D$9,CVSSv3!$D$22,(IF(H164=CVSSv3!$E$9,CVSSv3!$E$22,"")))))))*(1-(IF(H165=CVSSv3!$C$10,CVSSv3!$C$23,(IF(H165=CVSSv3!$D$10,CVSSv3!$D$23,(IF(H165=CVSSv3!$E$10,CVSSv3!$E$23,"")))))))*(1-(IF(H166=CVSSv3!$C$11,CVSSv3!$C$24,(IF(H166=CVSSv3!$D$11,CVSSv3!$D$24,(IF(H166=CVSSv3!$E$11,CVSSv3!$E$24,"")))))))))-0.029))-(3.25*POWER(((1-((1-(IF(H164=CVSSv3!$C$9,CVSSv3!$C$22,(IF(H164=CVSSv3!$D$9,CVSSv3!$D$22,(IF(H164=CVSSv3!$E$9,CVSSv3!$E$22,"")))))))*(1-(IF(H165=CVSSv3!$C$10,CVSSv3!$C$23,(IF(H165=CVSSv3!$D$10,CVSSv3!$D$23,(IF(H165=CVSSv3!$E$10,CVSSv3!$E$23,"")))))))*(1-(IF(H166=CVSSv3!$C$11,CVSSv3!$C$24,(IF(H166=CVSSv3!$D$11,CVSSv3!$D$24,(IF(H166=CVSSv3!$E$11,CVSSv3!$E$24,"")))))))))-0.02),15)))))&lt;=0,0,(IF(H163=CVSSv3!$C$8,ROUNDUP((MIN((IF(H163=CVSSv3!$C$8,(6.42*(1-((1-(IF(H164=CVSSv3!$C$9,CVSSv3!$C$22,(IF(H164=CVSSv3!$D$9,CVSSv3!$D$22,(IF(H164=CVSSv3!$E$9,CVSSv3!$E$22,"")))))))*(1-(IF(H165=CVSSv3!$C$10,CVSSv3!$C$23,(IF(H165=CVSSv3!$D$10,CVSSv3!$D$23,(IF(H165=CVSSv3!$E$10,CVSSv3!$E$23,"")))))))*(1-(IF(H166=CVSSv3!$C$11,CVSSv3!$C$24,(IF(H166=CVSSv3!$D$11,CVSSv3!$D$24,(IF(H166=CVSSv3!$E$11,CVSSv3!$E$24,"")))))))))),((7.52*((1-((1-(IF(H164=CVSSv3!$C$9,CVSSv3!$C$22,(IF(H164=CVSSv3!$D$9,CVSSv3!$D$22,(IF(H164=CVSSv3!$E$9,CVSSv3!$E$22,"")))))))*(1-(IF(H165=CVSSv3!$C$10,CVSSv3!$C$23,(IF(H165=CVSSv3!$D$10,CVSSv3!$D$23,(IF(H165=CVSSv3!$E$10,CVSSv3!$E$23,"")))))))*(1-(IF(H166=CVSSv3!$C$11,CVSSv3!$C$24,(IF(H166=CVSSv3!$D$11,CVSSv3!$D$24,(IF(H166=CVSSv3!$E$11,CVSSv3!$E$24,"")))))))))-0.029))-(3.25*POWER(((1-((1-(IF(H164=CVSSv3!$C$9,CVSSv3!$C$22,(IF(H164=CVSSv3!$D$9,CVSSv3!$D$22,(IF(H164=CVSSv3!$E$9,CVSSv3!$E$22,"")))))))*(1-(IF(H165=CVSSv3!$C$10,CVSSv3!$C$23,(IF(H165=CVSSv3!$D$10,CVSSv3!$D$23,(IF(H165=CVSSv3!$E$10,CVSSv3!$E$23,"")))))))*(1-(IF(H166=CVSSv3!$C$11,CVSSv3!$C$24,(IF(H166=CVSSv3!$D$11,CVSSv3!$D$24,(IF(H166=CVSSv3!$E$11,CVSSv3!$E$24,"")))))))))-0.02),15)))))+(8.22*(IF(H159=CVSSv3!$C$4,CVSSv3!$C$17,(IF(H159=CVSSv3!$D$4,CVSSv3!$D$17,(IF(H159=CVSSv3!$E$4,CVSSv3!$E$17,(IF(H159=CVSSv3!$F$4,CVSSv3!$F$17,""))))))))*(IF(H160=CVSSv3!$C$5,CVSSv3!$C$18,(IF(H160=CVSSv3!$D$5,CVSSv3!$D$18,""))))*(IF(H161=CVSSv3!$C$6,CVSSv3!$C$19,(IF(H161=CVSSv3!$D$6,(IF(H163=CVSSv3!$D$8,0.68,CVSSv3!$D$19)),(IF(H161=CVSSv3!$E$6,(IF(H163=CVSSv3!$D$8,0.5,CVSSv3!$E$19))))))))*(IF(H162=CVSSv3!$C$7,CVSSv3!$C$20,(IF(H162=CVSSv3!$D$7,CVSSv3!$D$20,""))))),10)),1),ROUNDUP((MIN(1.08*((IF(H163=CVSSv3!$C$8,(6.42*(1-((1-(IF(H164=CVSSv3!$C$9,CVSSv3!$C$22,(IF(H164=CVSSv3!$D$9,CVSSv3!$D$22,(IF(H164=CVSSv3!$E$9,CVSSv3!$E$22,"")))))))*(1-(IF(H165=CVSSv3!$C$10,CVSSv3!$C$23,(IF(H165=CVSSv3!$D$10,CVSSv3!$D$23,(IF(H165=CVSSv3!$E$10,CVSSv3!$E$23,"")))))))*(1-(IF(H166=CVSSv3!$C$11,CVSSv3!$C$24,(IF(H166=CVSSv3!$D$11,CVSSv3!$D$24,(IF(H166=CVSSv3!$E$11,CVSSv3!$E$24,"")))))))))),((7.52*((1-((1-(IF(H164=CVSSv3!$C$9,CVSSv3!$C$22,(IF(H164=CVSSv3!$D$9,CVSSv3!$D$22,(IF(H164=CVSSv3!$E$9,CVSSv3!$E$22,"")))))))*(1-(IF(H165=CVSSv3!$C$10,CVSSv3!$C$23,(IF(H165=CVSSv3!$D$10,CVSSv3!$D$23,(IF(H165=CVSSv3!$E$10,CVSSv3!$E$23,"")))))))*(1-(IF(H166=CVSSv3!$C$11,CVSSv3!$C$24,(IF(H166=CVSSv3!$D$11,CVSSv3!$D$24,(IF(H166=CVSSv3!$E$11,CVSSv3!$E$24,"")))))))))-0.029))-(3.25*POWER(((1-((1-(IF(H164=CVSSv3!$C$9,CVSSv3!$C$22,(IF(H164=CVSSv3!$D$9,CVSSv3!$D$22,(IF(H164=CVSSv3!$E$9,CVSSv3!$E$22,"")))))))*(1-(IF(H165=CVSSv3!$C$10,CVSSv3!$C$23,(IF(H165=CVSSv3!$D$10,CVSSv3!$D$23,(IF(H165=CVSSv3!$E$10,CVSSv3!$E$23,"")))))))*(1-(IF(H166=CVSSv3!$C$11,CVSSv3!$C$24,(IF(H166=CVSSv3!$D$11,CVSSv3!$D$24,(IF(H166=CVSSv3!$E$11,CVSSv3!$E$24,"")))))))))-0.02),15)))))+(8.22*(IF(H159=CVSSv3!$C$4,CVSSv3!$C$17,(IF(H159=CVSSv3!$D$4,CVSSv3!$D$17,(IF(H159=CVSSv3!$E$4,CVSSv3!$E$17,(IF(H159=CVSSv3!$F$4,CVSSv3!$F$17,""))))))))*(IF(H160=CVSSv3!$C$5,CVSSv3!$C$18,(IF(H160=CVSSv3!$D$5,CVSSv3!$D$18,""))))*(IF(H161=CVSSv3!$C$6,CVSSv3!$C$19,(IF(H161=CVSSv3!$D$6,(IF(H163=CVSSv3!$D$8,0.68,CVSSv3!$D$19)),(IF(H161=CVSSv3!$E$6,(IF(H163=CVSSv3!$D$8,0.5,CVSSv3!$E$19))))))))*(IF(H162=CVSSv3!$C$7,CVSSv3!$C$20,(IF(H162=CVSSv3!$D$7,CVSSv3!$D$20,"")))))),10)),1))))*(IF(H167=CVSSv3!$C$12,CVSSv3!$C$25,(IF(H167=CVSSv3!$D$12,CVSSv3!$D$25,(IF(H167=CVSSv3!$E$12,CVSSv3!$E$25,(IF(H167=CVSSv3!$F$12,CVSSv3!$F$25,""))))))))*(IF(H168=CVSSv3!$C$13,CVSSv3!$C$26,(IF(H168=CVSSv3!$D$13,CVSSv3!$D$26,(IF(H168=CVSSv3!$E$13,CVSSv3!$E$26,(IF(H168=CVSSv3!$F$13,CVSSv3!$F$26,""))))))))*(IF(H169=CVSSv3!$C$14,CVSSv3!$C$27,(IF(H169=CVSSv3!$D$14,CVSSv3!$D$27,(IF(H169=CVSSv3!$E$14,CVSSv3!$E$27,""))))))),1)</f>
        <v>9</v>
      </c>
      <c r="J159" s="89">
        <v>0</v>
      </c>
      <c r="K159" s="89">
        <v>0</v>
      </c>
      <c r="L159" s="85" t="s">
        <v>17</v>
      </c>
      <c r="M159" s="85" t="s">
        <v>17</v>
      </c>
      <c r="N159" s="85" t="s">
        <v>707</v>
      </c>
      <c r="O159" s="85" t="s">
        <v>708</v>
      </c>
    </row>
    <row r="160" spans="1:15" x14ac:dyDescent="0.25">
      <c r="A160" s="89"/>
      <c r="B160" s="85"/>
      <c r="C160" s="85"/>
      <c r="D160" s="85"/>
      <c r="E160" s="85"/>
      <c r="F160" s="85"/>
      <c r="G160" s="80" t="str">
        <f>CVSSv3!$A$5</f>
        <v>Complejidad de ataque:</v>
      </c>
      <c r="H160" s="81" t="s">
        <v>709</v>
      </c>
      <c r="I160" s="88"/>
      <c r="J160" s="89"/>
      <c r="K160" s="89"/>
      <c r="L160" s="85"/>
      <c r="M160" s="85"/>
      <c r="N160" s="85"/>
      <c r="O160" s="85"/>
    </row>
    <row r="161" spans="1:15" x14ac:dyDescent="0.25">
      <c r="A161" s="89"/>
      <c r="B161" s="85"/>
      <c r="C161" s="85"/>
      <c r="D161" s="85"/>
      <c r="E161" s="85"/>
      <c r="F161" s="85"/>
      <c r="G161" s="80" t="str">
        <f>CVSSv3!$A$6</f>
        <v>Privilegios requeridos:</v>
      </c>
      <c r="H161" s="81" t="s">
        <v>710</v>
      </c>
      <c r="I161" s="88"/>
      <c r="J161" s="89"/>
      <c r="K161" s="89"/>
      <c r="L161" s="85"/>
      <c r="M161" s="85"/>
      <c r="N161" s="85"/>
      <c r="O161" s="85"/>
    </row>
    <row r="162" spans="1:15" x14ac:dyDescent="0.25">
      <c r="A162" s="89"/>
      <c r="B162" s="85"/>
      <c r="C162" s="85"/>
      <c r="D162" s="85"/>
      <c r="E162" s="85"/>
      <c r="F162" s="85"/>
      <c r="G162" s="80" t="str">
        <f>CVSSv3!$A$7</f>
        <v>Interacción del usuario:</v>
      </c>
      <c r="H162" s="81" t="s">
        <v>711</v>
      </c>
      <c r="I162" s="88"/>
      <c r="J162" s="89"/>
      <c r="K162" s="89"/>
      <c r="L162" s="85"/>
      <c r="M162" s="85"/>
      <c r="N162" s="85"/>
      <c r="O162" s="85"/>
    </row>
    <row r="163" spans="1:15" x14ac:dyDescent="0.25">
      <c r="A163" s="89"/>
      <c r="B163" s="85"/>
      <c r="C163" s="85"/>
      <c r="D163" s="85"/>
      <c r="E163" s="85"/>
      <c r="F163" s="85"/>
      <c r="G163" s="80" t="str">
        <f>CVSSv3!$A$8</f>
        <v>Alcance:</v>
      </c>
      <c r="H163" s="81" t="s">
        <v>712</v>
      </c>
      <c r="I163" s="88"/>
      <c r="J163" s="89"/>
      <c r="K163" s="89"/>
      <c r="L163" s="85"/>
      <c r="M163" s="85"/>
      <c r="N163" s="85"/>
      <c r="O163" s="85"/>
    </row>
    <row r="164" spans="1:15" x14ac:dyDescent="0.25">
      <c r="A164" s="89"/>
      <c r="B164" s="85"/>
      <c r="C164" s="85"/>
      <c r="D164" s="85"/>
      <c r="E164" s="85"/>
      <c r="F164" s="85"/>
      <c r="G164" s="80" t="str">
        <f>CVSSv3!$A$9</f>
        <v>Impacto a la confidencialidad:</v>
      </c>
      <c r="H164" s="81" t="s">
        <v>713</v>
      </c>
      <c r="I164" s="88"/>
      <c r="J164" s="89"/>
      <c r="K164" s="89"/>
      <c r="L164" s="85"/>
      <c r="M164" s="85"/>
      <c r="N164" s="85"/>
      <c r="O164" s="85"/>
    </row>
    <row r="165" spans="1:15" x14ac:dyDescent="0.25">
      <c r="A165" s="89"/>
      <c r="B165" s="85"/>
      <c r="C165" s="85"/>
      <c r="D165" s="85"/>
      <c r="E165" s="85"/>
      <c r="F165" s="85"/>
      <c r="G165" s="80" t="str">
        <f>CVSSv3!$A$10</f>
        <v>Impacto a la integridad:</v>
      </c>
      <c r="H165" s="81" t="s">
        <v>713</v>
      </c>
      <c r="I165" s="88"/>
      <c r="J165" s="89"/>
      <c r="K165" s="89"/>
      <c r="L165" s="85"/>
      <c r="M165" s="85"/>
      <c r="N165" s="85"/>
      <c r="O165" s="85"/>
    </row>
    <row r="166" spans="1:15" x14ac:dyDescent="0.25">
      <c r="A166" s="89"/>
      <c r="B166" s="85"/>
      <c r="C166" s="85"/>
      <c r="D166" s="85"/>
      <c r="E166" s="85"/>
      <c r="F166" s="85"/>
      <c r="G166" s="80" t="str">
        <f>CVSSv3!$A$11</f>
        <v>Impacto a la disponibilidad:</v>
      </c>
      <c r="H166" s="81" t="s">
        <v>713</v>
      </c>
      <c r="I166" s="88"/>
      <c r="J166" s="89"/>
      <c r="K166" s="89"/>
      <c r="L166" s="85"/>
      <c r="M166" s="85"/>
      <c r="N166" s="85"/>
      <c r="O166" s="85"/>
    </row>
    <row r="167" spans="1:15" x14ac:dyDescent="0.25">
      <c r="A167" s="89"/>
      <c r="B167" s="85"/>
      <c r="C167" s="85"/>
      <c r="D167" s="85"/>
      <c r="E167" s="85"/>
      <c r="F167" s="85"/>
      <c r="G167" s="80" t="str">
        <f>CVSSv3!$A$12</f>
        <v>Explotabilidad:</v>
      </c>
      <c r="H167" s="81" t="s">
        <v>709</v>
      </c>
      <c r="I167" s="88"/>
      <c r="J167" s="89"/>
      <c r="K167" s="89"/>
      <c r="L167" s="85"/>
      <c r="M167" s="85"/>
      <c r="N167" s="85"/>
      <c r="O167" s="85"/>
    </row>
    <row r="168" spans="1:15" x14ac:dyDescent="0.25">
      <c r="A168" s="89"/>
      <c r="B168" s="85"/>
      <c r="C168" s="85"/>
      <c r="D168" s="85"/>
      <c r="E168" s="85"/>
      <c r="F168" s="85"/>
      <c r="G168" s="80" t="str">
        <f>CVSSv3!$A$13</f>
        <v>Nivel de resolución:</v>
      </c>
      <c r="H168" s="81" t="s">
        <v>714</v>
      </c>
      <c r="I168" s="88"/>
      <c r="J168" s="89"/>
      <c r="K168" s="89"/>
      <c r="L168" s="85"/>
      <c r="M168" s="85"/>
      <c r="N168" s="85"/>
      <c r="O168" s="85"/>
    </row>
    <row r="169" spans="1:15" x14ac:dyDescent="0.25">
      <c r="A169" s="89"/>
      <c r="B169" s="85"/>
      <c r="C169" s="85"/>
      <c r="D169" s="85"/>
      <c r="E169" s="85"/>
      <c r="F169" s="85"/>
      <c r="G169" s="80" t="str">
        <f>CVSSv3!$A$14</f>
        <v>Nivel de confianza</v>
      </c>
      <c r="H169" s="81" t="s">
        <v>715</v>
      </c>
      <c r="I169" s="88"/>
      <c r="J169" s="89"/>
      <c r="K169" s="89"/>
      <c r="L169" s="85"/>
      <c r="M169" s="85"/>
      <c r="N169" s="85"/>
      <c r="O169" s="85"/>
    </row>
    <row r="170" spans="1:15" x14ac:dyDescent="0.25">
      <c r="A170" s="89"/>
      <c r="B170" s="85"/>
      <c r="C170" s="85"/>
      <c r="D170" s="85"/>
      <c r="E170" s="85"/>
      <c r="F170" s="85"/>
      <c r="G170" s="86" t="str">
        <f>"("&amp;CVSSv3!$B$4&amp;":"&amp;IF(H159=CVSSv3!$C$4,CVSSv3!$C$30,IF(H159=CVSSv3!$D$4,CVSSv3!$D$30,IF(H159=CVSSv3!$E$4,CVSSv3!$E$30,IF(H159=CVSSv3!$F$4,CVSSv3!$F$30,""))))&amp;"/"&amp;CVSSv3!$B$5&amp;":"&amp;IF(H160=CVSSv3!$C$5,CVSSv3!$C$31,IF(H160=CVSSv3!$D$5,CVSSv3!$D$31,""))&amp;"/"&amp;CVSSv3!$B$6&amp;":"&amp;IF(H161=CVSSv3!$C$6,CVSSv3!$C$32,IF(H161=CVSSv3!$D$6,CVSSv3!$D$32,IF(H161=CVSSv3!$E$6,CVSSv3!$E$32,"")))&amp;"/"&amp;CVSSv3!$B$7&amp;":"&amp;IF(H162=CVSSv3!$C$7,CVSSv3!$C$33,IF(H162=CVSSv3!$D$7,CVSSv3!$D$33,""))&amp;"/"&amp;CVSSv3!$B$8&amp;":"&amp;IF(H163=CVSSv3!$C$8,CVSSv3!$C$34,IF(H163=CVSSv3!$D$8,CVSSv3!$D$34,""))&amp;"/"&amp;CVSSv3!$B$9&amp;":"&amp;IF(H164=CVSSv3!$C$9,CVSSv3!$C$35,IF(H164=CVSSv3!$D$9,CVSSv3!$D$35,IF(H164=CVSSv3!$E$9,CVSSv3!$E$35,"")))&amp;"/"&amp;CVSSv3!$B$10&amp;":"&amp;IF(H165=CVSSv3!$C$10,CVSSv3!$C$36,IF(H165=CVSSv3!$D$10,CVSSv3!$D$36,IF(H165=CVSSv3!$E$10,CVSSv3!$E$36,"")))&amp;"/"&amp;CVSSv3!$B$11&amp;":"&amp;IF(H166=CVSSv3!$C$11,CVSSv3!$C$37,IF(H166=CVSSv3!$D$11,CVSSv3!$D$37,IF(H166=CVSSv3!$E$11,CVSSv3!$E$37,"")))&amp;"/"&amp;CVSSv3!$B$12&amp;":"&amp;IF(H167=CVSSv3!$C$12,CVSSv3!$C$38,IF(H167=CVSSv3!$D$12,CVSSv3!$D$38,IF(H167=CVSSv3!$E$12,CVSSv3!$E$38,IF(H167=CVSSv3!$F$12,CVSSv3!$F$38,""))))&amp;"/"&amp;CVSSv3!$B$13&amp;":"&amp;IF(H168=CVSSv3!$C$13,CVSSv3!$C$39,IF(H168=CVSSv3!$D$13,CVSSv3!$D$39,IF(H168=CVSSv3!$E$13,CVSSv3!$E$39,IF(H168=CVSSv3!$F$13,CVSSv3!$F$39,""))))&amp;"/"&amp;CVSSv3!$B$14&amp;":"&amp;IF(H169=CVSSv3!$C$14,CVSSv3!$C$40,IF(H169=CVSSv3!$D$14,CVSSv3!$D$40,IF(H169=CVSSv3!$E$14,CVSSv3!$E$40,"")))&amp;")"</f>
        <v>(AV:N/AC:H/PR:N/UI:N/S:C/C:H/I:H/A:H/E:H/RL:U/RC:C)</v>
      </c>
      <c r="H170" s="87"/>
      <c r="I170" s="88"/>
      <c r="J170" s="89"/>
      <c r="K170" s="89"/>
      <c r="L170" s="85"/>
      <c r="M170" s="85"/>
      <c r="N170" s="85"/>
      <c r="O170" s="85"/>
    </row>
    <row r="171" spans="1:15" x14ac:dyDescent="0.25">
      <c r="A171" s="89">
        <v>15</v>
      </c>
      <c r="B171" s="85" t="s">
        <v>728</v>
      </c>
      <c r="C171" s="85" t="s">
        <v>17</v>
      </c>
      <c r="D171" s="85" t="s">
        <v>17</v>
      </c>
      <c r="E171" s="85" t="s">
        <v>17</v>
      </c>
      <c r="F171"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71" s="82" t="str">
        <f>CVSSv3!$A$4</f>
        <v>Vector de ataque:</v>
      </c>
      <c r="H171" s="84" t="s">
        <v>706</v>
      </c>
      <c r="I171" s="88">
        <f>ROUNDUP((IF((IF(H175=CVSSv3!$C$8,(6.42*(1-((1-(IF(H176=CVSSv3!$C$9,CVSSv3!$C$22,(IF(H176=CVSSv3!$D$9,CVSSv3!$D$22,(IF(H176=CVSSv3!$E$9,CVSSv3!$E$22,"")))))))*(1-(IF(H177=CVSSv3!$C$10,CVSSv3!$C$23,(IF(H177=CVSSv3!$D$10,CVSSv3!$D$23,(IF(H177=CVSSv3!$E$10,CVSSv3!$E$23,"")))))))*(1-(IF(H178=CVSSv3!$C$11,CVSSv3!$C$24,(IF(H178=CVSSv3!$D$11,CVSSv3!$D$24,(IF(H178=CVSSv3!$E$11,CVSSv3!$E$24,"")))))))))),((7.52*((1-((1-(IF(H176=CVSSv3!$C$9,CVSSv3!$C$22,(IF(H176=CVSSv3!$D$9,CVSSv3!$D$22,(IF(H176=CVSSv3!$E$9,CVSSv3!$E$22,"")))))))*(1-(IF(H177=CVSSv3!$C$10,CVSSv3!$C$23,(IF(H177=CVSSv3!$D$10,CVSSv3!$D$23,(IF(H177=CVSSv3!$E$10,CVSSv3!$E$23,"")))))))*(1-(IF(H178=CVSSv3!$C$11,CVSSv3!$C$24,(IF(H178=CVSSv3!$D$11,CVSSv3!$D$24,(IF(H178=CVSSv3!$E$11,CVSSv3!$E$24,"")))))))))-0.029))-(3.25*POWER(((1-((1-(IF(H176=CVSSv3!$C$9,CVSSv3!$C$22,(IF(H176=CVSSv3!$D$9,CVSSv3!$D$22,(IF(H176=CVSSv3!$E$9,CVSSv3!$E$22,"")))))))*(1-(IF(H177=CVSSv3!$C$10,CVSSv3!$C$23,(IF(H177=CVSSv3!$D$10,CVSSv3!$D$23,(IF(H177=CVSSv3!$E$10,CVSSv3!$E$23,"")))))))*(1-(IF(H178=CVSSv3!$C$11,CVSSv3!$C$24,(IF(H178=CVSSv3!$D$11,CVSSv3!$D$24,(IF(H178=CVSSv3!$E$11,CVSSv3!$E$24,"")))))))))-0.02),15)))))&lt;=0,0,(IF(H175=CVSSv3!$C$8,ROUNDUP((MIN((IF(H175=CVSSv3!$C$8,(6.42*(1-((1-(IF(H176=CVSSv3!$C$9,CVSSv3!$C$22,(IF(H176=CVSSv3!$D$9,CVSSv3!$D$22,(IF(H176=CVSSv3!$E$9,CVSSv3!$E$22,"")))))))*(1-(IF(H177=CVSSv3!$C$10,CVSSv3!$C$23,(IF(H177=CVSSv3!$D$10,CVSSv3!$D$23,(IF(H177=CVSSv3!$E$10,CVSSv3!$E$23,"")))))))*(1-(IF(H178=CVSSv3!$C$11,CVSSv3!$C$24,(IF(H178=CVSSv3!$D$11,CVSSv3!$D$24,(IF(H178=CVSSv3!$E$11,CVSSv3!$E$24,"")))))))))),((7.52*((1-((1-(IF(H176=CVSSv3!$C$9,CVSSv3!$C$22,(IF(H176=CVSSv3!$D$9,CVSSv3!$D$22,(IF(H176=CVSSv3!$E$9,CVSSv3!$E$22,"")))))))*(1-(IF(H177=CVSSv3!$C$10,CVSSv3!$C$23,(IF(H177=CVSSv3!$D$10,CVSSv3!$D$23,(IF(H177=CVSSv3!$E$10,CVSSv3!$E$23,"")))))))*(1-(IF(H178=CVSSv3!$C$11,CVSSv3!$C$24,(IF(H178=CVSSv3!$D$11,CVSSv3!$D$24,(IF(H178=CVSSv3!$E$11,CVSSv3!$E$24,"")))))))))-0.029))-(3.25*POWER(((1-((1-(IF(H176=CVSSv3!$C$9,CVSSv3!$C$22,(IF(H176=CVSSv3!$D$9,CVSSv3!$D$22,(IF(H176=CVSSv3!$E$9,CVSSv3!$E$22,"")))))))*(1-(IF(H177=CVSSv3!$C$10,CVSSv3!$C$23,(IF(H177=CVSSv3!$D$10,CVSSv3!$D$23,(IF(H177=CVSSv3!$E$10,CVSSv3!$E$23,"")))))))*(1-(IF(H178=CVSSv3!$C$11,CVSSv3!$C$24,(IF(H178=CVSSv3!$D$11,CVSSv3!$D$24,(IF(H178=CVSSv3!$E$11,CVSSv3!$E$24,"")))))))))-0.02),15)))))+(8.22*(IF(H171=CVSSv3!$C$4,CVSSv3!$C$17,(IF(H171=CVSSv3!$D$4,CVSSv3!$D$17,(IF(H171=CVSSv3!$E$4,CVSSv3!$E$17,(IF(H171=CVSSv3!$F$4,CVSSv3!$F$17,""))))))))*(IF(H172=CVSSv3!$C$5,CVSSv3!$C$18,(IF(H172=CVSSv3!$D$5,CVSSv3!$D$18,""))))*(IF(H173=CVSSv3!$C$6,CVSSv3!$C$19,(IF(H173=CVSSv3!$D$6,(IF(H175=CVSSv3!$D$8,0.68,CVSSv3!$D$19)),(IF(H173=CVSSv3!$E$6,(IF(H175=CVSSv3!$D$8,0.5,CVSSv3!$E$19))))))))*(IF(H174=CVSSv3!$C$7,CVSSv3!$C$20,(IF(H174=CVSSv3!$D$7,CVSSv3!$D$20,""))))),10)),1),ROUNDUP((MIN(1.08*((IF(H175=CVSSv3!$C$8,(6.42*(1-((1-(IF(H176=CVSSv3!$C$9,CVSSv3!$C$22,(IF(H176=CVSSv3!$D$9,CVSSv3!$D$22,(IF(H176=CVSSv3!$E$9,CVSSv3!$E$22,"")))))))*(1-(IF(H177=CVSSv3!$C$10,CVSSv3!$C$23,(IF(H177=CVSSv3!$D$10,CVSSv3!$D$23,(IF(H177=CVSSv3!$E$10,CVSSv3!$E$23,"")))))))*(1-(IF(H178=CVSSv3!$C$11,CVSSv3!$C$24,(IF(H178=CVSSv3!$D$11,CVSSv3!$D$24,(IF(H178=CVSSv3!$E$11,CVSSv3!$E$24,"")))))))))),((7.52*((1-((1-(IF(H176=CVSSv3!$C$9,CVSSv3!$C$22,(IF(H176=CVSSv3!$D$9,CVSSv3!$D$22,(IF(H176=CVSSv3!$E$9,CVSSv3!$E$22,"")))))))*(1-(IF(H177=CVSSv3!$C$10,CVSSv3!$C$23,(IF(H177=CVSSv3!$D$10,CVSSv3!$D$23,(IF(H177=CVSSv3!$E$10,CVSSv3!$E$23,"")))))))*(1-(IF(H178=CVSSv3!$C$11,CVSSv3!$C$24,(IF(H178=CVSSv3!$D$11,CVSSv3!$D$24,(IF(H178=CVSSv3!$E$11,CVSSv3!$E$24,"")))))))))-0.029))-(3.25*POWER(((1-((1-(IF(H176=CVSSv3!$C$9,CVSSv3!$C$22,(IF(H176=CVSSv3!$D$9,CVSSv3!$D$22,(IF(H176=CVSSv3!$E$9,CVSSv3!$E$22,"")))))))*(1-(IF(H177=CVSSv3!$C$10,CVSSv3!$C$23,(IF(H177=CVSSv3!$D$10,CVSSv3!$D$23,(IF(H177=CVSSv3!$E$10,CVSSv3!$E$23,"")))))))*(1-(IF(H178=CVSSv3!$C$11,CVSSv3!$C$24,(IF(H178=CVSSv3!$D$11,CVSSv3!$D$24,(IF(H178=CVSSv3!$E$11,CVSSv3!$E$24,"")))))))))-0.02),15)))))+(8.22*(IF(H171=CVSSv3!$C$4,CVSSv3!$C$17,(IF(H171=CVSSv3!$D$4,CVSSv3!$D$17,(IF(H171=CVSSv3!$E$4,CVSSv3!$E$17,(IF(H171=CVSSv3!$F$4,CVSSv3!$F$17,""))))))))*(IF(H172=CVSSv3!$C$5,CVSSv3!$C$18,(IF(H172=CVSSv3!$D$5,CVSSv3!$D$18,""))))*(IF(H173=CVSSv3!$C$6,CVSSv3!$C$19,(IF(H173=CVSSv3!$D$6,(IF(H175=CVSSv3!$D$8,0.68,CVSSv3!$D$19)),(IF(H173=CVSSv3!$E$6,(IF(H175=CVSSv3!$D$8,0.5,CVSSv3!$E$19))))))))*(IF(H174=CVSSv3!$C$7,CVSSv3!$C$20,(IF(H174=CVSSv3!$D$7,CVSSv3!$D$20,"")))))),10)),1))))*(IF(H179=CVSSv3!$C$12,CVSSv3!$C$25,(IF(H179=CVSSv3!$D$12,CVSSv3!$D$25,(IF(H179=CVSSv3!$E$12,CVSSv3!$E$25,(IF(H179=CVSSv3!$F$12,CVSSv3!$F$25,""))))))))*(IF(H180=CVSSv3!$C$13,CVSSv3!$C$26,(IF(H180=CVSSv3!$D$13,CVSSv3!$D$26,(IF(H180=CVSSv3!$E$13,CVSSv3!$E$26,(IF(H180=CVSSv3!$F$13,CVSSv3!$F$26,""))))))))*(IF(H181=CVSSv3!$C$14,CVSSv3!$C$27,(IF(H181=CVSSv3!$D$14,CVSSv3!$D$27,(IF(H181=CVSSv3!$E$14,CVSSv3!$E$27,""))))))),1)</f>
        <v>9</v>
      </c>
      <c r="J171" s="89">
        <v>0</v>
      </c>
      <c r="K171" s="89">
        <v>0</v>
      </c>
      <c r="L171" s="85" t="s">
        <v>17</v>
      </c>
      <c r="M171" s="85" t="s">
        <v>17</v>
      </c>
      <c r="N171" s="85" t="s">
        <v>707</v>
      </c>
      <c r="O171" s="85" t="s">
        <v>708</v>
      </c>
    </row>
    <row r="172" spans="1:15" x14ac:dyDescent="0.25">
      <c r="A172" s="89"/>
      <c r="B172" s="85"/>
      <c r="C172" s="85"/>
      <c r="D172" s="85"/>
      <c r="E172" s="85"/>
      <c r="F172" s="85"/>
      <c r="G172" s="80" t="str">
        <f>CVSSv3!$A$5</f>
        <v>Complejidad de ataque:</v>
      </c>
      <c r="H172" s="81" t="s">
        <v>709</v>
      </c>
      <c r="I172" s="88"/>
      <c r="J172" s="89"/>
      <c r="K172" s="89"/>
      <c r="L172" s="85"/>
      <c r="M172" s="85"/>
      <c r="N172" s="85"/>
      <c r="O172" s="85"/>
    </row>
    <row r="173" spans="1:15" x14ac:dyDescent="0.25">
      <c r="A173" s="89"/>
      <c r="B173" s="85"/>
      <c r="C173" s="85"/>
      <c r="D173" s="85"/>
      <c r="E173" s="85"/>
      <c r="F173" s="85"/>
      <c r="G173" s="80" t="str">
        <f>CVSSv3!$A$6</f>
        <v>Privilegios requeridos:</v>
      </c>
      <c r="H173" s="81" t="s">
        <v>710</v>
      </c>
      <c r="I173" s="88"/>
      <c r="J173" s="89"/>
      <c r="K173" s="89"/>
      <c r="L173" s="85"/>
      <c r="M173" s="85"/>
      <c r="N173" s="85"/>
      <c r="O173" s="85"/>
    </row>
    <row r="174" spans="1:15" x14ac:dyDescent="0.25">
      <c r="A174" s="89"/>
      <c r="B174" s="85"/>
      <c r="C174" s="85"/>
      <c r="D174" s="85"/>
      <c r="E174" s="85"/>
      <c r="F174" s="85"/>
      <c r="G174" s="80" t="str">
        <f>CVSSv3!$A$7</f>
        <v>Interacción del usuario:</v>
      </c>
      <c r="H174" s="81" t="s">
        <v>711</v>
      </c>
      <c r="I174" s="88"/>
      <c r="J174" s="89"/>
      <c r="K174" s="89"/>
      <c r="L174" s="85"/>
      <c r="M174" s="85"/>
      <c r="N174" s="85"/>
      <c r="O174" s="85"/>
    </row>
    <row r="175" spans="1:15" x14ac:dyDescent="0.25">
      <c r="A175" s="89"/>
      <c r="B175" s="85"/>
      <c r="C175" s="85"/>
      <c r="D175" s="85"/>
      <c r="E175" s="85"/>
      <c r="F175" s="85"/>
      <c r="G175" s="80" t="str">
        <f>CVSSv3!$A$8</f>
        <v>Alcance:</v>
      </c>
      <c r="H175" s="81" t="s">
        <v>712</v>
      </c>
      <c r="I175" s="88"/>
      <c r="J175" s="89"/>
      <c r="K175" s="89"/>
      <c r="L175" s="85"/>
      <c r="M175" s="85"/>
      <c r="N175" s="85"/>
      <c r="O175" s="85"/>
    </row>
    <row r="176" spans="1:15" x14ac:dyDescent="0.25">
      <c r="A176" s="89"/>
      <c r="B176" s="85"/>
      <c r="C176" s="85"/>
      <c r="D176" s="85"/>
      <c r="E176" s="85"/>
      <c r="F176" s="85"/>
      <c r="G176" s="80" t="str">
        <f>CVSSv3!$A$9</f>
        <v>Impacto a la confidencialidad:</v>
      </c>
      <c r="H176" s="81" t="s">
        <v>713</v>
      </c>
      <c r="I176" s="88"/>
      <c r="J176" s="89"/>
      <c r="K176" s="89"/>
      <c r="L176" s="85"/>
      <c r="M176" s="85"/>
      <c r="N176" s="85"/>
      <c r="O176" s="85"/>
    </row>
    <row r="177" spans="1:15" x14ac:dyDescent="0.25">
      <c r="A177" s="89"/>
      <c r="B177" s="85"/>
      <c r="C177" s="85"/>
      <c r="D177" s="85"/>
      <c r="E177" s="85"/>
      <c r="F177" s="85"/>
      <c r="G177" s="80" t="str">
        <f>CVSSv3!$A$10</f>
        <v>Impacto a la integridad:</v>
      </c>
      <c r="H177" s="81" t="s">
        <v>713</v>
      </c>
      <c r="I177" s="88"/>
      <c r="J177" s="89"/>
      <c r="K177" s="89"/>
      <c r="L177" s="85"/>
      <c r="M177" s="85"/>
      <c r="N177" s="85"/>
      <c r="O177" s="85"/>
    </row>
    <row r="178" spans="1:15" x14ac:dyDescent="0.25">
      <c r="A178" s="89"/>
      <c r="B178" s="85"/>
      <c r="C178" s="85"/>
      <c r="D178" s="85"/>
      <c r="E178" s="85"/>
      <c r="F178" s="85"/>
      <c r="G178" s="80" t="str">
        <f>CVSSv3!$A$11</f>
        <v>Impacto a la disponibilidad:</v>
      </c>
      <c r="H178" s="81" t="s">
        <v>713</v>
      </c>
      <c r="I178" s="88"/>
      <c r="J178" s="89"/>
      <c r="K178" s="89"/>
      <c r="L178" s="85"/>
      <c r="M178" s="85"/>
      <c r="N178" s="85"/>
      <c r="O178" s="85"/>
    </row>
    <row r="179" spans="1:15" x14ac:dyDescent="0.25">
      <c r="A179" s="89"/>
      <c r="B179" s="85"/>
      <c r="C179" s="85"/>
      <c r="D179" s="85"/>
      <c r="E179" s="85"/>
      <c r="F179" s="85"/>
      <c r="G179" s="80" t="str">
        <f>CVSSv3!$A$12</f>
        <v>Explotabilidad:</v>
      </c>
      <c r="H179" s="81" t="s">
        <v>709</v>
      </c>
      <c r="I179" s="88"/>
      <c r="J179" s="89"/>
      <c r="K179" s="89"/>
      <c r="L179" s="85"/>
      <c r="M179" s="85"/>
      <c r="N179" s="85"/>
      <c r="O179" s="85"/>
    </row>
    <row r="180" spans="1:15" x14ac:dyDescent="0.25">
      <c r="A180" s="89"/>
      <c r="B180" s="85"/>
      <c r="C180" s="85"/>
      <c r="D180" s="85"/>
      <c r="E180" s="85"/>
      <c r="F180" s="85"/>
      <c r="G180" s="80" t="str">
        <f>CVSSv3!$A$13</f>
        <v>Nivel de resolución:</v>
      </c>
      <c r="H180" s="81" t="s">
        <v>714</v>
      </c>
      <c r="I180" s="88"/>
      <c r="J180" s="89"/>
      <c r="K180" s="89"/>
      <c r="L180" s="85"/>
      <c r="M180" s="85"/>
      <c r="N180" s="85"/>
      <c r="O180" s="85"/>
    </row>
    <row r="181" spans="1:15" x14ac:dyDescent="0.25">
      <c r="A181" s="89"/>
      <c r="B181" s="85"/>
      <c r="C181" s="85"/>
      <c r="D181" s="85"/>
      <c r="E181" s="85"/>
      <c r="F181" s="85"/>
      <c r="G181" s="80" t="str">
        <f>CVSSv3!$A$14</f>
        <v>Nivel de confianza</v>
      </c>
      <c r="H181" s="81" t="s">
        <v>715</v>
      </c>
      <c r="I181" s="88"/>
      <c r="J181" s="89"/>
      <c r="K181" s="89"/>
      <c r="L181" s="85"/>
      <c r="M181" s="85"/>
      <c r="N181" s="85"/>
      <c r="O181" s="85"/>
    </row>
    <row r="182" spans="1:15" x14ac:dyDescent="0.25">
      <c r="A182" s="89"/>
      <c r="B182" s="85"/>
      <c r="C182" s="85"/>
      <c r="D182" s="85"/>
      <c r="E182" s="85"/>
      <c r="F182" s="85"/>
      <c r="G182" s="86" t="str">
        <f>"("&amp;CVSSv3!$B$4&amp;":"&amp;IF(H171=CVSSv3!$C$4,CVSSv3!$C$30,IF(H171=CVSSv3!$D$4,CVSSv3!$D$30,IF(H171=CVSSv3!$E$4,CVSSv3!$E$30,IF(H171=CVSSv3!$F$4,CVSSv3!$F$30,""))))&amp;"/"&amp;CVSSv3!$B$5&amp;":"&amp;IF(H172=CVSSv3!$C$5,CVSSv3!$C$31,IF(H172=CVSSv3!$D$5,CVSSv3!$D$31,""))&amp;"/"&amp;CVSSv3!$B$6&amp;":"&amp;IF(H173=CVSSv3!$C$6,CVSSv3!$C$32,IF(H173=CVSSv3!$D$6,CVSSv3!$D$32,IF(H173=CVSSv3!$E$6,CVSSv3!$E$32,"")))&amp;"/"&amp;CVSSv3!$B$7&amp;":"&amp;IF(H174=CVSSv3!$C$7,CVSSv3!$C$33,IF(H174=CVSSv3!$D$7,CVSSv3!$D$33,""))&amp;"/"&amp;CVSSv3!$B$8&amp;":"&amp;IF(H175=CVSSv3!$C$8,CVSSv3!$C$34,IF(H175=CVSSv3!$D$8,CVSSv3!$D$34,""))&amp;"/"&amp;CVSSv3!$B$9&amp;":"&amp;IF(H176=CVSSv3!$C$9,CVSSv3!$C$35,IF(H176=CVSSv3!$D$9,CVSSv3!$D$35,IF(H176=CVSSv3!$E$9,CVSSv3!$E$35,"")))&amp;"/"&amp;CVSSv3!$B$10&amp;":"&amp;IF(H177=CVSSv3!$C$10,CVSSv3!$C$36,IF(H177=CVSSv3!$D$10,CVSSv3!$D$36,IF(H177=CVSSv3!$E$10,CVSSv3!$E$36,"")))&amp;"/"&amp;CVSSv3!$B$11&amp;":"&amp;IF(H178=CVSSv3!$C$11,CVSSv3!$C$37,IF(H178=CVSSv3!$D$11,CVSSv3!$D$37,IF(H178=CVSSv3!$E$11,CVSSv3!$E$37,"")))&amp;"/"&amp;CVSSv3!$B$12&amp;":"&amp;IF(H179=CVSSv3!$C$12,CVSSv3!$C$38,IF(H179=CVSSv3!$D$12,CVSSv3!$D$38,IF(H179=CVSSv3!$E$12,CVSSv3!$E$38,IF(H179=CVSSv3!$F$12,CVSSv3!$F$38,""))))&amp;"/"&amp;CVSSv3!$B$13&amp;":"&amp;IF(H180=CVSSv3!$C$13,CVSSv3!$C$39,IF(H180=CVSSv3!$D$13,CVSSv3!$D$39,IF(H180=CVSSv3!$E$13,CVSSv3!$E$39,IF(H180=CVSSv3!$F$13,CVSSv3!$F$39,""))))&amp;"/"&amp;CVSSv3!$B$14&amp;":"&amp;IF(H181=CVSSv3!$C$14,CVSSv3!$C$40,IF(H181=CVSSv3!$D$14,CVSSv3!$D$40,IF(H181=CVSSv3!$E$14,CVSSv3!$E$40,"")))&amp;")"</f>
        <v>(AV:N/AC:H/PR:N/UI:N/S:C/C:H/I:H/A:H/E:H/RL:U/RC:C)</v>
      </c>
      <c r="H182" s="87"/>
      <c r="I182" s="88"/>
      <c r="J182" s="89"/>
      <c r="K182" s="89"/>
      <c r="L182" s="85"/>
      <c r="M182" s="85"/>
      <c r="N182" s="85"/>
      <c r="O182" s="85"/>
    </row>
    <row r="183" spans="1:15" x14ac:dyDescent="0.25">
      <c r="A183" s="89">
        <v>16</v>
      </c>
      <c r="B183" s="85" t="s">
        <v>729</v>
      </c>
      <c r="C183" s="85" t="s">
        <v>17</v>
      </c>
      <c r="D183" s="85" t="s">
        <v>17</v>
      </c>
      <c r="E183" s="85" t="s">
        <v>17</v>
      </c>
      <c r="F183"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83" s="82" t="str">
        <f>CVSSv3!$A$4</f>
        <v>Vector de ataque:</v>
      </c>
      <c r="H183" s="84" t="s">
        <v>706</v>
      </c>
      <c r="I183" s="88">
        <f>ROUNDUP((IF((IF(H187=CVSSv3!$C$8,(6.42*(1-((1-(IF(H188=CVSSv3!$C$9,CVSSv3!$C$22,(IF(H188=CVSSv3!$D$9,CVSSv3!$D$22,(IF(H188=CVSSv3!$E$9,CVSSv3!$E$22,"")))))))*(1-(IF(H189=CVSSv3!$C$10,CVSSv3!$C$23,(IF(H189=CVSSv3!$D$10,CVSSv3!$D$23,(IF(H189=CVSSv3!$E$10,CVSSv3!$E$23,"")))))))*(1-(IF(H190=CVSSv3!$C$11,CVSSv3!$C$24,(IF(H190=CVSSv3!$D$11,CVSSv3!$D$24,(IF(H190=CVSSv3!$E$11,CVSSv3!$E$24,"")))))))))),((7.52*((1-((1-(IF(H188=CVSSv3!$C$9,CVSSv3!$C$22,(IF(H188=CVSSv3!$D$9,CVSSv3!$D$22,(IF(H188=CVSSv3!$E$9,CVSSv3!$E$22,"")))))))*(1-(IF(H189=CVSSv3!$C$10,CVSSv3!$C$23,(IF(H189=CVSSv3!$D$10,CVSSv3!$D$23,(IF(H189=CVSSv3!$E$10,CVSSv3!$E$23,"")))))))*(1-(IF(H190=CVSSv3!$C$11,CVSSv3!$C$24,(IF(H190=CVSSv3!$D$11,CVSSv3!$D$24,(IF(H190=CVSSv3!$E$11,CVSSv3!$E$24,"")))))))))-0.029))-(3.25*POWER(((1-((1-(IF(H188=CVSSv3!$C$9,CVSSv3!$C$22,(IF(H188=CVSSv3!$D$9,CVSSv3!$D$22,(IF(H188=CVSSv3!$E$9,CVSSv3!$E$22,"")))))))*(1-(IF(H189=CVSSv3!$C$10,CVSSv3!$C$23,(IF(H189=CVSSv3!$D$10,CVSSv3!$D$23,(IF(H189=CVSSv3!$E$10,CVSSv3!$E$23,"")))))))*(1-(IF(H190=CVSSv3!$C$11,CVSSv3!$C$24,(IF(H190=CVSSv3!$D$11,CVSSv3!$D$24,(IF(H190=CVSSv3!$E$11,CVSSv3!$E$24,"")))))))))-0.02),15)))))&lt;=0,0,(IF(H187=CVSSv3!$C$8,ROUNDUP((MIN((IF(H187=CVSSv3!$C$8,(6.42*(1-((1-(IF(H188=CVSSv3!$C$9,CVSSv3!$C$22,(IF(H188=CVSSv3!$D$9,CVSSv3!$D$22,(IF(H188=CVSSv3!$E$9,CVSSv3!$E$22,"")))))))*(1-(IF(H189=CVSSv3!$C$10,CVSSv3!$C$23,(IF(H189=CVSSv3!$D$10,CVSSv3!$D$23,(IF(H189=CVSSv3!$E$10,CVSSv3!$E$23,"")))))))*(1-(IF(H190=CVSSv3!$C$11,CVSSv3!$C$24,(IF(H190=CVSSv3!$D$11,CVSSv3!$D$24,(IF(H190=CVSSv3!$E$11,CVSSv3!$E$24,"")))))))))),((7.52*((1-((1-(IF(H188=CVSSv3!$C$9,CVSSv3!$C$22,(IF(H188=CVSSv3!$D$9,CVSSv3!$D$22,(IF(H188=CVSSv3!$E$9,CVSSv3!$E$22,"")))))))*(1-(IF(H189=CVSSv3!$C$10,CVSSv3!$C$23,(IF(H189=CVSSv3!$D$10,CVSSv3!$D$23,(IF(H189=CVSSv3!$E$10,CVSSv3!$E$23,"")))))))*(1-(IF(H190=CVSSv3!$C$11,CVSSv3!$C$24,(IF(H190=CVSSv3!$D$11,CVSSv3!$D$24,(IF(H190=CVSSv3!$E$11,CVSSv3!$E$24,"")))))))))-0.029))-(3.25*POWER(((1-((1-(IF(H188=CVSSv3!$C$9,CVSSv3!$C$22,(IF(H188=CVSSv3!$D$9,CVSSv3!$D$22,(IF(H188=CVSSv3!$E$9,CVSSv3!$E$22,"")))))))*(1-(IF(H189=CVSSv3!$C$10,CVSSv3!$C$23,(IF(H189=CVSSv3!$D$10,CVSSv3!$D$23,(IF(H189=CVSSv3!$E$10,CVSSv3!$E$23,"")))))))*(1-(IF(H190=CVSSv3!$C$11,CVSSv3!$C$24,(IF(H190=CVSSv3!$D$11,CVSSv3!$D$24,(IF(H190=CVSSv3!$E$11,CVSSv3!$E$24,"")))))))))-0.02),15)))))+(8.22*(IF(H183=CVSSv3!$C$4,CVSSv3!$C$17,(IF(H183=CVSSv3!$D$4,CVSSv3!$D$17,(IF(H183=CVSSv3!$E$4,CVSSv3!$E$17,(IF(H183=CVSSv3!$F$4,CVSSv3!$F$17,""))))))))*(IF(H184=CVSSv3!$C$5,CVSSv3!$C$18,(IF(H184=CVSSv3!$D$5,CVSSv3!$D$18,""))))*(IF(H185=CVSSv3!$C$6,CVSSv3!$C$19,(IF(H185=CVSSv3!$D$6,(IF(H187=CVSSv3!$D$8,0.68,CVSSv3!$D$19)),(IF(H185=CVSSv3!$E$6,(IF(H187=CVSSv3!$D$8,0.5,CVSSv3!$E$19))))))))*(IF(H186=CVSSv3!$C$7,CVSSv3!$C$20,(IF(H186=CVSSv3!$D$7,CVSSv3!$D$20,""))))),10)),1),ROUNDUP((MIN(1.08*((IF(H187=CVSSv3!$C$8,(6.42*(1-((1-(IF(H188=CVSSv3!$C$9,CVSSv3!$C$22,(IF(H188=CVSSv3!$D$9,CVSSv3!$D$22,(IF(H188=CVSSv3!$E$9,CVSSv3!$E$22,"")))))))*(1-(IF(H189=CVSSv3!$C$10,CVSSv3!$C$23,(IF(H189=CVSSv3!$D$10,CVSSv3!$D$23,(IF(H189=CVSSv3!$E$10,CVSSv3!$E$23,"")))))))*(1-(IF(H190=CVSSv3!$C$11,CVSSv3!$C$24,(IF(H190=CVSSv3!$D$11,CVSSv3!$D$24,(IF(H190=CVSSv3!$E$11,CVSSv3!$E$24,"")))))))))),((7.52*((1-((1-(IF(H188=CVSSv3!$C$9,CVSSv3!$C$22,(IF(H188=CVSSv3!$D$9,CVSSv3!$D$22,(IF(H188=CVSSv3!$E$9,CVSSv3!$E$22,"")))))))*(1-(IF(H189=CVSSv3!$C$10,CVSSv3!$C$23,(IF(H189=CVSSv3!$D$10,CVSSv3!$D$23,(IF(H189=CVSSv3!$E$10,CVSSv3!$E$23,"")))))))*(1-(IF(H190=CVSSv3!$C$11,CVSSv3!$C$24,(IF(H190=CVSSv3!$D$11,CVSSv3!$D$24,(IF(H190=CVSSv3!$E$11,CVSSv3!$E$24,"")))))))))-0.029))-(3.25*POWER(((1-((1-(IF(H188=CVSSv3!$C$9,CVSSv3!$C$22,(IF(H188=CVSSv3!$D$9,CVSSv3!$D$22,(IF(H188=CVSSv3!$E$9,CVSSv3!$E$22,"")))))))*(1-(IF(H189=CVSSv3!$C$10,CVSSv3!$C$23,(IF(H189=CVSSv3!$D$10,CVSSv3!$D$23,(IF(H189=CVSSv3!$E$10,CVSSv3!$E$23,"")))))))*(1-(IF(H190=CVSSv3!$C$11,CVSSv3!$C$24,(IF(H190=CVSSv3!$D$11,CVSSv3!$D$24,(IF(H190=CVSSv3!$E$11,CVSSv3!$E$24,"")))))))))-0.02),15)))))+(8.22*(IF(H183=CVSSv3!$C$4,CVSSv3!$C$17,(IF(H183=CVSSv3!$D$4,CVSSv3!$D$17,(IF(H183=CVSSv3!$E$4,CVSSv3!$E$17,(IF(H183=CVSSv3!$F$4,CVSSv3!$F$17,""))))))))*(IF(H184=CVSSv3!$C$5,CVSSv3!$C$18,(IF(H184=CVSSv3!$D$5,CVSSv3!$D$18,""))))*(IF(H185=CVSSv3!$C$6,CVSSv3!$C$19,(IF(H185=CVSSv3!$D$6,(IF(H187=CVSSv3!$D$8,0.68,CVSSv3!$D$19)),(IF(H185=CVSSv3!$E$6,(IF(H187=CVSSv3!$D$8,0.5,CVSSv3!$E$19))))))))*(IF(H186=CVSSv3!$C$7,CVSSv3!$C$20,(IF(H186=CVSSv3!$D$7,CVSSv3!$D$20,"")))))),10)),1))))*(IF(H191=CVSSv3!$C$12,CVSSv3!$C$25,(IF(H191=CVSSv3!$D$12,CVSSv3!$D$25,(IF(H191=CVSSv3!$E$12,CVSSv3!$E$25,(IF(H191=CVSSv3!$F$12,CVSSv3!$F$25,""))))))))*(IF(H192=CVSSv3!$C$13,CVSSv3!$C$26,(IF(H192=CVSSv3!$D$13,CVSSv3!$D$26,(IF(H192=CVSSv3!$E$13,CVSSv3!$E$26,(IF(H192=CVSSv3!$F$13,CVSSv3!$F$26,""))))))))*(IF(H193=CVSSv3!$C$14,CVSSv3!$C$27,(IF(H193=CVSSv3!$D$14,CVSSv3!$D$27,(IF(H193=CVSSv3!$E$14,CVSSv3!$E$27,""))))))),1)</f>
        <v>9</v>
      </c>
      <c r="J183" s="89">
        <v>0</v>
      </c>
      <c r="K183" s="89">
        <v>0</v>
      </c>
      <c r="L183" s="85" t="s">
        <v>17</v>
      </c>
      <c r="M183" s="85" t="s">
        <v>17</v>
      </c>
      <c r="N183" s="85" t="s">
        <v>707</v>
      </c>
      <c r="O183" s="85" t="s">
        <v>708</v>
      </c>
    </row>
    <row r="184" spans="1:15" x14ac:dyDescent="0.25">
      <c r="A184" s="89"/>
      <c r="B184" s="85"/>
      <c r="C184" s="85"/>
      <c r="D184" s="85"/>
      <c r="E184" s="85"/>
      <c r="F184" s="85"/>
      <c r="G184" s="80" t="str">
        <f>CVSSv3!$A$5</f>
        <v>Complejidad de ataque:</v>
      </c>
      <c r="H184" s="81" t="s">
        <v>709</v>
      </c>
      <c r="I184" s="88"/>
      <c r="J184" s="89"/>
      <c r="K184" s="89"/>
      <c r="L184" s="85"/>
      <c r="M184" s="85"/>
      <c r="N184" s="85"/>
      <c r="O184" s="85"/>
    </row>
    <row r="185" spans="1:15" x14ac:dyDescent="0.25">
      <c r="A185" s="89"/>
      <c r="B185" s="85"/>
      <c r="C185" s="85"/>
      <c r="D185" s="85"/>
      <c r="E185" s="85"/>
      <c r="F185" s="85"/>
      <c r="G185" s="80" t="str">
        <f>CVSSv3!$A$6</f>
        <v>Privilegios requeridos:</v>
      </c>
      <c r="H185" s="81" t="s">
        <v>710</v>
      </c>
      <c r="I185" s="88"/>
      <c r="J185" s="89"/>
      <c r="K185" s="89"/>
      <c r="L185" s="85"/>
      <c r="M185" s="85"/>
      <c r="N185" s="85"/>
      <c r="O185" s="85"/>
    </row>
    <row r="186" spans="1:15" x14ac:dyDescent="0.25">
      <c r="A186" s="89"/>
      <c r="B186" s="85"/>
      <c r="C186" s="85"/>
      <c r="D186" s="85"/>
      <c r="E186" s="85"/>
      <c r="F186" s="85"/>
      <c r="G186" s="80" t="str">
        <f>CVSSv3!$A$7</f>
        <v>Interacción del usuario:</v>
      </c>
      <c r="H186" s="81" t="s">
        <v>711</v>
      </c>
      <c r="I186" s="88"/>
      <c r="J186" s="89"/>
      <c r="K186" s="89"/>
      <c r="L186" s="85"/>
      <c r="M186" s="85"/>
      <c r="N186" s="85"/>
      <c r="O186" s="85"/>
    </row>
    <row r="187" spans="1:15" x14ac:dyDescent="0.25">
      <c r="A187" s="89"/>
      <c r="B187" s="85"/>
      <c r="C187" s="85"/>
      <c r="D187" s="85"/>
      <c r="E187" s="85"/>
      <c r="F187" s="85"/>
      <c r="G187" s="80" t="str">
        <f>CVSSv3!$A$8</f>
        <v>Alcance:</v>
      </c>
      <c r="H187" s="81" t="s">
        <v>712</v>
      </c>
      <c r="I187" s="88"/>
      <c r="J187" s="89"/>
      <c r="K187" s="89"/>
      <c r="L187" s="85"/>
      <c r="M187" s="85"/>
      <c r="N187" s="85"/>
      <c r="O187" s="85"/>
    </row>
    <row r="188" spans="1:15" x14ac:dyDescent="0.25">
      <c r="A188" s="89"/>
      <c r="B188" s="85"/>
      <c r="C188" s="85"/>
      <c r="D188" s="85"/>
      <c r="E188" s="85"/>
      <c r="F188" s="85"/>
      <c r="G188" s="80" t="str">
        <f>CVSSv3!$A$9</f>
        <v>Impacto a la confidencialidad:</v>
      </c>
      <c r="H188" s="81" t="s">
        <v>713</v>
      </c>
      <c r="I188" s="88"/>
      <c r="J188" s="89"/>
      <c r="K188" s="89"/>
      <c r="L188" s="85"/>
      <c r="M188" s="85"/>
      <c r="N188" s="85"/>
      <c r="O188" s="85"/>
    </row>
    <row r="189" spans="1:15" x14ac:dyDescent="0.25">
      <c r="A189" s="89"/>
      <c r="B189" s="85"/>
      <c r="C189" s="85"/>
      <c r="D189" s="85"/>
      <c r="E189" s="85"/>
      <c r="F189" s="85"/>
      <c r="G189" s="80" t="str">
        <f>CVSSv3!$A$10</f>
        <v>Impacto a la integridad:</v>
      </c>
      <c r="H189" s="81" t="s">
        <v>713</v>
      </c>
      <c r="I189" s="88"/>
      <c r="J189" s="89"/>
      <c r="K189" s="89"/>
      <c r="L189" s="85"/>
      <c r="M189" s="85"/>
      <c r="N189" s="85"/>
      <c r="O189" s="85"/>
    </row>
    <row r="190" spans="1:15" x14ac:dyDescent="0.25">
      <c r="A190" s="89"/>
      <c r="B190" s="85"/>
      <c r="C190" s="85"/>
      <c r="D190" s="85"/>
      <c r="E190" s="85"/>
      <c r="F190" s="85"/>
      <c r="G190" s="80" t="str">
        <f>CVSSv3!$A$11</f>
        <v>Impacto a la disponibilidad:</v>
      </c>
      <c r="H190" s="81" t="s">
        <v>713</v>
      </c>
      <c r="I190" s="88"/>
      <c r="J190" s="89"/>
      <c r="K190" s="89"/>
      <c r="L190" s="85"/>
      <c r="M190" s="85"/>
      <c r="N190" s="85"/>
      <c r="O190" s="85"/>
    </row>
    <row r="191" spans="1:15" x14ac:dyDescent="0.25">
      <c r="A191" s="89"/>
      <c r="B191" s="85"/>
      <c r="C191" s="85"/>
      <c r="D191" s="85"/>
      <c r="E191" s="85"/>
      <c r="F191" s="85"/>
      <c r="G191" s="80" t="str">
        <f>CVSSv3!$A$12</f>
        <v>Explotabilidad:</v>
      </c>
      <c r="H191" s="81" t="s">
        <v>709</v>
      </c>
      <c r="I191" s="88"/>
      <c r="J191" s="89"/>
      <c r="K191" s="89"/>
      <c r="L191" s="85"/>
      <c r="M191" s="85"/>
      <c r="N191" s="85"/>
      <c r="O191" s="85"/>
    </row>
    <row r="192" spans="1:15" x14ac:dyDescent="0.25">
      <c r="A192" s="89"/>
      <c r="B192" s="85"/>
      <c r="C192" s="85"/>
      <c r="D192" s="85"/>
      <c r="E192" s="85"/>
      <c r="F192" s="85"/>
      <c r="G192" s="80" t="str">
        <f>CVSSv3!$A$13</f>
        <v>Nivel de resolución:</v>
      </c>
      <c r="H192" s="81" t="s">
        <v>714</v>
      </c>
      <c r="I192" s="88"/>
      <c r="J192" s="89"/>
      <c r="K192" s="89"/>
      <c r="L192" s="85"/>
      <c r="M192" s="85"/>
      <c r="N192" s="85"/>
      <c r="O192" s="85"/>
    </row>
    <row r="193" spans="1:15" x14ac:dyDescent="0.25">
      <c r="A193" s="89"/>
      <c r="B193" s="85"/>
      <c r="C193" s="85"/>
      <c r="D193" s="85"/>
      <c r="E193" s="85"/>
      <c r="F193" s="85"/>
      <c r="G193" s="80" t="str">
        <f>CVSSv3!$A$14</f>
        <v>Nivel de confianza</v>
      </c>
      <c r="H193" s="81" t="s">
        <v>715</v>
      </c>
      <c r="I193" s="88"/>
      <c r="J193" s="89"/>
      <c r="K193" s="89"/>
      <c r="L193" s="85"/>
      <c r="M193" s="85"/>
      <c r="N193" s="85"/>
      <c r="O193" s="85"/>
    </row>
    <row r="194" spans="1:15" x14ac:dyDescent="0.25">
      <c r="A194" s="89"/>
      <c r="B194" s="85"/>
      <c r="C194" s="85"/>
      <c r="D194" s="85"/>
      <c r="E194" s="85"/>
      <c r="F194" s="85"/>
      <c r="G194" s="86" t="str">
        <f>"("&amp;CVSSv3!$B$4&amp;":"&amp;IF(H183=CVSSv3!$C$4,CVSSv3!$C$30,IF(H183=CVSSv3!$D$4,CVSSv3!$D$30,IF(H183=CVSSv3!$E$4,CVSSv3!$E$30,IF(H183=CVSSv3!$F$4,CVSSv3!$F$30,""))))&amp;"/"&amp;CVSSv3!$B$5&amp;":"&amp;IF(H184=CVSSv3!$C$5,CVSSv3!$C$31,IF(H184=CVSSv3!$D$5,CVSSv3!$D$31,""))&amp;"/"&amp;CVSSv3!$B$6&amp;":"&amp;IF(H185=CVSSv3!$C$6,CVSSv3!$C$32,IF(H185=CVSSv3!$D$6,CVSSv3!$D$32,IF(H185=CVSSv3!$E$6,CVSSv3!$E$32,"")))&amp;"/"&amp;CVSSv3!$B$7&amp;":"&amp;IF(H186=CVSSv3!$C$7,CVSSv3!$C$33,IF(H186=CVSSv3!$D$7,CVSSv3!$D$33,""))&amp;"/"&amp;CVSSv3!$B$8&amp;":"&amp;IF(H187=CVSSv3!$C$8,CVSSv3!$C$34,IF(H187=CVSSv3!$D$8,CVSSv3!$D$34,""))&amp;"/"&amp;CVSSv3!$B$9&amp;":"&amp;IF(H188=CVSSv3!$C$9,CVSSv3!$C$35,IF(H188=CVSSv3!$D$9,CVSSv3!$D$35,IF(H188=CVSSv3!$E$9,CVSSv3!$E$35,"")))&amp;"/"&amp;CVSSv3!$B$10&amp;":"&amp;IF(H189=CVSSv3!$C$10,CVSSv3!$C$36,IF(H189=CVSSv3!$D$10,CVSSv3!$D$36,IF(H189=CVSSv3!$E$10,CVSSv3!$E$36,"")))&amp;"/"&amp;CVSSv3!$B$11&amp;":"&amp;IF(H190=CVSSv3!$C$11,CVSSv3!$C$37,IF(H190=CVSSv3!$D$11,CVSSv3!$D$37,IF(H190=CVSSv3!$E$11,CVSSv3!$E$37,"")))&amp;"/"&amp;CVSSv3!$B$12&amp;":"&amp;IF(H191=CVSSv3!$C$12,CVSSv3!$C$38,IF(H191=CVSSv3!$D$12,CVSSv3!$D$38,IF(H191=CVSSv3!$E$12,CVSSv3!$E$38,IF(H191=CVSSv3!$F$12,CVSSv3!$F$38,""))))&amp;"/"&amp;CVSSv3!$B$13&amp;":"&amp;IF(H192=CVSSv3!$C$13,CVSSv3!$C$39,IF(H192=CVSSv3!$D$13,CVSSv3!$D$39,IF(H192=CVSSv3!$E$13,CVSSv3!$E$39,IF(H192=CVSSv3!$F$13,CVSSv3!$F$39,""))))&amp;"/"&amp;CVSSv3!$B$14&amp;":"&amp;IF(H193=CVSSv3!$C$14,CVSSv3!$C$40,IF(H193=CVSSv3!$D$14,CVSSv3!$D$40,IF(H193=CVSSv3!$E$14,CVSSv3!$E$40,"")))&amp;")"</f>
        <v>(AV:N/AC:H/PR:N/UI:N/S:C/C:H/I:H/A:H/E:H/RL:U/RC:C)</v>
      </c>
      <c r="H194" s="87"/>
      <c r="I194" s="88"/>
      <c r="J194" s="89"/>
      <c r="K194" s="89"/>
      <c r="L194" s="85"/>
      <c r="M194" s="85"/>
      <c r="N194" s="85"/>
      <c r="O194" s="85"/>
    </row>
    <row r="195" spans="1:15" x14ac:dyDescent="0.25">
      <c r="A195" s="89">
        <v>17</v>
      </c>
      <c r="B195" s="85" t="s">
        <v>730</v>
      </c>
      <c r="C195" s="85" t="s">
        <v>17</v>
      </c>
      <c r="D195" s="85" t="s">
        <v>17</v>
      </c>
      <c r="E195" s="85" t="s">
        <v>17</v>
      </c>
      <c r="F195"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95" s="82" t="str">
        <f>CVSSv3!$A$4</f>
        <v>Vector de ataque:</v>
      </c>
      <c r="H195" s="84" t="s">
        <v>706</v>
      </c>
      <c r="I195" s="88">
        <f>ROUNDUP((IF((IF(H199=CVSSv3!$C$8,(6.42*(1-((1-(IF(H200=CVSSv3!$C$9,CVSSv3!$C$22,(IF(H200=CVSSv3!$D$9,CVSSv3!$D$22,(IF(H200=CVSSv3!$E$9,CVSSv3!$E$22,"")))))))*(1-(IF(H201=CVSSv3!$C$10,CVSSv3!$C$23,(IF(H201=CVSSv3!$D$10,CVSSv3!$D$23,(IF(H201=CVSSv3!$E$10,CVSSv3!$E$23,"")))))))*(1-(IF(H202=CVSSv3!$C$11,CVSSv3!$C$24,(IF(H202=CVSSv3!$D$11,CVSSv3!$D$24,(IF(H202=CVSSv3!$E$11,CVSSv3!$E$24,"")))))))))),((7.52*((1-((1-(IF(H200=CVSSv3!$C$9,CVSSv3!$C$22,(IF(H200=CVSSv3!$D$9,CVSSv3!$D$22,(IF(H200=CVSSv3!$E$9,CVSSv3!$E$22,"")))))))*(1-(IF(H201=CVSSv3!$C$10,CVSSv3!$C$23,(IF(H201=CVSSv3!$D$10,CVSSv3!$D$23,(IF(H201=CVSSv3!$E$10,CVSSv3!$E$23,"")))))))*(1-(IF(H202=CVSSv3!$C$11,CVSSv3!$C$24,(IF(H202=CVSSv3!$D$11,CVSSv3!$D$24,(IF(H202=CVSSv3!$E$11,CVSSv3!$E$24,"")))))))))-0.029))-(3.25*POWER(((1-((1-(IF(H200=CVSSv3!$C$9,CVSSv3!$C$22,(IF(H200=CVSSv3!$D$9,CVSSv3!$D$22,(IF(H200=CVSSv3!$E$9,CVSSv3!$E$22,"")))))))*(1-(IF(H201=CVSSv3!$C$10,CVSSv3!$C$23,(IF(H201=CVSSv3!$D$10,CVSSv3!$D$23,(IF(H201=CVSSv3!$E$10,CVSSv3!$E$23,"")))))))*(1-(IF(H202=CVSSv3!$C$11,CVSSv3!$C$24,(IF(H202=CVSSv3!$D$11,CVSSv3!$D$24,(IF(H202=CVSSv3!$E$11,CVSSv3!$E$24,"")))))))))-0.02),15)))))&lt;=0,0,(IF(H199=CVSSv3!$C$8,ROUNDUP((MIN((IF(H199=CVSSv3!$C$8,(6.42*(1-((1-(IF(H200=CVSSv3!$C$9,CVSSv3!$C$22,(IF(H200=CVSSv3!$D$9,CVSSv3!$D$22,(IF(H200=CVSSv3!$E$9,CVSSv3!$E$22,"")))))))*(1-(IF(H201=CVSSv3!$C$10,CVSSv3!$C$23,(IF(H201=CVSSv3!$D$10,CVSSv3!$D$23,(IF(H201=CVSSv3!$E$10,CVSSv3!$E$23,"")))))))*(1-(IF(H202=CVSSv3!$C$11,CVSSv3!$C$24,(IF(H202=CVSSv3!$D$11,CVSSv3!$D$24,(IF(H202=CVSSv3!$E$11,CVSSv3!$E$24,"")))))))))),((7.52*((1-((1-(IF(H200=CVSSv3!$C$9,CVSSv3!$C$22,(IF(H200=CVSSv3!$D$9,CVSSv3!$D$22,(IF(H200=CVSSv3!$E$9,CVSSv3!$E$22,"")))))))*(1-(IF(H201=CVSSv3!$C$10,CVSSv3!$C$23,(IF(H201=CVSSv3!$D$10,CVSSv3!$D$23,(IF(H201=CVSSv3!$E$10,CVSSv3!$E$23,"")))))))*(1-(IF(H202=CVSSv3!$C$11,CVSSv3!$C$24,(IF(H202=CVSSv3!$D$11,CVSSv3!$D$24,(IF(H202=CVSSv3!$E$11,CVSSv3!$E$24,"")))))))))-0.029))-(3.25*POWER(((1-((1-(IF(H200=CVSSv3!$C$9,CVSSv3!$C$22,(IF(H200=CVSSv3!$D$9,CVSSv3!$D$22,(IF(H200=CVSSv3!$E$9,CVSSv3!$E$22,"")))))))*(1-(IF(H201=CVSSv3!$C$10,CVSSv3!$C$23,(IF(H201=CVSSv3!$D$10,CVSSv3!$D$23,(IF(H201=CVSSv3!$E$10,CVSSv3!$E$23,"")))))))*(1-(IF(H202=CVSSv3!$C$11,CVSSv3!$C$24,(IF(H202=CVSSv3!$D$11,CVSSv3!$D$24,(IF(H202=CVSSv3!$E$11,CVSSv3!$E$24,"")))))))))-0.02),15)))))+(8.22*(IF(H195=CVSSv3!$C$4,CVSSv3!$C$17,(IF(H195=CVSSv3!$D$4,CVSSv3!$D$17,(IF(H195=CVSSv3!$E$4,CVSSv3!$E$17,(IF(H195=CVSSv3!$F$4,CVSSv3!$F$17,""))))))))*(IF(H196=CVSSv3!$C$5,CVSSv3!$C$18,(IF(H196=CVSSv3!$D$5,CVSSv3!$D$18,""))))*(IF(H197=CVSSv3!$C$6,CVSSv3!$C$19,(IF(H197=CVSSv3!$D$6,(IF(H199=CVSSv3!$D$8,0.68,CVSSv3!$D$19)),(IF(H197=CVSSv3!$E$6,(IF(H199=CVSSv3!$D$8,0.5,CVSSv3!$E$19))))))))*(IF(H198=CVSSv3!$C$7,CVSSv3!$C$20,(IF(H198=CVSSv3!$D$7,CVSSv3!$D$20,""))))),10)),1),ROUNDUP((MIN(1.08*((IF(H199=CVSSv3!$C$8,(6.42*(1-((1-(IF(H200=CVSSv3!$C$9,CVSSv3!$C$22,(IF(H200=CVSSv3!$D$9,CVSSv3!$D$22,(IF(H200=CVSSv3!$E$9,CVSSv3!$E$22,"")))))))*(1-(IF(H201=CVSSv3!$C$10,CVSSv3!$C$23,(IF(H201=CVSSv3!$D$10,CVSSv3!$D$23,(IF(H201=CVSSv3!$E$10,CVSSv3!$E$23,"")))))))*(1-(IF(H202=CVSSv3!$C$11,CVSSv3!$C$24,(IF(H202=CVSSv3!$D$11,CVSSv3!$D$24,(IF(H202=CVSSv3!$E$11,CVSSv3!$E$24,"")))))))))),((7.52*((1-((1-(IF(H200=CVSSv3!$C$9,CVSSv3!$C$22,(IF(H200=CVSSv3!$D$9,CVSSv3!$D$22,(IF(H200=CVSSv3!$E$9,CVSSv3!$E$22,"")))))))*(1-(IF(H201=CVSSv3!$C$10,CVSSv3!$C$23,(IF(H201=CVSSv3!$D$10,CVSSv3!$D$23,(IF(H201=CVSSv3!$E$10,CVSSv3!$E$23,"")))))))*(1-(IF(H202=CVSSv3!$C$11,CVSSv3!$C$24,(IF(H202=CVSSv3!$D$11,CVSSv3!$D$24,(IF(H202=CVSSv3!$E$11,CVSSv3!$E$24,"")))))))))-0.029))-(3.25*POWER(((1-((1-(IF(H200=CVSSv3!$C$9,CVSSv3!$C$22,(IF(H200=CVSSv3!$D$9,CVSSv3!$D$22,(IF(H200=CVSSv3!$E$9,CVSSv3!$E$22,"")))))))*(1-(IF(H201=CVSSv3!$C$10,CVSSv3!$C$23,(IF(H201=CVSSv3!$D$10,CVSSv3!$D$23,(IF(H201=CVSSv3!$E$10,CVSSv3!$E$23,"")))))))*(1-(IF(H202=CVSSv3!$C$11,CVSSv3!$C$24,(IF(H202=CVSSv3!$D$11,CVSSv3!$D$24,(IF(H202=CVSSv3!$E$11,CVSSv3!$E$24,"")))))))))-0.02),15)))))+(8.22*(IF(H195=CVSSv3!$C$4,CVSSv3!$C$17,(IF(H195=CVSSv3!$D$4,CVSSv3!$D$17,(IF(H195=CVSSv3!$E$4,CVSSv3!$E$17,(IF(H195=CVSSv3!$F$4,CVSSv3!$F$17,""))))))))*(IF(H196=CVSSv3!$C$5,CVSSv3!$C$18,(IF(H196=CVSSv3!$D$5,CVSSv3!$D$18,""))))*(IF(H197=CVSSv3!$C$6,CVSSv3!$C$19,(IF(H197=CVSSv3!$D$6,(IF(H199=CVSSv3!$D$8,0.68,CVSSv3!$D$19)),(IF(H197=CVSSv3!$E$6,(IF(H199=CVSSv3!$D$8,0.5,CVSSv3!$E$19))))))))*(IF(H198=CVSSv3!$C$7,CVSSv3!$C$20,(IF(H198=CVSSv3!$D$7,CVSSv3!$D$20,"")))))),10)),1))))*(IF(H203=CVSSv3!$C$12,CVSSv3!$C$25,(IF(H203=CVSSv3!$D$12,CVSSv3!$D$25,(IF(H203=CVSSv3!$E$12,CVSSv3!$E$25,(IF(H203=CVSSv3!$F$12,CVSSv3!$F$25,""))))))))*(IF(H204=CVSSv3!$C$13,CVSSv3!$C$26,(IF(H204=CVSSv3!$D$13,CVSSv3!$D$26,(IF(H204=CVSSv3!$E$13,CVSSv3!$E$26,(IF(H204=CVSSv3!$F$13,CVSSv3!$F$26,""))))))))*(IF(H205=CVSSv3!$C$14,CVSSv3!$C$27,(IF(H205=CVSSv3!$D$14,CVSSv3!$D$27,(IF(H205=CVSSv3!$E$14,CVSSv3!$E$27,""))))))),1)</f>
        <v>9</v>
      </c>
      <c r="J195" s="89">
        <v>0</v>
      </c>
      <c r="K195" s="89">
        <v>0</v>
      </c>
      <c r="L195" s="85" t="s">
        <v>17</v>
      </c>
      <c r="M195" s="85" t="s">
        <v>17</v>
      </c>
      <c r="N195" s="85" t="s">
        <v>707</v>
      </c>
      <c r="O195" s="85" t="s">
        <v>708</v>
      </c>
    </row>
    <row r="196" spans="1:15" x14ac:dyDescent="0.25">
      <c r="A196" s="89"/>
      <c r="B196" s="85"/>
      <c r="C196" s="85"/>
      <c r="D196" s="85"/>
      <c r="E196" s="85"/>
      <c r="F196" s="85"/>
      <c r="G196" s="80" t="str">
        <f>CVSSv3!$A$5</f>
        <v>Complejidad de ataque:</v>
      </c>
      <c r="H196" s="81" t="s">
        <v>709</v>
      </c>
      <c r="I196" s="88"/>
      <c r="J196" s="89"/>
      <c r="K196" s="89"/>
      <c r="L196" s="85"/>
      <c r="M196" s="85"/>
      <c r="N196" s="85"/>
      <c r="O196" s="85"/>
    </row>
    <row r="197" spans="1:15" x14ac:dyDescent="0.25">
      <c r="A197" s="89"/>
      <c r="B197" s="85"/>
      <c r="C197" s="85"/>
      <c r="D197" s="85"/>
      <c r="E197" s="85"/>
      <c r="F197" s="85"/>
      <c r="G197" s="80" t="str">
        <f>CVSSv3!$A$6</f>
        <v>Privilegios requeridos:</v>
      </c>
      <c r="H197" s="81" t="s">
        <v>710</v>
      </c>
      <c r="I197" s="88"/>
      <c r="J197" s="89"/>
      <c r="K197" s="89"/>
      <c r="L197" s="85"/>
      <c r="M197" s="85"/>
      <c r="N197" s="85"/>
      <c r="O197" s="85"/>
    </row>
    <row r="198" spans="1:15" x14ac:dyDescent="0.25">
      <c r="A198" s="89"/>
      <c r="B198" s="85"/>
      <c r="C198" s="85"/>
      <c r="D198" s="85"/>
      <c r="E198" s="85"/>
      <c r="F198" s="85"/>
      <c r="G198" s="80" t="str">
        <f>CVSSv3!$A$7</f>
        <v>Interacción del usuario:</v>
      </c>
      <c r="H198" s="81" t="s">
        <v>711</v>
      </c>
      <c r="I198" s="88"/>
      <c r="J198" s="89"/>
      <c r="K198" s="89"/>
      <c r="L198" s="85"/>
      <c r="M198" s="85"/>
      <c r="N198" s="85"/>
      <c r="O198" s="85"/>
    </row>
    <row r="199" spans="1:15" x14ac:dyDescent="0.25">
      <c r="A199" s="89"/>
      <c r="B199" s="85"/>
      <c r="C199" s="85"/>
      <c r="D199" s="85"/>
      <c r="E199" s="85"/>
      <c r="F199" s="85"/>
      <c r="G199" s="80" t="str">
        <f>CVSSv3!$A$8</f>
        <v>Alcance:</v>
      </c>
      <c r="H199" s="81" t="s">
        <v>712</v>
      </c>
      <c r="I199" s="88"/>
      <c r="J199" s="89"/>
      <c r="K199" s="89"/>
      <c r="L199" s="85"/>
      <c r="M199" s="85"/>
      <c r="N199" s="85"/>
      <c r="O199" s="85"/>
    </row>
    <row r="200" spans="1:15" x14ac:dyDescent="0.25">
      <c r="A200" s="89"/>
      <c r="B200" s="85"/>
      <c r="C200" s="85"/>
      <c r="D200" s="85"/>
      <c r="E200" s="85"/>
      <c r="F200" s="85"/>
      <c r="G200" s="80" t="str">
        <f>CVSSv3!$A$9</f>
        <v>Impacto a la confidencialidad:</v>
      </c>
      <c r="H200" s="81" t="s">
        <v>713</v>
      </c>
      <c r="I200" s="88"/>
      <c r="J200" s="89"/>
      <c r="K200" s="89"/>
      <c r="L200" s="85"/>
      <c r="M200" s="85"/>
      <c r="N200" s="85"/>
      <c r="O200" s="85"/>
    </row>
    <row r="201" spans="1:15" x14ac:dyDescent="0.25">
      <c r="A201" s="89"/>
      <c r="B201" s="85"/>
      <c r="C201" s="85"/>
      <c r="D201" s="85"/>
      <c r="E201" s="85"/>
      <c r="F201" s="85"/>
      <c r="G201" s="80" t="str">
        <f>CVSSv3!$A$10</f>
        <v>Impacto a la integridad:</v>
      </c>
      <c r="H201" s="81" t="s">
        <v>713</v>
      </c>
      <c r="I201" s="88"/>
      <c r="J201" s="89"/>
      <c r="K201" s="89"/>
      <c r="L201" s="85"/>
      <c r="M201" s="85"/>
      <c r="N201" s="85"/>
      <c r="O201" s="85"/>
    </row>
    <row r="202" spans="1:15" x14ac:dyDescent="0.25">
      <c r="A202" s="89"/>
      <c r="B202" s="85"/>
      <c r="C202" s="85"/>
      <c r="D202" s="85"/>
      <c r="E202" s="85"/>
      <c r="F202" s="85"/>
      <c r="G202" s="80" t="str">
        <f>CVSSv3!$A$11</f>
        <v>Impacto a la disponibilidad:</v>
      </c>
      <c r="H202" s="81" t="s">
        <v>713</v>
      </c>
      <c r="I202" s="88"/>
      <c r="J202" s="89"/>
      <c r="K202" s="89"/>
      <c r="L202" s="85"/>
      <c r="M202" s="85"/>
      <c r="N202" s="85"/>
      <c r="O202" s="85"/>
    </row>
    <row r="203" spans="1:15" x14ac:dyDescent="0.25">
      <c r="A203" s="89"/>
      <c r="B203" s="85"/>
      <c r="C203" s="85"/>
      <c r="D203" s="85"/>
      <c r="E203" s="85"/>
      <c r="F203" s="85"/>
      <c r="G203" s="80" t="str">
        <f>CVSSv3!$A$12</f>
        <v>Explotabilidad:</v>
      </c>
      <c r="H203" s="81" t="s">
        <v>709</v>
      </c>
      <c r="I203" s="88"/>
      <c r="J203" s="89"/>
      <c r="K203" s="89"/>
      <c r="L203" s="85"/>
      <c r="M203" s="85"/>
      <c r="N203" s="85"/>
      <c r="O203" s="85"/>
    </row>
    <row r="204" spans="1:15" x14ac:dyDescent="0.25">
      <c r="A204" s="89"/>
      <c r="B204" s="85"/>
      <c r="C204" s="85"/>
      <c r="D204" s="85"/>
      <c r="E204" s="85"/>
      <c r="F204" s="85"/>
      <c r="G204" s="80" t="str">
        <f>CVSSv3!$A$13</f>
        <v>Nivel de resolución:</v>
      </c>
      <c r="H204" s="81" t="s">
        <v>714</v>
      </c>
      <c r="I204" s="88"/>
      <c r="J204" s="89"/>
      <c r="K204" s="89"/>
      <c r="L204" s="85"/>
      <c r="M204" s="85"/>
      <c r="N204" s="85"/>
      <c r="O204" s="85"/>
    </row>
    <row r="205" spans="1:15" x14ac:dyDescent="0.25">
      <c r="A205" s="89"/>
      <c r="B205" s="85"/>
      <c r="C205" s="85"/>
      <c r="D205" s="85"/>
      <c r="E205" s="85"/>
      <c r="F205" s="85"/>
      <c r="G205" s="80" t="str">
        <f>CVSSv3!$A$14</f>
        <v>Nivel de confianza</v>
      </c>
      <c r="H205" s="81" t="s">
        <v>715</v>
      </c>
      <c r="I205" s="88"/>
      <c r="J205" s="89"/>
      <c r="K205" s="89"/>
      <c r="L205" s="85"/>
      <c r="M205" s="85"/>
      <c r="N205" s="85"/>
      <c r="O205" s="85"/>
    </row>
    <row r="206" spans="1:15" x14ac:dyDescent="0.25">
      <c r="A206" s="89"/>
      <c r="B206" s="85"/>
      <c r="C206" s="85"/>
      <c r="D206" s="85"/>
      <c r="E206" s="85"/>
      <c r="F206" s="85"/>
      <c r="G206" s="86" t="str">
        <f>"("&amp;CVSSv3!$B$4&amp;":"&amp;IF(H195=CVSSv3!$C$4,CVSSv3!$C$30,IF(H195=CVSSv3!$D$4,CVSSv3!$D$30,IF(H195=CVSSv3!$E$4,CVSSv3!$E$30,IF(H195=CVSSv3!$F$4,CVSSv3!$F$30,""))))&amp;"/"&amp;CVSSv3!$B$5&amp;":"&amp;IF(H196=CVSSv3!$C$5,CVSSv3!$C$31,IF(H196=CVSSv3!$D$5,CVSSv3!$D$31,""))&amp;"/"&amp;CVSSv3!$B$6&amp;":"&amp;IF(H197=CVSSv3!$C$6,CVSSv3!$C$32,IF(H197=CVSSv3!$D$6,CVSSv3!$D$32,IF(H197=CVSSv3!$E$6,CVSSv3!$E$32,"")))&amp;"/"&amp;CVSSv3!$B$7&amp;":"&amp;IF(H198=CVSSv3!$C$7,CVSSv3!$C$33,IF(H198=CVSSv3!$D$7,CVSSv3!$D$33,""))&amp;"/"&amp;CVSSv3!$B$8&amp;":"&amp;IF(H199=CVSSv3!$C$8,CVSSv3!$C$34,IF(H199=CVSSv3!$D$8,CVSSv3!$D$34,""))&amp;"/"&amp;CVSSv3!$B$9&amp;":"&amp;IF(H200=CVSSv3!$C$9,CVSSv3!$C$35,IF(H200=CVSSv3!$D$9,CVSSv3!$D$35,IF(H200=CVSSv3!$E$9,CVSSv3!$E$35,"")))&amp;"/"&amp;CVSSv3!$B$10&amp;":"&amp;IF(H201=CVSSv3!$C$10,CVSSv3!$C$36,IF(H201=CVSSv3!$D$10,CVSSv3!$D$36,IF(H201=CVSSv3!$E$10,CVSSv3!$E$36,"")))&amp;"/"&amp;CVSSv3!$B$11&amp;":"&amp;IF(H202=CVSSv3!$C$11,CVSSv3!$C$37,IF(H202=CVSSv3!$D$11,CVSSv3!$D$37,IF(H202=CVSSv3!$E$11,CVSSv3!$E$37,"")))&amp;"/"&amp;CVSSv3!$B$12&amp;":"&amp;IF(H203=CVSSv3!$C$12,CVSSv3!$C$38,IF(H203=CVSSv3!$D$12,CVSSv3!$D$38,IF(H203=CVSSv3!$E$12,CVSSv3!$E$38,IF(H203=CVSSv3!$F$12,CVSSv3!$F$38,""))))&amp;"/"&amp;CVSSv3!$B$13&amp;":"&amp;IF(H204=CVSSv3!$C$13,CVSSv3!$C$39,IF(H204=CVSSv3!$D$13,CVSSv3!$D$39,IF(H204=CVSSv3!$E$13,CVSSv3!$E$39,IF(H204=CVSSv3!$F$13,CVSSv3!$F$39,""))))&amp;"/"&amp;CVSSv3!$B$14&amp;":"&amp;IF(H205=CVSSv3!$C$14,CVSSv3!$C$40,IF(H205=CVSSv3!$D$14,CVSSv3!$D$40,IF(H205=CVSSv3!$E$14,CVSSv3!$E$40,"")))&amp;")"</f>
        <v>(AV:N/AC:H/PR:N/UI:N/S:C/C:H/I:H/A:H/E:H/RL:U/RC:C)</v>
      </c>
      <c r="H206" s="87"/>
      <c r="I206" s="88"/>
      <c r="J206" s="89"/>
      <c r="K206" s="89"/>
      <c r="L206" s="85"/>
      <c r="M206" s="85"/>
      <c r="N206" s="85"/>
      <c r="O206" s="85"/>
    </row>
    <row r="207" spans="1:15" x14ac:dyDescent="0.25">
      <c r="A207" s="89">
        <v>18</v>
      </c>
      <c r="B207" s="85" t="s">
        <v>731</v>
      </c>
      <c r="C207" s="85" t="s">
        <v>17</v>
      </c>
      <c r="D207" s="85" t="s">
        <v>17</v>
      </c>
      <c r="E207" s="85" t="s">
        <v>17</v>
      </c>
      <c r="F207"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07" s="82" t="str">
        <f>CVSSv3!$A$4</f>
        <v>Vector de ataque:</v>
      </c>
      <c r="H207" s="84" t="s">
        <v>706</v>
      </c>
      <c r="I207" s="88">
        <f>ROUNDUP((IF((IF(H211=CVSSv3!$C$8,(6.42*(1-((1-(IF(H212=CVSSv3!$C$9,CVSSv3!$C$22,(IF(H212=CVSSv3!$D$9,CVSSv3!$D$22,(IF(H212=CVSSv3!$E$9,CVSSv3!$E$22,"")))))))*(1-(IF(H213=CVSSv3!$C$10,CVSSv3!$C$23,(IF(H213=CVSSv3!$D$10,CVSSv3!$D$23,(IF(H213=CVSSv3!$E$10,CVSSv3!$E$23,"")))))))*(1-(IF(H214=CVSSv3!$C$11,CVSSv3!$C$24,(IF(H214=CVSSv3!$D$11,CVSSv3!$D$24,(IF(H214=CVSSv3!$E$11,CVSSv3!$E$24,"")))))))))),((7.52*((1-((1-(IF(H212=CVSSv3!$C$9,CVSSv3!$C$22,(IF(H212=CVSSv3!$D$9,CVSSv3!$D$22,(IF(H212=CVSSv3!$E$9,CVSSv3!$E$22,"")))))))*(1-(IF(H213=CVSSv3!$C$10,CVSSv3!$C$23,(IF(H213=CVSSv3!$D$10,CVSSv3!$D$23,(IF(H213=CVSSv3!$E$10,CVSSv3!$E$23,"")))))))*(1-(IF(H214=CVSSv3!$C$11,CVSSv3!$C$24,(IF(H214=CVSSv3!$D$11,CVSSv3!$D$24,(IF(H214=CVSSv3!$E$11,CVSSv3!$E$24,"")))))))))-0.029))-(3.25*POWER(((1-((1-(IF(H212=CVSSv3!$C$9,CVSSv3!$C$22,(IF(H212=CVSSv3!$D$9,CVSSv3!$D$22,(IF(H212=CVSSv3!$E$9,CVSSv3!$E$22,"")))))))*(1-(IF(H213=CVSSv3!$C$10,CVSSv3!$C$23,(IF(H213=CVSSv3!$D$10,CVSSv3!$D$23,(IF(H213=CVSSv3!$E$10,CVSSv3!$E$23,"")))))))*(1-(IF(H214=CVSSv3!$C$11,CVSSv3!$C$24,(IF(H214=CVSSv3!$D$11,CVSSv3!$D$24,(IF(H214=CVSSv3!$E$11,CVSSv3!$E$24,"")))))))))-0.02),15)))))&lt;=0,0,(IF(H211=CVSSv3!$C$8,ROUNDUP((MIN((IF(H211=CVSSv3!$C$8,(6.42*(1-((1-(IF(H212=CVSSv3!$C$9,CVSSv3!$C$22,(IF(H212=CVSSv3!$D$9,CVSSv3!$D$22,(IF(H212=CVSSv3!$E$9,CVSSv3!$E$22,"")))))))*(1-(IF(H213=CVSSv3!$C$10,CVSSv3!$C$23,(IF(H213=CVSSv3!$D$10,CVSSv3!$D$23,(IF(H213=CVSSv3!$E$10,CVSSv3!$E$23,"")))))))*(1-(IF(H214=CVSSv3!$C$11,CVSSv3!$C$24,(IF(H214=CVSSv3!$D$11,CVSSv3!$D$24,(IF(H214=CVSSv3!$E$11,CVSSv3!$E$24,"")))))))))),((7.52*((1-((1-(IF(H212=CVSSv3!$C$9,CVSSv3!$C$22,(IF(H212=CVSSv3!$D$9,CVSSv3!$D$22,(IF(H212=CVSSv3!$E$9,CVSSv3!$E$22,"")))))))*(1-(IF(H213=CVSSv3!$C$10,CVSSv3!$C$23,(IF(H213=CVSSv3!$D$10,CVSSv3!$D$23,(IF(H213=CVSSv3!$E$10,CVSSv3!$E$23,"")))))))*(1-(IF(H214=CVSSv3!$C$11,CVSSv3!$C$24,(IF(H214=CVSSv3!$D$11,CVSSv3!$D$24,(IF(H214=CVSSv3!$E$11,CVSSv3!$E$24,"")))))))))-0.029))-(3.25*POWER(((1-((1-(IF(H212=CVSSv3!$C$9,CVSSv3!$C$22,(IF(H212=CVSSv3!$D$9,CVSSv3!$D$22,(IF(H212=CVSSv3!$E$9,CVSSv3!$E$22,"")))))))*(1-(IF(H213=CVSSv3!$C$10,CVSSv3!$C$23,(IF(H213=CVSSv3!$D$10,CVSSv3!$D$23,(IF(H213=CVSSv3!$E$10,CVSSv3!$E$23,"")))))))*(1-(IF(H214=CVSSv3!$C$11,CVSSv3!$C$24,(IF(H214=CVSSv3!$D$11,CVSSv3!$D$24,(IF(H214=CVSSv3!$E$11,CVSSv3!$E$24,"")))))))))-0.02),15)))))+(8.22*(IF(H207=CVSSv3!$C$4,CVSSv3!$C$17,(IF(H207=CVSSv3!$D$4,CVSSv3!$D$17,(IF(H207=CVSSv3!$E$4,CVSSv3!$E$17,(IF(H207=CVSSv3!$F$4,CVSSv3!$F$17,""))))))))*(IF(H208=CVSSv3!$C$5,CVSSv3!$C$18,(IF(H208=CVSSv3!$D$5,CVSSv3!$D$18,""))))*(IF(H209=CVSSv3!$C$6,CVSSv3!$C$19,(IF(H209=CVSSv3!$D$6,(IF(H211=CVSSv3!$D$8,0.68,CVSSv3!$D$19)),(IF(H209=CVSSv3!$E$6,(IF(H211=CVSSv3!$D$8,0.5,CVSSv3!$E$19))))))))*(IF(H210=CVSSv3!$C$7,CVSSv3!$C$20,(IF(H210=CVSSv3!$D$7,CVSSv3!$D$20,""))))),10)),1),ROUNDUP((MIN(1.08*((IF(H211=CVSSv3!$C$8,(6.42*(1-((1-(IF(H212=CVSSv3!$C$9,CVSSv3!$C$22,(IF(H212=CVSSv3!$D$9,CVSSv3!$D$22,(IF(H212=CVSSv3!$E$9,CVSSv3!$E$22,"")))))))*(1-(IF(H213=CVSSv3!$C$10,CVSSv3!$C$23,(IF(H213=CVSSv3!$D$10,CVSSv3!$D$23,(IF(H213=CVSSv3!$E$10,CVSSv3!$E$23,"")))))))*(1-(IF(H214=CVSSv3!$C$11,CVSSv3!$C$24,(IF(H214=CVSSv3!$D$11,CVSSv3!$D$24,(IF(H214=CVSSv3!$E$11,CVSSv3!$E$24,"")))))))))),((7.52*((1-((1-(IF(H212=CVSSv3!$C$9,CVSSv3!$C$22,(IF(H212=CVSSv3!$D$9,CVSSv3!$D$22,(IF(H212=CVSSv3!$E$9,CVSSv3!$E$22,"")))))))*(1-(IF(H213=CVSSv3!$C$10,CVSSv3!$C$23,(IF(H213=CVSSv3!$D$10,CVSSv3!$D$23,(IF(H213=CVSSv3!$E$10,CVSSv3!$E$23,"")))))))*(1-(IF(H214=CVSSv3!$C$11,CVSSv3!$C$24,(IF(H214=CVSSv3!$D$11,CVSSv3!$D$24,(IF(H214=CVSSv3!$E$11,CVSSv3!$E$24,"")))))))))-0.029))-(3.25*POWER(((1-((1-(IF(H212=CVSSv3!$C$9,CVSSv3!$C$22,(IF(H212=CVSSv3!$D$9,CVSSv3!$D$22,(IF(H212=CVSSv3!$E$9,CVSSv3!$E$22,"")))))))*(1-(IF(H213=CVSSv3!$C$10,CVSSv3!$C$23,(IF(H213=CVSSv3!$D$10,CVSSv3!$D$23,(IF(H213=CVSSv3!$E$10,CVSSv3!$E$23,"")))))))*(1-(IF(H214=CVSSv3!$C$11,CVSSv3!$C$24,(IF(H214=CVSSv3!$D$11,CVSSv3!$D$24,(IF(H214=CVSSv3!$E$11,CVSSv3!$E$24,"")))))))))-0.02),15)))))+(8.22*(IF(H207=CVSSv3!$C$4,CVSSv3!$C$17,(IF(H207=CVSSv3!$D$4,CVSSv3!$D$17,(IF(H207=CVSSv3!$E$4,CVSSv3!$E$17,(IF(H207=CVSSv3!$F$4,CVSSv3!$F$17,""))))))))*(IF(H208=CVSSv3!$C$5,CVSSv3!$C$18,(IF(H208=CVSSv3!$D$5,CVSSv3!$D$18,""))))*(IF(H209=CVSSv3!$C$6,CVSSv3!$C$19,(IF(H209=CVSSv3!$D$6,(IF(H211=CVSSv3!$D$8,0.68,CVSSv3!$D$19)),(IF(H209=CVSSv3!$E$6,(IF(H211=CVSSv3!$D$8,0.5,CVSSv3!$E$19))))))))*(IF(H210=CVSSv3!$C$7,CVSSv3!$C$20,(IF(H210=CVSSv3!$D$7,CVSSv3!$D$20,"")))))),10)),1))))*(IF(H215=CVSSv3!$C$12,CVSSv3!$C$25,(IF(H215=CVSSv3!$D$12,CVSSv3!$D$25,(IF(H215=CVSSv3!$E$12,CVSSv3!$E$25,(IF(H215=CVSSv3!$F$12,CVSSv3!$F$25,""))))))))*(IF(H216=CVSSv3!$C$13,CVSSv3!$C$26,(IF(H216=CVSSv3!$D$13,CVSSv3!$D$26,(IF(H216=CVSSv3!$E$13,CVSSv3!$E$26,(IF(H216=CVSSv3!$F$13,CVSSv3!$F$26,""))))))))*(IF(H217=CVSSv3!$C$14,CVSSv3!$C$27,(IF(H217=CVSSv3!$D$14,CVSSv3!$D$27,(IF(H217=CVSSv3!$E$14,CVSSv3!$E$27,""))))))),1)</f>
        <v>9</v>
      </c>
      <c r="J207" s="89">
        <v>0</v>
      </c>
      <c r="K207" s="89">
        <v>0</v>
      </c>
      <c r="L207" s="85" t="s">
        <v>17</v>
      </c>
      <c r="M207" s="85" t="s">
        <v>17</v>
      </c>
      <c r="N207" s="85" t="s">
        <v>707</v>
      </c>
      <c r="O207" s="85" t="s">
        <v>708</v>
      </c>
    </row>
    <row r="208" spans="1:15" x14ac:dyDescent="0.25">
      <c r="A208" s="89"/>
      <c r="B208" s="85"/>
      <c r="C208" s="85"/>
      <c r="D208" s="85"/>
      <c r="E208" s="85"/>
      <c r="F208" s="85"/>
      <c r="G208" s="80" t="str">
        <f>CVSSv3!$A$5</f>
        <v>Complejidad de ataque:</v>
      </c>
      <c r="H208" s="81" t="s">
        <v>709</v>
      </c>
      <c r="I208" s="88"/>
      <c r="J208" s="89"/>
      <c r="K208" s="89"/>
      <c r="L208" s="85"/>
      <c r="M208" s="85"/>
      <c r="N208" s="85"/>
      <c r="O208" s="85"/>
    </row>
    <row r="209" spans="1:15" x14ac:dyDescent="0.25">
      <c r="A209" s="89"/>
      <c r="B209" s="85"/>
      <c r="C209" s="85"/>
      <c r="D209" s="85"/>
      <c r="E209" s="85"/>
      <c r="F209" s="85"/>
      <c r="G209" s="80" t="str">
        <f>CVSSv3!$A$6</f>
        <v>Privilegios requeridos:</v>
      </c>
      <c r="H209" s="81" t="s">
        <v>710</v>
      </c>
      <c r="I209" s="88"/>
      <c r="J209" s="89"/>
      <c r="K209" s="89"/>
      <c r="L209" s="85"/>
      <c r="M209" s="85"/>
      <c r="N209" s="85"/>
      <c r="O209" s="85"/>
    </row>
    <row r="210" spans="1:15" x14ac:dyDescent="0.25">
      <c r="A210" s="89"/>
      <c r="B210" s="85"/>
      <c r="C210" s="85"/>
      <c r="D210" s="85"/>
      <c r="E210" s="85"/>
      <c r="F210" s="85"/>
      <c r="G210" s="80" t="str">
        <f>CVSSv3!$A$7</f>
        <v>Interacción del usuario:</v>
      </c>
      <c r="H210" s="81" t="s">
        <v>711</v>
      </c>
      <c r="I210" s="88"/>
      <c r="J210" s="89"/>
      <c r="K210" s="89"/>
      <c r="L210" s="85"/>
      <c r="M210" s="85"/>
      <c r="N210" s="85"/>
      <c r="O210" s="85"/>
    </row>
    <row r="211" spans="1:15" x14ac:dyDescent="0.25">
      <c r="A211" s="89"/>
      <c r="B211" s="85"/>
      <c r="C211" s="85"/>
      <c r="D211" s="85"/>
      <c r="E211" s="85"/>
      <c r="F211" s="85"/>
      <c r="G211" s="80" t="str">
        <f>CVSSv3!$A$8</f>
        <v>Alcance:</v>
      </c>
      <c r="H211" s="81" t="s">
        <v>712</v>
      </c>
      <c r="I211" s="88"/>
      <c r="J211" s="89"/>
      <c r="K211" s="89"/>
      <c r="L211" s="85"/>
      <c r="M211" s="85"/>
      <c r="N211" s="85"/>
      <c r="O211" s="85"/>
    </row>
    <row r="212" spans="1:15" x14ac:dyDescent="0.25">
      <c r="A212" s="89"/>
      <c r="B212" s="85"/>
      <c r="C212" s="85"/>
      <c r="D212" s="85"/>
      <c r="E212" s="85"/>
      <c r="F212" s="85"/>
      <c r="G212" s="80" t="str">
        <f>CVSSv3!$A$9</f>
        <v>Impacto a la confidencialidad:</v>
      </c>
      <c r="H212" s="81" t="s">
        <v>713</v>
      </c>
      <c r="I212" s="88"/>
      <c r="J212" s="89"/>
      <c r="K212" s="89"/>
      <c r="L212" s="85"/>
      <c r="M212" s="85"/>
      <c r="N212" s="85"/>
      <c r="O212" s="85"/>
    </row>
    <row r="213" spans="1:15" x14ac:dyDescent="0.25">
      <c r="A213" s="89"/>
      <c r="B213" s="85"/>
      <c r="C213" s="85"/>
      <c r="D213" s="85"/>
      <c r="E213" s="85"/>
      <c r="F213" s="85"/>
      <c r="G213" s="80" t="str">
        <f>CVSSv3!$A$10</f>
        <v>Impacto a la integridad:</v>
      </c>
      <c r="H213" s="81" t="s">
        <v>713</v>
      </c>
      <c r="I213" s="88"/>
      <c r="J213" s="89"/>
      <c r="K213" s="89"/>
      <c r="L213" s="85"/>
      <c r="M213" s="85"/>
      <c r="N213" s="85"/>
      <c r="O213" s="85"/>
    </row>
    <row r="214" spans="1:15" x14ac:dyDescent="0.25">
      <c r="A214" s="89"/>
      <c r="B214" s="85"/>
      <c r="C214" s="85"/>
      <c r="D214" s="85"/>
      <c r="E214" s="85"/>
      <c r="F214" s="85"/>
      <c r="G214" s="80" t="str">
        <f>CVSSv3!$A$11</f>
        <v>Impacto a la disponibilidad:</v>
      </c>
      <c r="H214" s="81" t="s">
        <v>713</v>
      </c>
      <c r="I214" s="88"/>
      <c r="J214" s="89"/>
      <c r="K214" s="89"/>
      <c r="L214" s="85"/>
      <c r="M214" s="85"/>
      <c r="N214" s="85"/>
      <c r="O214" s="85"/>
    </row>
    <row r="215" spans="1:15" x14ac:dyDescent="0.25">
      <c r="A215" s="89"/>
      <c r="B215" s="85"/>
      <c r="C215" s="85"/>
      <c r="D215" s="85"/>
      <c r="E215" s="85"/>
      <c r="F215" s="85"/>
      <c r="G215" s="80" t="str">
        <f>CVSSv3!$A$12</f>
        <v>Explotabilidad:</v>
      </c>
      <c r="H215" s="81" t="s">
        <v>709</v>
      </c>
      <c r="I215" s="88"/>
      <c r="J215" s="89"/>
      <c r="K215" s="89"/>
      <c r="L215" s="85"/>
      <c r="M215" s="85"/>
      <c r="N215" s="85"/>
      <c r="O215" s="85"/>
    </row>
    <row r="216" spans="1:15" x14ac:dyDescent="0.25">
      <c r="A216" s="89"/>
      <c r="B216" s="85"/>
      <c r="C216" s="85"/>
      <c r="D216" s="85"/>
      <c r="E216" s="85"/>
      <c r="F216" s="85"/>
      <c r="G216" s="80" t="str">
        <f>CVSSv3!$A$13</f>
        <v>Nivel de resolución:</v>
      </c>
      <c r="H216" s="81" t="s">
        <v>714</v>
      </c>
      <c r="I216" s="88"/>
      <c r="J216" s="89"/>
      <c r="K216" s="89"/>
      <c r="L216" s="85"/>
      <c r="M216" s="85"/>
      <c r="N216" s="85"/>
      <c r="O216" s="85"/>
    </row>
    <row r="217" spans="1:15" x14ac:dyDescent="0.25">
      <c r="A217" s="89"/>
      <c r="B217" s="85"/>
      <c r="C217" s="85"/>
      <c r="D217" s="85"/>
      <c r="E217" s="85"/>
      <c r="F217" s="85"/>
      <c r="G217" s="80" t="str">
        <f>CVSSv3!$A$14</f>
        <v>Nivel de confianza</v>
      </c>
      <c r="H217" s="81" t="s">
        <v>715</v>
      </c>
      <c r="I217" s="88"/>
      <c r="J217" s="89"/>
      <c r="K217" s="89"/>
      <c r="L217" s="85"/>
      <c r="M217" s="85"/>
      <c r="N217" s="85"/>
      <c r="O217" s="85"/>
    </row>
    <row r="218" spans="1:15" x14ac:dyDescent="0.25">
      <c r="A218" s="89"/>
      <c r="B218" s="85"/>
      <c r="C218" s="85"/>
      <c r="D218" s="85"/>
      <c r="E218" s="85"/>
      <c r="F218" s="85"/>
      <c r="G218" s="86" t="str">
        <f>"("&amp;CVSSv3!$B$4&amp;":"&amp;IF(H207=CVSSv3!$C$4,CVSSv3!$C$30,IF(H207=CVSSv3!$D$4,CVSSv3!$D$30,IF(H207=CVSSv3!$E$4,CVSSv3!$E$30,IF(H207=CVSSv3!$F$4,CVSSv3!$F$30,""))))&amp;"/"&amp;CVSSv3!$B$5&amp;":"&amp;IF(H208=CVSSv3!$C$5,CVSSv3!$C$31,IF(H208=CVSSv3!$D$5,CVSSv3!$D$31,""))&amp;"/"&amp;CVSSv3!$B$6&amp;":"&amp;IF(H209=CVSSv3!$C$6,CVSSv3!$C$32,IF(H209=CVSSv3!$D$6,CVSSv3!$D$32,IF(H209=CVSSv3!$E$6,CVSSv3!$E$32,"")))&amp;"/"&amp;CVSSv3!$B$7&amp;":"&amp;IF(H210=CVSSv3!$C$7,CVSSv3!$C$33,IF(H210=CVSSv3!$D$7,CVSSv3!$D$33,""))&amp;"/"&amp;CVSSv3!$B$8&amp;":"&amp;IF(H211=CVSSv3!$C$8,CVSSv3!$C$34,IF(H211=CVSSv3!$D$8,CVSSv3!$D$34,""))&amp;"/"&amp;CVSSv3!$B$9&amp;":"&amp;IF(H212=CVSSv3!$C$9,CVSSv3!$C$35,IF(H212=CVSSv3!$D$9,CVSSv3!$D$35,IF(H212=CVSSv3!$E$9,CVSSv3!$E$35,"")))&amp;"/"&amp;CVSSv3!$B$10&amp;":"&amp;IF(H213=CVSSv3!$C$10,CVSSv3!$C$36,IF(H213=CVSSv3!$D$10,CVSSv3!$D$36,IF(H213=CVSSv3!$E$10,CVSSv3!$E$36,"")))&amp;"/"&amp;CVSSv3!$B$11&amp;":"&amp;IF(H214=CVSSv3!$C$11,CVSSv3!$C$37,IF(H214=CVSSv3!$D$11,CVSSv3!$D$37,IF(H214=CVSSv3!$E$11,CVSSv3!$E$37,"")))&amp;"/"&amp;CVSSv3!$B$12&amp;":"&amp;IF(H215=CVSSv3!$C$12,CVSSv3!$C$38,IF(H215=CVSSv3!$D$12,CVSSv3!$D$38,IF(H215=CVSSv3!$E$12,CVSSv3!$E$38,IF(H215=CVSSv3!$F$12,CVSSv3!$F$38,""))))&amp;"/"&amp;CVSSv3!$B$13&amp;":"&amp;IF(H216=CVSSv3!$C$13,CVSSv3!$C$39,IF(H216=CVSSv3!$D$13,CVSSv3!$D$39,IF(H216=CVSSv3!$E$13,CVSSv3!$E$39,IF(H216=CVSSv3!$F$13,CVSSv3!$F$39,""))))&amp;"/"&amp;CVSSv3!$B$14&amp;":"&amp;IF(H217=CVSSv3!$C$14,CVSSv3!$C$40,IF(H217=CVSSv3!$D$14,CVSSv3!$D$40,IF(H217=CVSSv3!$E$14,CVSSv3!$E$40,"")))&amp;")"</f>
        <v>(AV:N/AC:H/PR:N/UI:N/S:C/C:H/I:H/A:H/E:H/RL:U/RC:C)</v>
      </c>
      <c r="H218" s="87"/>
      <c r="I218" s="88"/>
      <c r="J218" s="89"/>
      <c r="K218" s="89"/>
      <c r="L218" s="85"/>
      <c r="M218" s="85"/>
      <c r="N218" s="85"/>
      <c r="O218" s="85"/>
    </row>
    <row r="219" spans="1:15" x14ac:dyDescent="0.25">
      <c r="A219" s="89">
        <v>19</v>
      </c>
      <c r="B219" s="85" t="s">
        <v>732</v>
      </c>
      <c r="C219" s="85" t="s">
        <v>17</v>
      </c>
      <c r="D219" s="85" t="s">
        <v>17</v>
      </c>
      <c r="E219" s="85" t="s">
        <v>17</v>
      </c>
      <c r="F219"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19" s="82" t="str">
        <f>CVSSv3!$A$4</f>
        <v>Vector de ataque:</v>
      </c>
      <c r="H219" s="84" t="s">
        <v>706</v>
      </c>
      <c r="I219" s="88">
        <f>ROUNDUP((IF((IF(H223=CVSSv3!$C$8,(6.42*(1-((1-(IF(H224=CVSSv3!$C$9,CVSSv3!$C$22,(IF(H224=CVSSv3!$D$9,CVSSv3!$D$22,(IF(H224=CVSSv3!$E$9,CVSSv3!$E$22,"")))))))*(1-(IF(H225=CVSSv3!$C$10,CVSSv3!$C$23,(IF(H225=CVSSv3!$D$10,CVSSv3!$D$23,(IF(H225=CVSSv3!$E$10,CVSSv3!$E$23,"")))))))*(1-(IF(H226=CVSSv3!$C$11,CVSSv3!$C$24,(IF(H226=CVSSv3!$D$11,CVSSv3!$D$24,(IF(H226=CVSSv3!$E$11,CVSSv3!$E$24,"")))))))))),((7.52*((1-((1-(IF(H224=CVSSv3!$C$9,CVSSv3!$C$22,(IF(H224=CVSSv3!$D$9,CVSSv3!$D$22,(IF(H224=CVSSv3!$E$9,CVSSv3!$E$22,"")))))))*(1-(IF(H225=CVSSv3!$C$10,CVSSv3!$C$23,(IF(H225=CVSSv3!$D$10,CVSSv3!$D$23,(IF(H225=CVSSv3!$E$10,CVSSv3!$E$23,"")))))))*(1-(IF(H226=CVSSv3!$C$11,CVSSv3!$C$24,(IF(H226=CVSSv3!$D$11,CVSSv3!$D$24,(IF(H226=CVSSv3!$E$11,CVSSv3!$E$24,"")))))))))-0.029))-(3.25*POWER(((1-((1-(IF(H224=CVSSv3!$C$9,CVSSv3!$C$22,(IF(H224=CVSSv3!$D$9,CVSSv3!$D$22,(IF(H224=CVSSv3!$E$9,CVSSv3!$E$22,"")))))))*(1-(IF(H225=CVSSv3!$C$10,CVSSv3!$C$23,(IF(H225=CVSSv3!$D$10,CVSSv3!$D$23,(IF(H225=CVSSv3!$E$10,CVSSv3!$E$23,"")))))))*(1-(IF(H226=CVSSv3!$C$11,CVSSv3!$C$24,(IF(H226=CVSSv3!$D$11,CVSSv3!$D$24,(IF(H226=CVSSv3!$E$11,CVSSv3!$E$24,"")))))))))-0.02),15)))))&lt;=0,0,(IF(H223=CVSSv3!$C$8,ROUNDUP((MIN((IF(H223=CVSSv3!$C$8,(6.42*(1-((1-(IF(H224=CVSSv3!$C$9,CVSSv3!$C$22,(IF(H224=CVSSv3!$D$9,CVSSv3!$D$22,(IF(H224=CVSSv3!$E$9,CVSSv3!$E$22,"")))))))*(1-(IF(H225=CVSSv3!$C$10,CVSSv3!$C$23,(IF(H225=CVSSv3!$D$10,CVSSv3!$D$23,(IF(H225=CVSSv3!$E$10,CVSSv3!$E$23,"")))))))*(1-(IF(H226=CVSSv3!$C$11,CVSSv3!$C$24,(IF(H226=CVSSv3!$D$11,CVSSv3!$D$24,(IF(H226=CVSSv3!$E$11,CVSSv3!$E$24,"")))))))))),((7.52*((1-((1-(IF(H224=CVSSv3!$C$9,CVSSv3!$C$22,(IF(H224=CVSSv3!$D$9,CVSSv3!$D$22,(IF(H224=CVSSv3!$E$9,CVSSv3!$E$22,"")))))))*(1-(IF(H225=CVSSv3!$C$10,CVSSv3!$C$23,(IF(H225=CVSSv3!$D$10,CVSSv3!$D$23,(IF(H225=CVSSv3!$E$10,CVSSv3!$E$23,"")))))))*(1-(IF(H226=CVSSv3!$C$11,CVSSv3!$C$24,(IF(H226=CVSSv3!$D$11,CVSSv3!$D$24,(IF(H226=CVSSv3!$E$11,CVSSv3!$E$24,"")))))))))-0.029))-(3.25*POWER(((1-((1-(IF(H224=CVSSv3!$C$9,CVSSv3!$C$22,(IF(H224=CVSSv3!$D$9,CVSSv3!$D$22,(IF(H224=CVSSv3!$E$9,CVSSv3!$E$22,"")))))))*(1-(IF(H225=CVSSv3!$C$10,CVSSv3!$C$23,(IF(H225=CVSSv3!$D$10,CVSSv3!$D$23,(IF(H225=CVSSv3!$E$10,CVSSv3!$E$23,"")))))))*(1-(IF(H226=CVSSv3!$C$11,CVSSv3!$C$24,(IF(H226=CVSSv3!$D$11,CVSSv3!$D$24,(IF(H226=CVSSv3!$E$11,CVSSv3!$E$24,"")))))))))-0.02),15)))))+(8.22*(IF(H219=CVSSv3!$C$4,CVSSv3!$C$17,(IF(H219=CVSSv3!$D$4,CVSSv3!$D$17,(IF(H219=CVSSv3!$E$4,CVSSv3!$E$17,(IF(H219=CVSSv3!$F$4,CVSSv3!$F$17,""))))))))*(IF(H220=CVSSv3!$C$5,CVSSv3!$C$18,(IF(H220=CVSSv3!$D$5,CVSSv3!$D$18,""))))*(IF(H221=CVSSv3!$C$6,CVSSv3!$C$19,(IF(H221=CVSSv3!$D$6,(IF(H223=CVSSv3!$D$8,0.68,CVSSv3!$D$19)),(IF(H221=CVSSv3!$E$6,(IF(H223=CVSSv3!$D$8,0.5,CVSSv3!$E$19))))))))*(IF(H222=CVSSv3!$C$7,CVSSv3!$C$20,(IF(H222=CVSSv3!$D$7,CVSSv3!$D$20,""))))),10)),1),ROUNDUP((MIN(1.08*((IF(H223=CVSSv3!$C$8,(6.42*(1-((1-(IF(H224=CVSSv3!$C$9,CVSSv3!$C$22,(IF(H224=CVSSv3!$D$9,CVSSv3!$D$22,(IF(H224=CVSSv3!$E$9,CVSSv3!$E$22,"")))))))*(1-(IF(H225=CVSSv3!$C$10,CVSSv3!$C$23,(IF(H225=CVSSv3!$D$10,CVSSv3!$D$23,(IF(H225=CVSSv3!$E$10,CVSSv3!$E$23,"")))))))*(1-(IF(H226=CVSSv3!$C$11,CVSSv3!$C$24,(IF(H226=CVSSv3!$D$11,CVSSv3!$D$24,(IF(H226=CVSSv3!$E$11,CVSSv3!$E$24,"")))))))))),((7.52*((1-((1-(IF(H224=CVSSv3!$C$9,CVSSv3!$C$22,(IF(H224=CVSSv3!$D$9,CVSSv3!$D$22,(IF(H224=CVSSv3!$E$9,CVSSv3!$E$22,"")))))))*(1-(IF(H225=CVSSv3!$C$10,CVSSv3!$C$23,(IF(H225=CVSSv3!$D$10,CVSSv3!$D$23,(IF(H225=CVSSv3!$E$10,CVSSv3!$E$23,"")))))))*(1-(IF(H226=CVSSv3!$C$11,CVSSv3!$C$24,(IF(H226=CVSSv3!$D$11,CVSSv3!$D$24,(IF(H226=CVSSv3!$E$11,CVSSv3!$E$24,"")))))))))-0.029))-(3.25*POWER(((1-((1-(IF(H224=CVSSv3!$C$9,CVSSv3!$C$22,(IF(H224=CVSSv3!$D$9,CVSSv3!$D$22,(IF(H224=CVSSv3!$E$9,CVSSv3!$E$22,"")))))))*(1-(IF(H225=CVSSv3!$C$10,CVSSv3!$C$23,(IF(H225=CVSSv3!$D$10,CVSSv3!$D$23,(IF(H225=CVSSv3!$E$10,CVSSv3!$E$23,"")))))))*(1-(IF(H226=CVSSv3!$C$11,CVSSv3!$C$24,(IF(H226=CVSSv3!$D$11,CVSSv3!$D$24,(IF(H226=CVSSv3!$E$11,CVSSv3!$E$24,"")))))))))-0.02),15)))))+(8.22*(IF(H219=CVSSv3!$C$4,CVSSv3!$C$17,(IF(H219=CVSSv3!$D$4,CVSSv3!$D$17,(IF(H219=CVSSv3!$E$4,CVSSv3!$E$17,(IF(H219=CVSSv3!$F$4,CVSSv3!$F$17,""))))))))*(IF(H220=CVSSv3!$C$5,CVSSv3!$C$18,(IF(H220=CVSSv3!$D$5,CVSSv3!$D$18,""))))*(IF(H221=CVSSv3!$C$6,CVSSv3!$C$19,(IF(H221=CVSSv3!$D$6,(IF(H223=CVSSv3!$D$8,0.68,CVSSv3!$D$19)),(IF(H221=CVSSv3!$E$6,(IF(H223=CVSSv3!$D$8,0.5,CVSSv3!$E$19))))))))*(IF(H222=CVSSv3!$C$7,CVSSv3!$C$20,(IF(H222=CVSSv3!$D$7,CVSSv3!$D$20,"")))))),10)),1))))*(IF(H227=CVSSv3!$C$12,CVSSv3!$C$25,(IF(H227=CVSSv3!$D$12,CVSSv3!$D$25,(IF(H227=CVSSv3!$E$12,CVSSv3!$E$25,(IF(H227=CVSSv3!$F$12,CVSSv3!$F$25,""))))))))*(IF(H228=CVSSv3!$C$13,CVSSv3!$C$26,(IF(H228=CVSSv3!$D$13,CVSSv3!$D$26,(IF(H228=CVSSv3!$E$13,CVSSv3!$E$26,(IF(H228=CVSSv3!$F$13,CVSSv3!$F$26,""))))))))*(IF(H229=CVSSv3!$C$14,CVSSv3!$C$27,(IF(H229=CVSSv3!$D$14,CVSSv3!$D$27,(IF(H229=CVSSv3!$E$14,CVSSv3!$E$27,""))))))),1)</f>
        <v>9</v>
      </c>
      <c r="J219" s="89">
        <v>0</v>
      </c>
      <c r="K219" s="89">
        <v>0</v>
      </c>
      <c r="L219" s="85" t="s">
        <v>17</v>
      </c>
      <c r="M219" s="85" t="s">
        <v>17</v>
      </c>
      <c r="N219" s="85" t="s">
        <v>707</v>
      </c>
      <c r="O219" s="85" t="s">
        <v>708</v>
      </c>
    </row>
    <row r="220" spans="1:15" x14ac:dyDescent="0.25">
      <c r="A220" s="89"/>
      <c r="B220" s="85"/>
      <c r="C220" s="85"/>
      <c r="D220" s="85"/>
      <c r="E220" s="85"/>
      <c r="F220" s="85"/>
      <c r="G220" s="80" t="str">
        <f>CVSSv3!$A$5</f>
        <v>Complejidad de ataque:</v>
      </c>
      <c r="H220" s="81" t="s">
        <v>709</v>
      </c>
      <c r="I220" s="88"/>
      <c r="J220" s="89"/>
      <c r="K220" s="89"/>
      <c r="L220" s="85"/>
      <c r="M220" s="85"/>
      <c r="N220" s="85"/>
      <c r="O220" s="85"/>
    </row>
    <row r="221" spans="1:15" x14ac:dyDescent="0.25">
      <c r="A221" s="89"/>
      <c r="B221" s="85"/>
      <c r="C221" s="85"/>
      <c r="D221" s="85"/>
      <c r="E221" s="85"/>
      <c r="F221" s="85"/>
      <c r="G221" s="80" t="str">
        <f>CVSSv3!$A$6</f>
        <v>Privilegios requeridos:</v>
      </c>
      <c r="H221" s="81" t="s">
        <v>710</v>
      </c>
      <c r="I221" s="88"/>
      <c r="J221" s="89"/>
      <c r="K221" s="89"/>
      <c r="L221" s="85"/>
      <c r="M221" s="85"/>
      <c r="N221" s="85"/>
      <c r="O221" s="85"/>
    </row>
    <row r="222" spans="1:15" x14ac:dyDescent="0.25">
      <c r="A222" s="89"/>
      <c r="B222" s="85"/>
      <c r="C222" s="85"/>
      <c r="D222" s="85"/>
      <c r="E222" s="85"/>
      <c r="F222" s="85"/>
      <c r="G222" s="80" t="str">
        <f>CVSSv3!$A$7</f>
        <v>Interacción del usuario:</v>
      </c>
      <c r="H222" s="81" t="s">
        <v>711</v>
      </c>
      <c r="I222" s="88"/>
      <c r="J222" s="89"/>
      <c r="K222" s="89"/>
      <c r="L222" s="85"/>
      <c r="M222" s="85"/>
      <c r="N222" s="85"/>
      <c r="O222" s="85"/>
    </row>
    <row r="223" spans="1:15" x14ac:dyDescent="0.25">
      <c r="A223" s="89"/>
      <c r="B223" s="85"/>
      <c r="C223" s="85"/>
      <c r="D223" s="85"/>
      <c r="E223" s="85"/>
      <c r="F223" s="85"/>
      <c r="G223" s="80" t="str">
        <f>CVSSv3!$A$8</f>
        <v>Alcance:</v>
      </c>
      <c r="H223" s="81" t="s">
        <v>712</v>
      </c>
      <c r="I223" s="88"/>
      <c r="J223" s="89"/>
      <c r="K223" s="89"/>
      <c r="L223" s="85"/>
      <c r="M223" s="85"/>
      <c r="N223" s="85"/>
      <c r="O223" s="85"/>
    </row>
    <row r="224" spans="1:15" x14ac:dyDescent="0.25">
      <c r="A224" s="89"/>
      <c r="B224" s="85"/>
      <c r="C224" s="85"/>
      <c r="D224" s="85"/>
      <c r="E224" s="85"/>
      <c r="F224" s="85"/>
      <c r="G224" s="80" t="str">
        <f>CVSSv3!$A$9</f>
        <v>Impacto a la confidencialidad:</v>
      </c>
      <c r="H224" s="81" t="s">
        <v>713</v>
      </c>
      <c r="I224" s="88"/>
      <c r="J224" s="89"/>
      <c r="K224" s="89"/>
      <c r="L224" s="85"/>
      <c r="M224" s="85"/>
      <c r="N224" s="85"/>
      <c r="O224" s="85"/>
    </row>
    <row r="225" spans="1:15" x14ac:dyDescent="0.25">
      <c r="A225" s="89"/>
      <c r="B225" s="85"/>
      <c r="C225" s="85"/>
      <c r="D225" s="85"/>
      <c r="E225" s="85"/>
      <c r="F225" s="85"/>
      <c r="G225" s="80" t="str">
        <f>CVSSv3!$A$10</f>
        <v>Impacto a la integridad:</v>
      </c>
      <c r="H225" s="81" t="s">
        <v>713</v>
      </c>
      <c r="I225" s="88"/>
      <c r="J225" s="89"/>
      <c r="K225" s="89"/>
      <c r="L225" s="85"/>
      <c r="M225" s="85"/>
      <c r="N225" s="85"/>
      <c r="O225" s="85"/>
    </row>
    <row r="226" spans="1:15" x14ac:dyDescent="0.25">
      <c r="A226" s="89"/>
      <c r="B226" s="85"/>
      <c r="C226" s="85"/>
      <c r="D226" s="85"/>
      <c r="E226" s="85"/>
      <c r="F226" s="85"/>
      <c r="G226" s="80" t="str">
        <f>CVSSv3!$A$11</f>
        <v>Impacto a la disponibilidad:</v>
      </c>
      <c r="H226" s="81" t="s">
        <v>713</v>
      </c>
      <c r="I226" s="88"/>
      <c r="J226" s="89"/>
      <c r="K226" s="89"/>
      <c r="L226" s="85"/>
      <c r="M226" s="85"/>
      <c r="N226" s="85"/>
      <c r="O226" s="85"/>
    </row>
    <row r="227" spans="1:15" x14ac:dyDescent="0.25">
      <c r="A227" s="89"/>
      <c r="B227" s="85"/>
      <c r="C227" s="85"/>
      <c r="D227" s="85"/>
      <c r="E227" s="85"/>
      <c r="F227" s="85"/>
      <c r="G227" s="80" t="str">
        <f>CVSSv3!$A$12</f>
        <v>Explotabilidad:</v>
      </c>
      <c r="H227" s="81" t="s">
        <v>709</v>
      </c>
      <c r="I227" s="88"/>
      <c r="J227" s="89"/>
      <c r="K227" s="89"/>
      <c r="L227" s="85"/>
      <c r="M227" s="85"/>
      <c r="N227" s="85"/>
      <c r="O227" s="85"/>
    </row>
    <row r="228" spans="1:15" x14ac:dyDescent="0.25">
      <c r="A228" s="89"/>
      <c r="B228" s="85"/>
      <c r="C228" s="85"/>
      <c r="D228" s="85"/>
      <c r="E228" s="85"/>
      <c r="F228" s="85"/>
      <c r="G228" s="80" t="str">
        <f>CVSSv3!$A$13</f>
        <v>Nivel de resolución:</v>
      </c>
      <c r="H228" s="81" t="s">
        <v>714</v>
      </c>
      <c r="I228" s="88"/>
      <c r="J228" s="89"/>
      <c r="K228" s="89"/>
      <c r="L228" s="85"/>
      <c r="M228" s="85"/>
      <c r="N228" s="85"/>
      <c r="O228" s="85"/>
    </row>
    <row r="229" spans="1:15" x14ac:dyDescent="0.25">
      <c r="A229" s="89"/>
      <c r="B229" s="85"/>
      <c r="C229" s="85"/>
      <c r="D229" s="85"/>
      <c r="E229" s="85"/>
      <c r="F229" s="85"/>
      <c r="G229" s="80" t="str">
        <f>CVSSv3!$A$14</f>
        <v>Nivel de confianza</v>
      </c>
      <c r="H229" s="81" t="s">
        <v>715</v>
      </c>
      <c r="I229" s="88"/>
      <c r="J229" s="89"/>
      <c r="K229" s="89"/>
      <c r="L229" s="85"/>
      <c r="M229" s="85"/>
      <c r="N229" s="85"/>
      <c r="O229" s="85"/>
    </row>
    <row r="230" spans="1:15" x14ac:dyDescent="0.25">
      <c r="A230" s="89"/>
      <c r="B230" s="85"/>
      <c r="C230" s="85"/>
      <c r="D230" s="85"/>
      <c r="E230" s="85"/>
      <c r="F230" s="85"/>
      <c r="G230" s="86" t="str">
        <f>"("&amp;CVSSv3!$B$4&amp;":"&amp;IF(H219=CVSSv3!$C$4,CVSSv3!$C$30,IF(H219=CVSSv3!$D$4,CVSSv3!$D$30,IF(H219=CVSSv3!$E$4,CVSSv3!$E$30,IF(H219=CVSSv3!$F$4,CVSSv3!$F$30,""))))&amp;"/"&amp;CVSSv3!$B$5&amp;":"&amp;IF(H220=CVSSv3!$C$5,CVSSv3!$C$31,IF(H220=CVSSv3!$D$5,CVSSv3!$D$31,""))&amp;"/"&amp;CVSSv3!$B$6&amp;":"&amp;IF(H221=CVSSv3!$C$6,CVSSv3!$C$32,IF(H221=CVSSv3!$D$6,CVSSv3!$D$32,IF(H221=CVSSv3!$E$6,CVSSv3!$E$32,"")))&amp;"/"&amp;CVSSv3!$B$7&amp;":"&amp;IF(H222=CVSSv3!$C$7,CVSSv3!$C$33,IF(H222=CVSSv3!$D$7,CVSSv3!$D$33,""))&amp;"/"&amp;CVSSv3!$B$8&amp;":"&amp;IF(H223=CVSSv3!$C$8,CVSSv3!$C$34,IF(H223=CVSSv3!$D$8,CVSSv3!$D$34,""))&amp;"/"&amp;CVSSv3!$B$9&amp;":"&amp;IF(H224=CVSSv3!$C$9,CVSSv3!$C$35,IF(H224=CVSSv3!$D$9,CVSSv3!$D$35,IF(H224=CVSSv3!$E$9,CVSSv3!$E$35,"")))&amp;"/"&amp;CVSSv3!$B$10&amp;":"&amp;IF(H225=CVSSv3!$C$10,CVSSv3!$C$36,IF(H225=CVSSv3!$D$10,CVSSv3!$D$36,IF(H225=CVSSv3!$E$10,CVSSv3!$E$36,"")))&amp;"/"&amp;CVSSv3!$B$11&amp;":"&amp;IF(H226=CVSSv3!$C$11,CVSSv3!$C$37,IF(H226=CVSSv3!$D$11,CVSSv3!$D$37,IF(H226=CVSSv3!$E$11,CVSSv3!$E$37,"")))&amp;"/"&amp;CVSSv3!$B$12&amp;":"&amp;IF(H227=CVSSv3!$C$12,CVSSv3!$C$38,IF(H227=CVSSv3!$D$12,CVSSv3!$D$38,IF(H227=CVSSv3!$E$12,CVSSv3!$E$38,IF(H227=CVSSv3!$F$12,CVSSv3!$F$38,""))))&amp;"/"&amp;CVSSv3!$B$13&amp;":"&amp;IF(H228=CVSSv3!$C$13,CVSSv3!$C$39,IF(H228=CVSSv3!$D$13,CVSSv3!$D$39,IF(H228=CVSSv3!$E$13,CVSSv3!$E$39,IF(H228=CVSSv3!$F$13,CVSSv3!$F$39,""))))&amp;"/"&amp;CVSSv3!$B$14&amp;":"&amp;IF(H229=CVSSv3!$C$14,CVSSv3!$C$40,IF(H229=CVSSv3!$D$14,CVSSv3!$D$40,IF(H229=CVSSv3!$E$14,CVSSv3!$E$40,"")))&amp;")"</f>
        <v>(AV:N/AC:H/PR:N/UI:N/S:C/C:H/I:H/A:H/E:H/RL:U/RC:C)</v>
      </c>
      <c r="H230" s="87"/>
      <c r="I230" s="88"/>
      <c r="J230" s="89"/>
      <c r="K230" s="89"/>
      <c r="L230" s="85"/>
      <c r="M230" s="85"/>
      <c r="N230" s="85"/>
      <c r="O230" s="85"/>
    </row>
    <row r="231" spans="1:15" x14ac:dyDescent="0.25">
      <c r="A231" s="89">
        <v>20</v>
      </c>
      <c r="B231" s="85" t="s">
        <v>733</v>
      </c>
      <c r="C231" s="85" t="s">
        <v>17</v>
      </c>
      <c r="D231" s="85" t="s">
        <v>17</v>
      </c>
      <c r="E231" s="85" t="s">
        <v>17</v>
      </c>
      <c r="F231"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31" s="82" t="str">
        <f>CVSSv3!$A$4</f>
        <v>Vector de ataque:</v>
      </c>
      <c r="H231" s="84" t="s">
        <v>706</v>
      </c>
      <c r="I231" s="88">
        <f>ROUNDUP((IF((IF(H235=CVSSv3!$C$8,(6.42*(1-((1-(IF(H236=CVSSv3!$C$9,CVSSv3!$C$22,(IF(H236=CVSSv3!$D$9,CVSSv3!$D$22,(IF(H236=CVSSv3!$E$9,CVSSv3!$E$22,"")))))))*(1-(IF(H237=CVSSv3!$C$10,CVSSv3!$C$23,(IF(H237=CVSSv3!$D$10,CVSSv3!$D$23,(IF(H237=CVSSv3!$E$10,CVSSv3!$E$23,"")))))))*(1-(IF(H238=CVSSv3!$C$11,CVSSv3!$C$24,(IF(H238=CVSSv3!$D$11,CVSSv3!$D$24,(IF(H238=CVSSv3!$E$11,CVSSv3!$E$24,"")))))))))),((7.52*((1-((1-(IF(H236=CVSSv3!$C$9,CVSSv3!$C$22,(IF(H236=CVSSv3!$D$9,CVSSv3!$D$22,(IF(H236=CVSSv3!$E$9,CVSSv3!$E$22,"")))))))*(1-(IF(H237=CVSSv3!$C$10,CVSSv3!$C$23,(IF(H237=CVSSv3!$D$10,CVSSv3!$D$23,(IF(H237=CVSSv3!$E$10,CVSSv3!$E$23,"")))))))*(1-(IF(H238=CVSSv3!$C$11,CVSSv3!$C$24,(IF(H238=CVSSv3!$D$11,CVSSv3!$D$24,(IF(H238=CVSSv3!$E$11,CVSSv3!$E$24,"")))))))))-0.029))-(3.25*POWER(((1-((1-(IF(H236=CVSSv3!$C$9,CVSSv3!$C$22,(IF(H236=CVSSv3!$D$9,CVSSv3!$D$22,(IF(H236=CVSSv3!$E$9,CVSSv3!$E$22,"")))))))*(1-(IF(H237=CVSSv3!$C$10,CVSSv3!$C$23,(IF(H237=CVSSv3!$D$10,CVSSv3!$D$23,(IF(H237=CVSSv3!$E$10,CVSSv3!$E$23,"")))))))*(1-(IF(H238=CVSSv3!$C$11,CVSSv3!$C$24,(IF(H238=CVSSv3!$D$11,CVSSv3!$D$24,(IF(H238=CVSSv3!$E$11,CVSSv3!$E$24,"")))))))))-0.02),15)))))&lt;=0,0,(IF(H235=CVSSv3!$C$8,ROUNDUP((MIN((IF(H235=CVSSv3!$C$8,(6.42*(1-((1-(IF(H236=CVSSv3!$C$9,CVSSv3!$C$22,(IF(H236=CVSSv3!$D$9,CVSSv3!$D$22,(IF(H236=CVSSv3!$E$9,CVSSv3!$E$22,"")))))))*(1-(IF(H237=CVSSv3!$C$10,CVSSv3!$C$23,(IF(H237=CVSSv3!$D$10,CVSSv3!$D$23,(IF(H237=CVSSv3!$E$10,CVSSv3!$E$23,"")))))))*(1-(IF(H238=CVSSv3!$C$11,CVSSv3!$C$24,(IF(H238=CVSSv3!$D$11,CVSSv3!$D$24,(IF(H238=CVSSv3!$E$11,CVSSv3!$E$24,"")))))))))),((7.52*((1-((1-(IF(H236=CVSSv3!$C$9,CVSSv3!$C$22,(IF(H236=CVSSv3!$D$9,CVSSv3!$D$22,(IF(H236=CVSSv3!$E$9,CVSSv3!$E$22,"")))))))*(1-(IF(H237=CVSSv3!$C$10,CVSSv3!$C$23,(IF(H237=CVSSv3!$D$10,CVSSv3!$D$23,(IF(H237=CVSSv3!$E$10,CVSSv3!$E$23,"")))))))*(1-(IF(H238=CVSSv3!$C$11,CVSSv3!$C$24,(IF(H238=CVSSv3!$D$11,CVSSv3!$D$24,(IF(H238=CVSSv3!$E$11,CVSSv3!$E$24,"")))))))))-0.029))-(3.25*POWER(((1-((1-(IF(H236=CVSSv3!$C$9,CVSSv3!$C$22,(IF(H236=CVSSv3!$D$9,CVSSv3!$D$22,(IF(H236=CVSSv3!$E$9,CVSSv3!$E$22,"")))))))*(1-(IF(H237=CVSSv3!$C$10,CVSSv3!$C$23,(IF(H237=CVSSv3!$D$10,CVSSv3!$D$23,(IF(H237=CVSSv3!$E$10,CVSSv3!$E$23,"")))))))*(1-(IF(H238=CVSSv3!$C$11,CVSSv3!$C$24,(IF(H238=CVSSv3!$D$11,CVSSv3!$D$24,(IF(H238=CVSSv3!$E$11,CVSSv3!$E$24,"")))))))))-0.02),15)))))+(8.22*(IF(H231=CVSSv3!$C$4,CVSSv3!$C$17,(IF(H231=CVSSv3!$D$4,CVSSv3!$D$17,(IF(H231=CVSSv3!$E$4,CVSSv3!$E$17,(IF(H231=CVSSv3!$F$4,CVSSv3!$F$17,""))))))))*(IF(H232=CVSSv3!$C$5,CVSSv3!$C$18,(IF(H232=CVSSv3!$D$5,CVSSv3!$D$18,""))))*(IF(H233=CVSSv3!$C$6,CVSSv3!$C$19,(IF(H233=CVSSv3!$D$6,(IF(H235=CVSSv3!$D$8,0.68,CVSSv3!$D$19)),(IF(H233=CVSSv3!$E$6,(IF(H235=CVSSv3!$D$8,0.5,CVSSv3!$E$19))))))))*(IF(H234=CVSSv3!$C$7,CVSSv3!$C$20,(IF(H234=CVSSv3!$D$7,CVSSv3!$D$20,""))))),10)),1),ROUNDUP((MIN(1.08*((IF(H235=CVSSv3!$C$8,(6.42*(1-((1-(IF(H236=CVSSv3!$C$9,CVSSv3!$C$22,(IF(H236=CVSSv3!$D$9,CVSSv3!$D$22,(IF(H236=CVSSv3!$E$9,CVSSv3!$E$22,"")))))))*(1-(IF(H237=CVSSv3!$C$10,CVSSv3!$C$23,(IF(H237=CVSSv3!$D$10,CVSSv3!$D$23,(IF(H237=CVSSv3!$E$10,CVSSv3!$E$23,"")))))))*(1-(IF(H238=CVSSv3!$C$11,CVSSv3!$C$24,(IF(H238=CVSSv3!$D$11,CVSSv3!$D$24,(IF(H238=CVSSv3!$E$11,CVSSv3!$E$24,"")))))))))),((7.52*((1-((1-(IF(H236=CVSSv3!$C$9,CVSSv3!$C$22,(IF(H236=CVSSv3!$D$9,CVSSv3!$D$22,(IF(H236=CVSSv3!$E$9,CVSSv3!$E$22,"")))))))*(1-(IF(H237=CVSSv3!$C$10,CVSSv3!$C$23,(IF(H237=CVSSv3!$D$10,CVSSv3!$D$23,(IF(H237=CVSSv3!$E$10,CVSSv3!$E$23,"")))))))*(1-(IF(H238=CVSSv3!$C$11,CVSSv3!$C$24,(IF(H238=CVSSv3!$D$11,CVSSv3!$D$24,(IF(H238=CVSSv3!$E$11,CVSSv3!$E$24,"")))))))))-0.029))-(3.25*POWER(((1-((1-(IF(H236=CVSSv3!$C$9,CVSSv3!$C$22,(IF(H236=CVSSv3!$D$9,CVSSv3!$D$22,(IF(H236=CVSSv3!$E$9,CVSSv3!$E$22,"")))))))*(1-(IF(H237=CVSSv3!$C$10,CVSSv3!$C$23,(IF(H237=CVSSv3!$D$10,CVSSv3!$D$23,(IF(H237=CVSSv3!$E$10,CVSSv3!$E$23,"")))))))*(1-(IF(H238=CVSSv3!$C$11,CVSSv3!$C$24,(IF(H238=CVSSv3!$D$11,CVSSv3!$D$24,(IF(H238=CVSSv3!$E$11,CVSSv3!$E$24,"")))))))))-0.02),15)))))+(8.22*(IF(H231=CVSSv3!$C$4,CVSSv3!$C$17,(IF(H231=CVSSv3!$D$4,CVSSv3!$D$17,(IF(H231=CVSSv3!$E$4,CVSSv3!$E$17,(IF(H231=CVSSv3!$F$4,CVSSv3!$F$17,""))))))))*(IF(H232=CVSSv3!$C$5,CVSSv3!$C$18,(IF(H232=CVSSv3!$D$5,CVSSv3!$D$18,""))))*(IF(H233=CVSSv3!$C$6,CVSSv3!$C$19,(IF(H233=CVSSv3!$D$6,(IF(H235=CVSSv3!$D$8,0.68,CVSSv3!$D$19)),(IF(H233=CVSSv3!$E$6,(IF(H235=CVSSv3!$D$8,0.5,CVSSv3!$E$19))))))))*(IF(H234=CVSSv3!$C$7,CVSSv3!$C$20,(IF(H234=CVSSv3!$D$7,CVSSv3!$D$20,"")))))),10)),1))))*(IF(H239=CVSSv3!$C$12,CVSSv3!$C$25,(IF(H239=CVSSv3!$D$12,CVSSv3!$D$25,(IF(H239=CVSSv3!$E$12,CVSSv3!$E$25,(IF(H239=CVSSv3!$F$12,CVSSv3!$F$25,""))))))))*(IF(H240=CVSSv3!$C$13,CVSSv3!$C$26,(IF(H240=CVSSv3!$D$13,CVSSv3!$D$26,(IF(H240=CVSSv3!$E$13,CVSSv3!$E$26,(IF(H240=CVSSv3!$F$13,CVSSv3!$F$26,""))))))))*(IF(H241=CVSSv3!$C$14,CVSSv3!$C$27,(IF(H241=CVSSv3!$D$14,CVSSv3!$D$27,(IF(H241=CVSSv3!$E$14,CVSSv3!$E$27,""))))))),1)</f>
        <v>9</v>
      </c>
      <c r="J231" s="89">
        <v>0</v>
      </c>
      <c r="K231" s="89">
        <v>0</v>
      </c>
      <c r="L231" s="85" t="s">
        <v>17</v>
      </c>
      <c r="M231" s="85" t="s">
        <v>17</v>
      </c>
      <c r="N231" s="85" t="s">
        <v>707</v>
      </c>
      <c r="O231" s="85" t="s">
        <v>708</v>
      </c>
    </row>
    <row r="232" spans="1:15" x14ac:dyDescent="0.25">
      <c r="A232" s="89"/>
      <c r="B232" s="85"/>
      <c r="C232" s="85"/>
      <c r="D232" s="85"/>
      <c r="E232" s="85"/>
      <c r="F232" s="85"/>
      <c r="G232" s="80" t="str">
        <f>CVSSv3!$A$5</f>
        <v>Complejidad de ataque:</v>
      </c>
      <c r="H232" s="81" t="s">
        <v>709</v>
      </c>
      <c r="I232" s="88"/>
      <c r="J232" s="89"/>
      <c r="K232" s="89"/>
      <c r="L232" s="85"/>
      <c r="M232" s="85"/>
      <c r="N232" s="85"/>
      <c r="O232" s="85"/>
    </row>
    <row r="233" spans="1:15" x14ac:dyDescent="0.25">
      <c r="A233" s="89"/>
      <c r="B233" s="85"/>
      <c r="C233" s="85"/>
      <c r="D233" s="85"/>
      <c r="E233" s="85"/>
      <c r="F233" s="85"/>
      <c r="G233" s="80" t="str">
        <f>CVSSv3!$A$6</f>
        <v>Privilegios requeridos:</v>
      </c>
      <c r="H233" s="81" t="s">
        <v>710</v>
      </c>
      <c r="I233" s="88"/>
      <c r="J233" s="89"/>
      <c r="K233" s="89"/>
      <c r="L233" s="85"/>
      <c r="M233" s="85"/>
      <c r="N233" s="85"/>
      <c r="O233" s="85"/>
    </row>
    <row r="234" spans="1:15" x14ac:dyDescent="0.25">
      <c r="A234" s="89"/>
      <c r="B234" s="85"/>
      <c r="C234" s="85"/>
      <c r="D234" s="85"/>
      <c r="E234" s="85"/>
      <c r="F234" s="85"/>
      <c r="G234" s="80" t="str">
        <f>CVSSv3!$A$7</f>
        <v>Interacción del usuario:</v>
      </c>
      <c r="H234" s="81" t="s">
        <v>711</v>
      </c>
      <c r="I234" s="88"/>
      <c r="J234" s="89"/>
      <c r="K234" s="89"/>
      <c r="L234" s="85"/>
      <c r="M234" s="85"/>
      <c r="N234" s="85"/>
      <c r="O234" s="85"/>
    </row>
    <row r="235" spans="1:15" x14ac:dyDescent="0.25">
      <c r="A235" s="89"/>
      <c r="B235" s="85"/>
      <c r="C235" s="85"/>
      <c r="D235" s="85"/>
      <c r="E235" s="85"/>
      <c r="F235" s="85"/>
      <c r="G235" s="80" t="str">
        <f>CVSSv3!$A$8</f>
        <v>Alcance:</v>
      </c>
      <c r="H235" s="81" t="s">
        <v>712</v>
      </c>
      <c r="I235" s="88"/>
      <c r="J235" s="89"/>
      <c r="K235" s="89"/>
      <c r="L235" s="85"/>
      <c r="M235" s="85"/>
      <c r="N235" s="85"/>
      <c r="O235" s="85"/>
    </row>
    <row r="236" spans="1:15" x14ac:dyDescent="0.25">
      <c r="A236" s="89"/>
      <c r="B236" s="85"/>
      <c r="C236" s="85"/>
      <c r="D236" s="85"/>
      <c r="E236" s="85"/>
      <c r="F236" s="85"/>
      <c r="G236" s="80" t="str">
        <f>CVSSv3!$A$9</f>
        <v>Impacto a la confidencialidad:</v>
      </c>
      <c r="H236" s="81" t="s">
        <v>713</v>
      </c>
      <c r="I236" s="88"/>
      <c r="J236" s="89"/>
      <c r="K236" s="89"/>
      <c r="L236" s="85"/>
      <c r="M236" s="85"/>
      <c r="N236" s="85"/>
      <c r="O236" s="85"/>
    </row>
    <row r="237" spans="1:15" x14ac:dyDescent="0.25">
      <c r="A237" s="89"/>
      <c r="B237" s="85"/>
      <c r="C237" s="85"/>
      <c r="D237" s="85"/>
      <c r="E237" s="85"/>
      <c r="F237" s="85"/>
      <c r="G237" s="80" t="str">
        <f>CVSSv3!$A$10</f>
        <v>Impacto a la integridad:</v>
      </c>
      <c r="H237" s="81" t="s">
        <v>713</v>
      </c>
      <c r="I237" s="88"/>
      <c r="J237" s="89"/>
      <c r="K237" s="89"/>
      <c r="L237" s="85"/>
      <c r="M237" s="85"/>
      <c r="N237" s="85"/>
      <c r="O237" s="85"/>
    </row>
    <row r="238" spans="1:15" x14ac:dyDescent="0.25">
      <c r="A238" s="89"/>
      <c r="B238" s="85"/>
      <c r="C238" s="85"/>
      <c r="D238" s="85"/>
      <c r="E238" s="85"/>
      <c r="F238" s="85"/>
      <c r="G238" s="80" t="str">
        <f>CVSSv3!$A$11</f>
        <v>Impacto a la disponibilidad:</v>
      </c>
      <c r="H238" s="81" t="s">
        <v>713</v>
      </c>
      <c r="I238" s="88"/>
      <c r="J238" s="89"/>
      <c r="K238" s="89"/>
      <c r="L238" s="85"/>
      <c r="M238" s="85"/>
      <c r="N238" s="85"/>
      <c r="O238" s="85"/>
    </row>
    <row r="239" spans="1:15" x14ac:dyDescent="0.25">
      <c r="A239" s="89"/>
      <c r="B239" s="85"/>
      <c r="C239" s="85"/>
      <c r="D239" s="85"/>
      <c r="E239" s="85"/>
      <c r="F239" s="85"/>
      <c r="G239" s="80" t="str">
        <f>CVSSv3!$A$12</f>
        <v>Explotabilidad:</v>
      </c>
      <c r="H239" s="81" t="s">
        <v>709</v>
      </c>
      <c r="I239" s="88"/>
      <c r="J239" s="89"/>
      <c r="K239" s="89"/>
      <c r="L239" s="85"/>
      <c r="M239" s="85"/>
      <c r="N239" s="85"/>
      <c r="O239" s="85"/>
    </row>
    <row r="240" spans="1:15" x14ac:dyDescent="0.25">
      <c r="A240" s="89"/>
      <c r="B240" s="85"/>
      <c r="C240" s="85"/>
      <c r="D240" s="85"/>
      <c r="E240" s="85"/>
      <c r="F240" s="85"/>
      <c r="G240" s="80" t="str">
        <f>CVSSv3!$A$13</f>
        <v>Nivel de resolución:</v>
      </c>
      <c r="H240" s="81" t="s">
        <v>714</v>
      </c>
      <c r="I240" s="88"/>
      <c r="J240" s="89"/>
      <c r="K240" s="89"/>
      <c r="L240" s="85"/>
      <c r="M240" s="85"/>
      <c r="N240" s="85"/>
      <c r="O240" s="85"/>
    </row>
    <row r="241" spans="1:15" x14ac:dyDescent="0.25">
      <c r="A241" s="89"/>
      <c r="B241" s="85"/>
      <c r="C241" s="85"/>
      <c r="D241" s="85"/>
      <c r="E241" s="85"/>
      <c r="F241" s="85"/>
      <c r="G241" s="80" t="str">
        <f>CVSSv3!$A$14</f>
        <v>Nivel de confianza</v>
      </c>
      <c r="H241" s="81" t="s">
        <v>715</v>
      </c>
      <c r="I241" s="88"/>
      <c r="J241" s="89"/>
      <c r="K241" s="89"/>
      <c r="L241" s="85"/>
      <c r="M241" s="85"/>
      <c r="N241" s="85"/>
      <c r="O241" s="85"/>
    </row>
    <row r="242" spans="1:15" x14ac:dyDescent="0.25">
      <c r="A242" s="89"/>
      <c r="B242" s="85"/>
      <c r="C242" s="85"/>
      <c r="D242" s="85"/>
      <c r="E242" s="85"/>
      <c r="F242" s="85"/>
      <c r="G242" s="86" t="str">
        <f>"("&amp;CVSSv3!$B$4&amp;":"&amp;IF(H231=CVSSv3!$C$4,CVSSv3!$C$30,IF(H231=CVSSv3!$D$4,CVSSv3!$D$30,IF(H231=CVSSv3!$E$4,CVSSv3!$E$30,IF(H231=CVSSv3!$F$4,CVSSv3!$F$30,""))))&amp;"/"&amp;CVSSv3!$B$5&amp;":"&amp;IF(H232=CVSSv3!$C$5,CVSSv3!$C$31,IF(H232=CVSSv3!$D$5,CVSSv3!$D$31,""))&amp;"/"&amp;CVSSv3!$B$6&amp;":"&amp;IF(H233=CVSSv3!$C$6,CVSSv3!$C$32,IF(H233=CVSSv3!$D$6,CVSSv3!$D$32,IF(H233=CVSSv3!$E$6,CVSSv3!$E$32,"")))&amp;"/"&amp;CVSSv3!$B$7&amp;":"&amp;IF(H234=CVSSv3!$C$7,CVSSv3!$C$33,IF(H234=CVSSv3!$D$7,CVSSv3!$D$33,""))&amp;"/"&amp;CVSSv3!$B$8&amp;":"&amp;IF(H235=CVSSv3!$C$8,CVSSv3!$C$34,IF(H235=CVSSv3!$D$8,CVSSv3!$D$34,""))&amp;"/"&amp;CVSSv3!$B$9&amp;":"&amp;IF(H236=CVSSv3!$C$9,CVSSv3!$C$35,IF(H236=CVSSv3!$D$9,CVSSv3!$D$35,IF(H236=CVSSv3!$E$9,CVSSv3!$E$35,"")))&amp;"/"&amp;CVSSv3!$B$10&amp;":"&amp;IF(H237=CVSSv3!$C$10,CVSSv3!$C$36,IF(H237=CVSSv3!$D$10,CVSSv3!$D$36,IF(H237=CVSSv3!$E$10,CVSSv3!$E$36,"")))&amp;"/"&amp;CVSSv3!$B$11&amp;":"&amp;IF(H238=CVSSv3!$C$11,CVSSv3!$C$37,IF(H238=CVSSv3!$D$11,CVSSv3!$D$37,IF(H238=CVSSv3!$E$11,CVSSv3!$E$37,"")))&amp;"/"&amp;CVSSv3!$B$12&amp;":"&amp;IF(H239=CVSSv3!$C$12,CVSSv3!$C$38,IF(H239=CVSSv3!$D$12,CVSSv3!$D$38,IF(H239=CVSSv3!$E$12,CVSSv3!$E$38,IF(H239=CVSSv3!$F$12,CVSSv3!$F$38,""))))&amp;"/"&amp;CVSSv3!$B$13&amp;":"&amp;IF(H240=CVSSv3!$C$13,CVSSv3!$C$39,IF(H240=CVSSv3!$D$13,CVSSv3!$D$39,IF(H240=CVSSv3!$E$13,CVSSv3!$E$39,IF(H240=CVSSv3!$F$13,CVSSv3!$F$39,""))))&amp;"/"&amp;CVSSv3!$B$14&amp;":"&amp;IF(H241=CVSSv3!$C$14,CVSSv3!$C$40,IF(H241=CVSSv3!$D$14,CVSSv3!$D$40,IF(H241=CVSSv3!$E$14,CVSSv3!$E$40,"")))&amp;")"</f>
        <v>(AV:N/AC:H/PR:N/UI:N/S:C/C:H/I:H/A:H/E:H/RL:U/RC:C)</v>
      </c>
      <c r="H242" s="87"/>
      <c r="I242" s="88"/>
      <c r="J242" s="89"/>
      <c r="K242" s="89"/>
      <c r="L242" s="85"/>
      <c r="M242" s="85"/>
      <c r="N242" s="85"/>
      <c r="O242" s="85"/>
    </row>
    <row r="243" spans="1:15" x14ac:dyDescent="0.25">
      <c r="A243" s="89">
        <v>21</v>
      </c>
      <c r="B243" s="85" t="s">
        <v>734</v>
      </c>
      <c r="C243" s="85" t="s">
        <v>17</v>
      </c>
      <c r="D243" s="85" t="s">
        <v>17</v>
      </c>
      <c r="E243" s="85" t="s">
        <v>17</v>
      </c>
      <c r="F243"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43" s="82" t="str">
        <f>CVSSv3!$A$4</f>
        <v>Vector de ataque:</v>
      </c>
      <c r="H243" s="84" t="s">
        <v>706</v>
      </c>
      <c r="I243" s="88">
        <f>ROUNDUP((IF((IF(H247=CVSSv3!$C$8,(6.42*(1-((1-(IF(H248=CVSSv3!$C$9,CVSSv3!$C$22,(IF(H248=CVSSv3!$D$9,CVSSv3!$D$22,(IF(H248=CVSSv3!$E$9,CVSSv3!$E$22,"")))))))*(1-(IF(H249=CVSSv3!$C$10,CVSSv3!$C$23,(IF(H249=CVSSv3!$D$10,CVSSv3!$D$23,(IF(H249=CVSSv3!$E$10,CVSSv3!$E$23,"")))))))*(1-(IF(H250=CVSSv3!$C$11,CVSSv3!$C$24,(IF(H250=CVSSv3!$D$11,CVSSv3!$D$24,(IF(H250=CVSSv3!$E$11,CVSSv3!$E$24,"")))))))))),((7.52*((1-((1-(IF(H248=CVSSv3!$C$9,CVSSv3!$C$22,(IF(H248=CVSSv3!$D$9,CVSSv3!$D$22,(IF(H248=CVSSv3!$E$9,CVSSv3!$E$22,"")))))))*(1-(IF(H249=CVSSv3!$C$10,CVSSv3!$C$23,(IF(H249=CVSSv3!$D$10,CVSSv3!$D$23,(IF(H249=CVSSv3!$E$10,CVSSv3!$E$23,"")))))))*(1-(IF(H250=CVSSv3!$C$11,CVSSv3!$C$24,(IF(H250=CVSSv3!$D$11,CVSSv3!$D$24,(IF(H250=CVSSv3!$E$11,CVSSv3!$E$24,"")))))))))-0.029))-(3.25*POWER(((1-((1-(IF(H248=CVSSv3!$C$9,CVSSv3!$C$22,(IF(H248=CVSSv3!$D$9,CVSSv3!$D$22,(IF(H248=CVSSv3!$E$9,CVSSv3!$E$22,"")))))))*(1-(IF(H249=CVSSv3!$C$10,CVSSv3!$C$23,(IF(H249=CVSSv3!$D$10,CVSSv3!$D$23,(IF(H249=CVSSv3!$E$10,CVSSv3!$E$23,"")))))))*(1-(IF(H250=CVSSv3!$C$11,CVSSv3!$C$24,(IF(H250=CVSSv3!$D$11,CVSSv3!$D$24,(IF(H250=CVSSv3!$E$11,CVSSv3!$E$24,"")))))))))-0.02),15)))))&lt;=0,0,(IF(H247=CVSSv3!$C$8,ROUNDUP((MIN((IF(H247=CVSSv3!$C$8,(6.42*(1-((1-(IF(H248=CVSSv3!$C$9,CVSSv3!$C$22,(IF(H248=CVSSv3!$D$9,CVSSv3!$D$22,(IF(H248=CVSSv3!$E$9,CVSSv3!$E$22,"")))))))*(1-(IF(H249=CVSSv3!$C$10,CVSSv3!$C$23,(IF(H249=CVSSv3!$D$10,CVSSv3!$D$23,(IF(H249=CVSSv3!$E$10,CVSSv3!$E$23,"")))))))*(1-(IF(H250=CVSSv3!$C$11,CVSSv3!$C$24,(IF(H250=CVSSv3!$D$11,CVSSv3!$D$24,(IF(H250=CVSSv3!$E$11,CVSSv3!$E$24,"")))))))))),((7.52*((1-((1-(IF(H248=CVSSv3!$C$9,CVSSv3!$C$22,(IF(H248=CVSSv3!$D$9,CVSSv3!$D$22,(IF(H248=CVSSv3!$E$9,CVSSv3!$E$22,"")))))))*(1-(IF(H249=CVSSv3!$C$10,CVSSv3!$C$23,(IF(H249=CVSSv3!$D$10,CVSSv3!$D$23,(IF(H249=CVSSv3!$E$10,CVSSv3!$E$23,"")))))))*(1-(IF(H250=CVSSv3!$C$11,CVSSv3!$C$24,(IF(H250=CVSSv3!$D$11,CVSSv3!$D$24,(IF(H250=CVSSv3!$E$11,CVSSv3!$E$24,"")))))))))-0.029))-(3.25*POWER(((1-((1-(IF(H248=CVSSv3!$C$9,CVSSv3!$C$22,(IF(H248=CVSSv3!$D$9,CVSSv3!$D$22,(IF(H248=CVSSv3!$E$9,CVSSv3!$E$22,"")))))))*(1-(IF(H249=CVSSv3!$C$10,CVSSv3!$C$23,(IF(H249=CVSSv3!$D$10,CVSSv3!$D$23,(IF(H249=CVSSv3!$E$10,CVSSv3!$E$23,"")))))))*(1-(IF(H250=CVSSv3!$C$11,CVSSv3!$C$24,(IF(H250=CVSSv3!$D$11,CVSSv3!$D$24,(IF(H250=CVSSv3!$E$11,CVSSv3!$E$24,"")))))))))-0.02),15)))))+(8.22*(IF(H243=CVSSv3!$C$4,CVSSv3!$C$17,(IF(H243=CVSSv3!$D$4,CVSSv3!$D$17,(IF(H243=CVSSv3!$E$4,CVSSv3!$E$17,(IF(H243=CVSSv3!$F$4,CVSSv3!$F$17,""))))))))*(IF(H244=CVSSv3!$C$5,CVSSv3!$C$18,(IF(H244=CVSSv3!$D$5,CVSSv3!$D$18,""))))*(IF(H245=CVSSv3!$C$6,CVSSv3!$C$19,(IF(H245=CVSSv3!$D$6,(IF(H247=CVSSv3!$D$8,0.68,CVSSv3!$D$19)),(IF(H245=CVSSv3!$E$6,(IF(H247=CVSSv3!$D$8,0.5,CVSSv3!$E$19))))))))*(IF(H246=CVSSv3!$C$7,CVSSv3!$C$20,(IF(H246=CVSSv3!$D$7,CVSSv3!$D$20,""))))),10)),1),ROUNDUP((MIN(1.08*((IF(H247=CVSSv3!$C$8,(6.42*(1-((1-(IF(H248=CVSSv3!$C$9,CVSSv3!$C$22,(IF(H248=CVSSv3!$D$9,CVSSv3!$D$22,(IF(H248=CVSSv3!$E$9,CVSSv3!$E$22,"")))))))*(1-(IF(H249=CVSSv3!$C$10,CVSSv3!$C$23,(IF(H249=CVSSv3!$D$10,CVSSv3!$D$23,(IF(H249=CVSSv3!$E$10,CVSSv3!$E$23,"")))))))*(1-(IF(H250=CVSSv3!$C$11,CVSSv3!$C$24,(IF(H250=CVSSv3!$D$11,CVSSv3!$D$24,(IF(H250=CVSSv3!$E$11,CVSSv3!$E$24,"")))))))))),((7.52*((1-((1-(IF(H248=CVSSv3!$C$9,CVSSv3!$C$22,(IF(H248=CVSSv3!$D$9,CVSSv3!$D$22,(IF(H248=CVSSv3!$E$9,CVSSv3!$E$22,"")))))))*(1-(IF(H249=CVSSv3!$C$10,CVSSv3!$C$23,(IF(H249=CVSSv3!$D$10,CVSSv3!$D$23,(IF(H249=CVSSv3!$E$10,CVSSv3!$E$23,"")))))))*(1-(IF(H250=CVSSv3!$C$11,CVSSv3!$C$24,(IF(H250=CVSSv3!$D$11,CVSSv3!$D$24,(IF(H250=CVSSv3!$E$11,CVSSv3!$E$24,"")))))))))-0.029))-(3.25*POWER(((1-((1-(IF(H248=CVSSv3!$C$9,CVSSv3!$C$22,(IF(H248=CVSSv3!$D$9,CVSSv3!$D$22,(IF(H248=CVSSv3!$E$9,CVSSv3!$E$22,"")))))))*(1-(IF(H249=CVSSv3!$C$10,CVSSv3!$C$23,(IF(H249=CVSSv3!$D$10,CVSSv3!$D$23,(IF(H249=CVSSv3!$E$10,CVSSv3!$E$23,"")))))))*(1-(IF(H250=CVSSv3!$C$11,CVSSv3!$C$24,(IF(H250=CVSSv3!$D$11,CVSSv3!$D$24,(IF(H250=CVSSv3!$E$11,CVSSv3!$E$24,"")))))))))-0.02),15)))))+(8.22*(IF(H243=CVSSv3!$C$4,CVSSv3!$C$17,(IF(H243=CVSSv3!$D$4,CVSSv3!$D$17,(IF(H243=CVSSv3!$E$4,CVSSv3!$E$17,(IF(H243=CVSSv3!$F$4,CVSSv3!$F$17,""))))))))*(IF(H244=CVSSv3!$C$5,CVSSv3!$C$18,(IF(H244=CVSSv3!$D$5,CVSSv3!$D$18,""))))*(IF(H245=CVSSv3!$C$6,CVSSv3!$C$19,(IF(H245=CVSSv3!$D$6,(IF(H247=CVSSv3!$D$8,0.68,CVSSv3!$D$19)),(IF(H245=CVSSv3!$E$6,(IF(H247=CVSSv3!$D$8,0.5,CVSSv3!$E$19))))))))*(IF(H246=CVSSv3!$C$7,CVSSv3!$C$20,(IF(H246=CVSSv3!$D$7,CVSSv3!$D$20,"")))))),10)),1))))*(IF(H251=CVSSv3!$C$12,CVSSv3!$C$25,(IF(H251=CVSSv3!$D$12,CVSSv3!$D$25,(IF(H251=CVSSv3!$E$12,CVSSv3!$E$25,(IF(H251=CVSSv3!$F$12,CVSSv3!$F$25,""))))))))*(IF(H252=CVSSv3!$C$13,CVSSv3!$C$26,(IF(H252=CVSSv3!$D$13,CVSSv3!$D$26,(IF(H252=CVSSv3!$E$13,CVSSv3!$E$26,(IF(H252=CVSSv3!$F$13,CVSSv3!$F$26,""))))))))*(IF(H253=CVSSv3!$C$14,CVSSv3!$C$27,(IF(H253=CVSSv3!$D$14,CVSSv3!$D$27,(IF(H253=CVSSv3!$E$14,CVSSv3!$E$27,""))))))),1)</f>
        <v>9</v>
      </c>
      <c r="J243" s="89">
        <v>0</v>
      </c>
      <c r="K243" s="89">
        <v>0</v>
      </c>
      <c r="L243" s="85" t="s">
        <v>17</v>
      </c>
      <c r="M243" s="85" t="s">
        <v>17</v>
      </c>
      <c r="N243" s="85" t="s">
        <v>707</v>
      </c>
      <c r="O243" s="85" t="s">
        <v>708</v>
      </c>
    </row>
    <row r="244" spans="1:15" x14ac:dyDescent="0.25">
      <c r="A244" s="89"/>
      <c r="B244" s="85"/>
      <c r="C244" s="85"/>
      <c r="D244" s="85"/>
      <c r="E244" s="85"/>
      <c r="F244" s="85"/>
      <c r="G244" s="80" t="str">
        <f>CVSSv3!$A$5</f>
        <v>Complejidad de ataque:</v>
      </c>
      <c r="H244" s="81" t="s">
        <v>709</v>
      </c>
      <c r="I244" s="88"/>
      <c r="J244" s="89"/>
      <c r="K244" s="89"/>
      <c r="L244" s="85"/>
      <c r="M244" s="85"/>
      <c r="N244" s="85"/>
      <c r="O244" s="85"/>
    </row>
    <row r="245" spans="1:15" x14ac:dyDescent="0.25">
      <c r="A245" s="89"/>
      <c r="B245" s="85"/>
      <c r="C245" s="85"/>
      <c r="D245" s="85"/>
      <c r="E245" s="85"/>
      <c r="F245" s="85"/>
      <c r="G245" s="80" t="str">
        <f>CVSSv3!$A$6</f>
        <v>Privilegios requeridos:</v>
      </c>
      <c r="H245" s="81" t="s">
        <v>710</v>
      </c>
      <c r="I245" s="88"/>
      <c r="J245" s="89"/>
      <c r="K245" s="89"/>
      <c r="L245" s="85"/>
      <c r="M245" s="85"/>
      <c r="N245" s="85"/>
      <c r="O245" s="85"/>
    </row>
    <row r="246" spans="1:15" x14ac:dyDescent="0.25">
      <c r="A246" s="89"/>
      <c r="B246" s="85"/>
      <c r="C246" s="85"/>
      <c r="D246" s="85"/>
      <c r="E246" s="85"/>
      <c r="F246" s="85"/>
      <c r="G246" s="80" t="str">
        <f>CVSSv3!$A$7</f>
        <v>Interacción del usuario:</v>
      </c>
      <c r="H246" s="81" t="s">
        <v>711</v>
      </c>
      <c r="I246" s="88"/>
      <c r="J246" s="89"/>
      <c r="K246" s="89"/>
      <c r="L246" s="85"/>
      <c r="M246" s="85"/>
      <c r="N246" s="85"/>
      <c r="O246" s="85"/>
    </row>
    <row r="247" spans="1:15" x14ac:dyDescent="0.25">
      <c r="A247" s="89"/>
      <c r="B247" s="85"/>
      <c r="C247" s="85"/>
      <c r="D247" s="85"/>
      <c r="E247" s="85"/>
      <c r="F247" s="85"/>
      <c r="G247" s="80" t="str">
        <f>CVSSv3!$A$8</f>
        <v>Alcance:</v>
      </c>
      <c r="H247" s="81" t="s">
        <v>712</v>
      </c>
      <c r="I247" s="88"/>
      <c r="J247" s="89"/>
      <c r="K247" s="89"/>
      <c r="L247" s="85"/>
      <c r="M247" s="85"/>
      <c r="N247" s="85"/>
      <c r="O247" s="85"/>
    </row>
    <row r="248" spans="1:15" x14ac:dyDescent="0.25">
      <c r="A248" s="89"/>
      <c r="B248" s="85"/>
      <c r="C248" s="85"/>
      <c r="D248" s="85"/>
      <c r="E248" s="85"/>
      <c r="F248" s="85"/>
      <c r="G248" s="80" t="str">
        <f>CVSSv3!$A$9</f>
        <v>Impacto a la confidencialidad:</v>
      </c>
      <c r="H248" s="81" t="s">
        <v>713</v>
      </c>
      <c r="I248" s="88"/>
      <c r="J248" s="89"/>
      <c r="K248" s="89"/>
      <c r="L248" s="85"/>
      <c r="M248" s="85"/>
      <c r="N248" s="85"/>
      <c r="O248" s="85"/>
    </row>
    <row r="249" spans="1:15" x14ac:dyDescent="0.25">
      <c r="A249" s="89"/>
      <c r="B249" s="85"/>
      <c r="C249" s="85"/>
      <c r="D249" s="85"/>
      <c r="E249" s="85"/>
      <c r="F249" s="85"/>
      <c r="G249" s="80" t="str">
        <f>CVSSv3!$A$10</f>
        <v>Impacto a la integridad:</v>
      </c>
      <c r="H249" s="81" t="s">
        <v>713</v>
      </c>
      <c r="I249" s="88"/>
      <c r="J249" s="89"/>
      <c r="K249" s="89"/>
      <c r="L249" s="85"/>
      <c r="M249" s="85"/>
      <c r="N249" s="85"/>
      <c r="O249" s="85"/>
    </row>
    <row r="250" spans="1:15" x14ac:dyDescent="0.25">
      <c r="A250" s="89"/>
      <c r="B250" s="85"/>
      <c r="C250" s="85"/>
      <c r="D250" s="85"/>
      <c r="E250" s="85"/>
      <c r="F250" s="85"/>
      <c r="G250" s="80" t="str">
        <f>CVSSv3!$A$11</f>
        <v>Impacto a la disponibilidad:</v>
      </c>
      <c r="H250" s="81" t="s">
        <v>713</v>
      </c>
      <c r="I250" s="88"/>
      <c r="J250" s="89"/>
      <c r="K250" s="89"/>
      <c r="L250" s="85"/>
      <c r="M250" s="85"/>
      <c r="N250" s="85"/>
      <c r="O250" s="85"/>
    </row>
    <row r="251" spans="1:15" x14ac:dyDescent="0.25">
      <c r="A251" s="89"/>
      <c r="B251" s="85"/>
      <c r="C251" s="85"/>
      <c r="D251" s="85"/>
      <c r="E251" s="85"/>
      <c r="F251" s="85"/>
      <c r="G251" s="80" t="str">
        <f>CVSSv3!$A$12</f>
        <v>Explotabilidad:</v>
      </c>
      <c r="H251" s="81" t="s">
        <v>709</v>
      </c>
      <c r="I251" s="88"/>
      <c r="J251" s="89"/>
      <c r="K251" s="89"/>
      <c r="L251" s="85"/>
      <c r="M251" s="85"/>
      <c r="N251" s="85"/>
      <c r="O251" s="85"/>
    </row>
    <row r="252" spans="1:15" x14ac:dyDescent="0.25">
      <c r="A252" s="89"/>
      <c r="B252" s="85"/>
      <c r="C252" s="85"/>
      <c r="D252" s="85"/>
      <c r="E252" s="85"/>
      <c r="F252" s="85"/>
      <c r="G252" s="80" t="str">
        <f>CVSSv3!$A$13</f>
        <v>Nivel de resolución:</v>
      </c>
      <c r="H252" s="81" t="s">
        <v>714</v>
      </c>
      <c r="I252" s="88"/>
      <c r="J252" s="89"/>
      <c r="K252" s="89"/>
      <c r="L252" s="85"/>
      <c r="M252" s="85"/>
      <c r="N252" s="85"/>
      <c r="O252" s="85"/>
    </row>
    <row r="253" spans="1:15" x14ac:dyDescent="0.25">
      <c r="A253" s="89"/>
      <c r="B253" s="85"/>
      <c r="C253" s="85"/>
      <c r="D253" s="85"/>
      <c r="E253" s="85"/>
      <c r="F253" s="85"/>
      <c r="G253" s="80" t="str">
        <f>CVSSv3!$A$14</f>
        <v>Nivel de confianza</v>
      </c>
      <c r="H253" s="81" t="s">
        <v>715</v>
      </c>
      <c r="I253" s="88"/>
      <c r="J253" s="89"/>
      <c r="K253" s="89"/>
      <c r="L253" s="85"/>
      <c r="M253" s="85"/>
      <c r="N253" s="85"/>
      <c r="O253" s="85"/>
    </row>
    <row r="254" spans="1:15" x14ac:dyDescent="0.25">
      <c r="A254" s="89"/>
      <c r="B254" s="85"/>
      <c r="C254" s="85"/>
      <c r="D254" s="85"/>
      <c r="E254" s="85"/>
      <c r="F254" s="85"/>
      <c r="G254" s="86" t="str">
        <f>"("&amp;CVSSv3!$B$4&amp;":"&amp;IF(H243=CVSSv3!$C$4,CVSSv3!$C$30,IF(H243=CVSSv3!$D$4,CVSSv3!$D$30,IF(H243=CVSSv3!$E$4,CVSSv3!$E$30,IF(H243=CVSSv3!$F$4,CVSSv3!$F$30,""))))&amp;"/"&amp;CVSSv3!$B$5&amp;":"&amp;IF(H244=CVSSv3!$C$5,CVSSv3!$C$31,IF(H244=CVSSv3!$D$5,CVSSv3!$D$31,""))&amp;"/"&amp;CVSSv3!$B$6&amp;":"&amp;IF(H245=CVSSv3!$C$6,CVSSv3!$C$32,IF(H245=CVSSv3!$D$6,CVSSv3!$D$32,IF(H245=CVSSv3!$E$6,CVSSv3!$E$32,"")))&amp;"/"&amp;CVSSv3!$B$7&amp;":"&amp;IF(H246=CVSSv3!$C$7,CVSSv3!$C$33,IF(H246=CVSSv3!$D$7,CVSSv3!$D$33,""))&amp;"/"&amp;CVSSv3!$B$8&amp;":"&amp;IF(H247=CVSSv3!$C$8,CVSSv3!$C$34,IF(H247=CVSSv3!$D$8,CVSSv3!$D$34,""))&amp;"/"&amp;CVSSv3!$B$9&amp;":"&amp;IF(H248=CVSSv3!$C$9,CVSSv3!$C$35,IF(H248=CVSSv3!$D$9,CVSSv3!$D$35,IF(H248=CVSSv3!$E$9,CVSSv3!$E$35,"")))&amp;"/"&amp;CVSSv3!$B$10&amp;":"&amp;IF(H249=CVSSv3!$C$10,CVSSv3!$C$36,IF(H249=CVSSv3!$D$10,CVSSv3!$D$36,IF(H249=CVSSv3!$E$10,CVSSv3!$E$36,"")))&amp;"/"&amp;CVSSv3!$B$11&amp;":"&amp;IF(H250=CVSSv3!$C$11,CVSSv3!$C$37,IF(H250=CVSSv3!$D$11,CVSSv3!$D$37,IF(H250=CVSSv3!$E$11,CVSSv3!$E$37,"")))&amp;"/"&amp;CVSSv3!$B$12&amp;":"&amp;IF(H251=CVSSv3!$C$12,CVSSv3!$C$38,IF(H251=CVSSv3!$D$12,CVSSv3!$D$38,IF(H251=CVSSv3!$E$12,CVSSv3!$E$38,IF(H251=CVSSv3!$F$12,CVSSv3!$F$38,""))))&amp;"/"&amp;CVSSv3!$B$13&amp;":"&amp;IF(H252=CVSSv3!$C$13,CVSSv3!$C$39,IF(H252=CVSSv3!$D$13,CVSSv3!$D$39,IF(H252=CVSSv3!$E$13,CVSSv3!$E$39,IF(H252=CVSSv3!$F$13,CVSSv3!$F$39,""))))&amp;"/"&amp;CVSSv3!$B$14&amp;":"&amp;IF(H253=CVSSv3!$C$14,CVSSv3!$C$40,IF(H253=CVSSv3!$D$14,CVSSv3!$D$40,IF(H253=CVSSv3!$E$14,CVSSv3!$E$40,"")))&amp;")"</f>
        <v>(AV:N/AC:H/PR:N/UI:N/S:C/C:H/I:H/A:H/E:H/RL:U/RC:C)</v>
      </c>
      <c r="H254" s="87"/>
      <c r="I254" s="88"/>
      <c r="J254" s="89"/>
      <c r="K254" s="89"/>
      <c r="L254" s="85"/>
      <c r="M254" s="85"/>
      <c r="N254" s="85"/>
      <c r="O254" s="85"/>
    </row>
    <row r="255" spans="1:15" x14ac:dyDescent="0.25">
      <c r="A255" s="89">
        <v>22</v>
      </c>
      <c r="B255" s="85" t="s">
        <v>735</v>
      </c>
      <c r="C255" s="85" t="s">
        <v>17</v>
      </c>
      <c r="D255" s="85" t="s">
        <v>17</v>
      </c>
      <c r="E255" s="85" t="s">
        <v>17</v>
      </c>
      <c r="F255"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55" s="82" t="str">
        <f>CVSSv3!$A$4</f>
        <v>Vector de ataque:</v>
      </c>
      <c r="H255" s="84" t="s">
        <v>706</v>
      </c>
      <c r="I255" s="88">
        <f>ROUNDUP((IF((IF(H259=CVSSv3!$C$8,(6.42*(1-((1-(IF(H260=CVSSv3!$C$9,CVSSv3!$C$22,(IF(H260=CVSSv3!$D$9,CVSSv3!$D$22,(IF(H260=CVSSv3!$E$9,CVSSv3!$E$22,"")))))))*(1-(IF(H261=CVSSv3!$C$10,CVSSv3!$C$23,(IF(H261=CVSSv3!$D$10,CVSSv3!$D$23,(IF(H261=CVSSv3!$E$10,CVSSv3!$E$23,"")))))))*(1-(IF(H262=CVSSv3!$C$11,CVSSv3!$C$24,(IF(H262=CVSSv3!$D$11,CVSSv3!$D$24,(IF(H262=CVSSv3!$E$11,CVSSv3!$E$24,"")))))))))),((7.52*((1-((1-(IF(H260=CVSSv3!$C$9,CVSSv3!$C$22,(IF(H260=CVSSv3!$D$9,CVSSv3!$D$22,(IF(H260=CVSSv3!$E$9,CVSSv3!$E$22,"")))))))*(1-(IF(H261=CVSSv3!$C$10,CVSSv3!$C$23,(IF(H261=CVSSv3!$D$10,CVSSv3!$D$23,(IF(H261=CVSSv3!$E$10,CVSSv3!$E$23,"")))))))*(1-(IF(H262=CVSSv3!$C$11,CVSSv3!$C$24,(IF(H262=CVSSv3!$D$11,CVSSv3!$D$24,(IF(H262=CVSSv3!$E$11,CVSSv3!$E$24,"")))))))))-0.029))-(3.25*POWER(((1-((1-(IF(H260=CVSSv3!$C$9,CVSSv3!$C$22,(IF(H260=CVSSv3!$D$9,CVSSv3!$D$22,(IF(H260=CVSSv3!$E$9,CVSSv3!$E$22,"")))))))*(1-(IF(H261=CVSSv3!$C$10,CVSSv3!$C$23,(IF(H261=CVSSv3!$D$10,CVSSv3!$D$23,(IF(H261=CVSSv3!$E$10,CVSSv3!$E$23,"")))))))*(1-(IF(H262=CVSSv3!$C$11,CVSSv3!$C$24,(IF(H262=CVSSv3!$D$11,CVSSv3!$D$24,(IF(H262=CVSSv3!$E$11,CVSSv3!$E$24,"")))))))))-0.02),15)))))&lt;=0,0,(IF(H259=CVSSv3!$C$8,ROUNDUP((MIN((IF(H259=CVSSv3!$C$8,(6.42*(1-((1-(IF(H260=CVSSv3!$C$9,CVSSv3!$C$22,(IF(H260=CVSSv3!$D$9,CVSSv3!$D$22,(IF(H260=CVSSv3!$E$9,CVSSv3!$E$22,"")))))))*(1-(IF(H261=CVSSv3!$C$10,CVSSv3!$C$23,(IF(H261=CVSSv3!$D$10,CVSSv3!$D$23,(IF(H261=CVSSv3!$E$10,CVSSv3!$E$23,"")))))))*(1-(IF(H262=CVSSv3!$C$11,CVSSv3!$C$24,(IF(H262=CVSSv3!$D$11,CVSSv3!$D$24,(IF(H262=CVSSv3!$E$11,CVSSv3!$E$24,"")))))))))),((7.52*((1-((1-(IF(H260=CVSSv3!$C$9,CVSSv3!$C$22,(IF(H260=CVSSv3!$D$9,CVSSv3!$D$22,(IF(H260=CVSSv3!$E$9,CVSSv3!$E$22,"")))))))*(1-(IF(H261=CVSSv3!$C$10,CVSSv3!$C$23,(IF(H261=CVSSv3!$D$10,CVSSv3!$D$23,(IF(H261=CVSSv3!$E$10,CVSSv3!$E$23,"")))))))*(1-(IF(H262=CVSSv3!$C$11,CVSSv3!$C$24,(IF(H262=CVSSv3!$D$11,CVSSv3!$D$24,(IF(H262=CVSSv3!$E$11,CVSSv3!$E$24,"")))))))))-0.029))-(3.25*POWER(((1-((1-(IF(H260=CVSSv3!$C$9,CVSSv3!$C$22,(IF(H260=CVSSv3!$D$9,CVSSv3!$D$22,(IF(H260=CVSSv3!$E$9,CVSSv3!$E$22,"")))))))*(1-(IF(H261=CVSSv3!$C$10,CVSSv3!$C$23,(IF(H261=CVSSv3!$D$10,CVSSv3!$D$23,(IF(H261=CVSSv3!$E$10,CVSSv3!$E$23,"")))))))*(1-(IF(H262=CVSSv3!$C$11,CVSSv3!$C$24,(IF(H262=CVSSv3!$D$11,CVSSv3!$D$24,(IF(H262=CVSSv3!$E$11,CVSSv3!$E$24,"")))))))))-0.02),15)))))+(8.22*(IF(H255=CVSSv3!$C$4,CVSSv3!$C$17,(IF(H255=CVSSv3!$D$4,CVSSv3!$D$17,(IF(H255=CVSSv3!$E$4,CVSSv3!$E$17,(IF(H255=CVSSv3!$F$4,CVSSv3!$F$17,""))))))))*(IF(H256=CVSSv3!$C$5,CVSSv3!$C$18,(IF(H256=CVSSv3!$D$5,CVSSv3!$D$18,""))))*(IF(H257=CVSSv3!$C$6,CVSSv3!$C$19,(IF(H257=CVSSv3!$D$6,(IF(H259=CVSSv3!$D$8,0.68,CVSSv3!$D$19)),(IF(H257=CVSSv3!$E$6,(IF(H259=CVSSv3!$D$8,0.5,CVSSv3!$E$19))))))))*(IF(H258=CVSSv3!$C$7,CVSSv3!$C$20,(IF(H258=CVSSv3!$D$7,CVSSv3!$D$20,""))))),10)),1),ROUNDUP((MIN(1.08*((IF(H259=CVSSv3!$C$8,(6.42*(1-((1-(IF(H260=CVSSv3!$C$9,CVSSv3!$C$22,(IF(H260=CVSSv3!$D$9,CVSSv3!$D$22,(IF(H260=CVSSv3!$E$9,CVSSv3!$E$22,"")))))))*(1-(IF(H261=CVSSv3!$C$10,CVSSv3!$C$23,(IF(H261=CVSSv3!$D$10,CVSSv3!$D$23,(IF(H261=CVSSv3!$E$10,CVSSv3!$E$23,"")))))))*(1-(IF(H262=CVSSv3!$C$11,CVSSv3!$C$24,(IF(H262=CVSSv3!$D$11,CVSSv3!$D$24,(IF(H262=CVSSv3!$E$11,CVSSv3!$E$24,"")))))))))),((7.52*((1-((1-(IF(H260=CVSSv3!$C$9,CVSSv3!$C$22,(IF(H260=CVSSv3!$D$9,CVSSv3!$D$22,(IF(H260=CVSSv3!$E$9,CVSSv3!$E$22,"")))))))*(1-(IF(H261=CVSSv3!$C$10,CVSSv3!$C$23,(IF(H261=CVSSv3!$D$10,CVSSv3!$D$23,(IF(H261=CVSSv3!$E$10,CVSSv3!$E$23,"")))))))*(1-(IF(H262=CVSSv3!$C$11,CVSSv3!$C$24,(IF(H262=CVSSv3!$D$11,CVSSv3!$D$24,(IF(H262=CVSSv3!$E$11,CVSSv3!$E$24,"")))))))))-0.029))-(3.25*POWER(((1-((1-(IF(H260=CVSSv3!$C$9,CVSSv3!$C$22,(IF(H260=CVSSv3!$D$9,CVSSv3!$D$22,(IF(H260=CVSSv3!$E$9,CVSSv3!$E$22,"")))))))*(1-(IF(H261=CVSSv3!$C$10,CVSSv3!$C$23,(IF(H261=CVSSv3!$D$10,CVSSv3!$D$23,(IF(H261=CVSSv3!$E$10,CVSSv3!$E$23,"")))))))*(1-(IF(H262=CVSSv3!$C$11,CVSSv3!$C$24,(IF(H262=CVSSv3!$D$11,CVSSv3!$D$24,(IF(H262=CVSSv3!$E$11,CVSSv3!$E$24,"")))))))))-0.02),15)))))+(8.22*(IF(H255=CVSSv3!$C$4,CVSSv3!$C$17,(IF(H255=CVSSv3!$D$4,CVSSv3!$D$17,(IF(H255=CVSSv3!$E$4,CVSSv3!$E$17,(IF(H255=CVSSv3!$F$4,CVSSv3!$F$17,""))))))))*(IF(H256=CVSSv3!$C$5,CVSSv3!$C$18,(IF(H256=CVSSv3!$D$5,CVSSv3!$D$18,""))))*(IF(H257=CVSSv3!$C$6,CVSSv3!$C$19,(IF(H257=CVSSv3!$D$6,(IF(H259=CVSSv3!$D$8,0.68,CVSSv3!$D$19)),(IF(H257=CVSSv3!$E$6,(IF(H259=CVSSv3!$D$8,0.5,CVSSv3!$E$19))))))))*(IF(H258=CVSSv3!$C$7,CVSSv3!$C$20,(IF(H258=CVSSv3!$D$7,CVSSv3!$D$20,"")))))),10)),1))))*(IF(H263=CVSSv3!$C$12,CVSSv3!$C$25,(IF(H263=CVSSv3!$D$12,CVSSv3!$D$25,(IF(H263=CVSSv3!$E$12,CVSSv3!$E$25,(IF(H263=CVSSv3!$F$12,CVSSv3!$F$25,""))))))))*(IF(H264=CVSSv3!$C$13,CVSSv3!$C$26,(IF(H264=CVSSv3!$D$13,CVSSv3!$D$26,(IF(H264=CVSSv3!$E$13,CVSSv3!$E$26,(IF(H264=CVSSv3!$F$13,CVSSv3!$F$26,""))))))))*(IF(H265=CVSSv3!$C$14,CVSSv3!$C$27,(IF(H265=CVSSv3!$D$14,CVSSv3!$D$27,(IF(H265=CVSSv3!$E$14,CVSSv3!$E$27,""))))))),1)</f>
        <v>9</v>
      </c>
      <c r="J255" s="89">
        <v>0</v>
      </c>
      <c r="K255" s="89">
        <v>0</v>
      </c>
      <c r="L255" s="85" t="s">
        <v>17</v>
      </c>
      <c r="M255" s="85" t="s">
        <v>17</v>
      </c>
      <c r="N255" s="85" t="s">
        <v>707</v>
      </c>
      <c r="O255" s="85" t="s">
        <v>708</v>
      </c>
    </row>
    <row r="256" spans="1:15" x14ac:dyDescent="0.25">
      <c r="A256" s="89"/>
      <c r="B256" s="85"/>
      <c r="C256" s="85"/>
      <c r="D256" s="85"/>
      <c r="E256" s="85"/>
      <c r="F256" s="85"/>
      <c r="G256" s="80" t="str">
        <f>CVSSv3!$A$5</f>
        <v>Complejidad de ataque:</v>
      </c>
      <c r="H256" s="81" t="s">
        <v>709</v>
      </c>
      <c r="I256" s="88"/>
      <c r="J256" s="89"/>
      <c r="K256" s="89"/>
      <c r="L256" s="85"/>
      <c r="M256" s="85"/>
      <c r="N256" s="85"/>
      <c r="O256" s="85"/>
    </row>
    <row r="257" spans="1:15" x14ac:dyDescent="0.25">
      <c r="A257" s="89"/>
      <c r="B257" s="85"/>
      <c r="C257" s="85"/>
      <c r="D257" s="85"/>
      <c r="E257" s="85"/>
      <c r="F257" s="85"/>
      <c r="G257" s="80" t="str">
        <f>CVSSv3!$A$6</f>
        <v>Privilegios requeridos:</v>
      </c>
      <c r="H257" s="81" t="s">
        <v>710</v>
      </c>
      <c r="I257" s="88"/>
      <c r="J257" s="89"/>
      <c r="K257" s="89"/>
      <c r="L257" s="85"/>
      <c r="M257" s="85"/>
      <c r="N257" s="85"/>
      <c r="O257" s="85"/>
    </row>
    <row r="258" spans="1:15" x14ac:dyDescent="0.25">
      <c r="A258" s="89"/>
      <c r="B258" s="85"/>
      <c r="C258" s="85"/>
      <c r="D258" s="85"/>
      <c r="E258" s="85"/>
      <c r="F258" s="85"/>
      <c r="G258" s="80" t="str">
        <f>CVSSv3!$A$7</f>
        <v>Interacción del usuario:</v>
      </c>
      <c r="H258" s="81" t="s">
        <v>711</v>
      </c>
      <c r="I258" s="88"/>
      <c r="J258" s="89"/>
      <c r="K258" s="89"/>
      <c r="L258" s="85"/>
      <c r="M258" s="85"/>
      <c r="N258" s="85"/>
      <c r="O258" s="85"/>
    </row>
    <row r="259" spans="1:15" x14ac:dyDescent="0.25">
      <c r="A259" s="89"/>
      <c r="B259" s="85"/>
      <c r="C259" s="85"/>
      <c r="D259" s="85"/>
      <c r="E259" s="85"/>
      <c r="F259" s="85"/>
      <c r="G259" s="80" t="str">
        <f>CVSSv3!$A$8</f>
        <v>Alcance:</v>
      </c>
      <c r="H259" s="81" t="s">
        <v>712</v>
      </c>
      <c r="I259" s="88"/>
      <c r="J259" s="89"/>
      <c r="K259" s="89"/>
      <c r="L259" s="85"/>
      <c r="M259" s="85"/>
      <c r="N259" s="85"/>
      <c r="O259" s="85"/>
    </row>
    <row r="260" spans="1:15" x14ac:dyDescent="0.25">
      <c r="A260" s="89"/>
      <c r="B260" s="85"/>
      <c r="C260" s="85"/>
      <c r="D260" s="85"/>
      <c r="E260" s="85"/>
      <c r="F260" s="85"/>
      <c r="G260" s="80" t="str">
        <f>CVSSv3!$A$9</f>
        <v>Impacto a la confidencialidad:</v>
      </c>
      <c r="H260" s="81" t="s">
        <v>713</v>
      </c>
      <c r="I260" s="88"/>
      <c r="J260" s="89"/>
      <c r="K260" s="89"/>
      <c r="L260" s="85"/>
      <c r="M260" s="85"/>
      <c r="N260" s="85"/>
      <c r="O260" s="85"/>
    </row>
    <row r="261" spans="1:15" x14ac:dyDescent="0.25">
      <c r="A261" s="89"/>
      <c r="B261" s="85"/>
      <c r="C261" s="85"/>
      <c r="D261" s="85"/>
      <c r="E261" s="85"/>
      <c r="F261" s="85"/>
      <c r="G261" s="80" t="str">
        <f>CVSSv3!$A$10</f>
        <v>Impacto a la integridad:</v>
      </c>
      <c r="H261" s="81" t="s">
        <v>713</v>
      </c>
      <c r="I261" s="88"/>
      <c r="J261" s="89"/>
      <c r="K261" s="89"/>
      <c r="L261" s="85"/>
      <c r="M261" s="85"/>
      <c r="N261" s="85"/>
      <c r="O261" s="85"/>
    </row>
    <row r="262" spans="1:15" x14ac:dyDescent="0.25">
      <c r="A262" s="89"/>
      <c r="B262" s="85"/>
      <c r="C262" s="85"/>
      <c r="D262" s="85"/>
      <c r="E262" s="85"/>
      <c r="F262" s="85"/>
      <c r="G262" s="80" t="str">
        <f>CVSSv3!$A$11</f>
        <v>Impacto a la disponibilidad:</v>
      </c>
      <c r="H262" s="81" t="s">
        <v>713</v>
      </c>
      <c r="I262" s="88"/>
      <c r="J262" s="89"/>
      <c r="K262" s="89"/>
      <c r="L262" s="85"/>
      <c r="M262" s="85"/>
      <c r="N262" s="85"/>
      <c r="O262" s="85"/>
    </row>
    <row r="263" spans="1:15" x14ac:dyDescent="0.25">
      <c r="A263" s="89"/>
      <c r="B263" s="85"/>
      <c r="C263" s="85"/>
      <c r="D263" s="85"/>
      <c r="E263" s="85"/>
      <c r="F263" s="85"/>
      <c r="G263" s="80" t="str">
        <f>CVSSv3!$A$12</f>
        <v>Explotabilidad:</v>
      </c>
      <c r="H263" s="81" t="s">
        <v>709</v>
      </c>
      <c r="I263" s="88"/>
      <c r="J263" s="89"/>
      <c r="K263" s="89"/>
      <c r="L263" s="85"/>
      <c r="M263" s="85"/>
      <c r="N263" s="85"/>
      <c r="O263" s="85"/>
    </row>
    <row r="264" spans="1:15" x14ac:dyDescent="0.25">
      <c r="A264" s="89"/>
      <c r="B264" s="85"/>
      <c r="C264" s="85"/>
      <c r="D264" s="85"/>
      <c r="E264" s="85"/>
      <c r="F264" s="85"/>
      <c r="G264" s="80" t="str">
        <f>CVSSv3!$A$13</f>
        <v>Nivel de resolución:</v>
      </c>
      <c r="H264" s="81" t="s">
        <v>714</v>
      </c>
      <c r="I264" s="88"/>
      <c r="J264" s="89"/>
      <c r="K264" s="89"/>
      <c r="L264" s="85"/>
      <c r="M264" s="85"/>
      <c r="N264" s="85"/>
      <c r="O264" s="85"/>
    </row>
    <row r="265" spans="1:15" x14ac:dyDescent="0.25">
      <c r="A265" s="89"/>
      <c r="B265" s="85"/>
      <c r="C265" s="85"/>
      <c r="D265" s="85"/>
      <c r="E265" s="85"/>
      <c r="F265" s="85"/>
      <c r="G265" s="80" t="str">
        <f>CVSSv3!$A$14</f>
        <v>Nivel de confianza</v>
      </c>
      <c r="H265" s="81" t="s">
        <v>715</v>
      </c>
      <c r="I265" s="88"/>
      <c r="J265" s="89"/>
      <c r="K265" s="89"/>
      <c r="L265" s="85"/>
      <c r="M265" s="85"/>
      <c r="N265" s="85"/>
      <c r="O265" s="85"/>
    </row>
    <row r="266" spans="1:15" x14ac:dyDescent="0.25">
      <c r="A266" s="89"/>
      <c r="B266" s="85"/>
      <c r="C266" s="85"/>
      <c r="D266" s="85"/>
      <c r="E266" s="85"/>
      <c r="F266" s="85"/>
      <c r="G266" s="86" t="str">
        <f>"("&amp;CVSSv3!$B$4&amp;":"&amp;IF(H255=CVSSv3!$C$4,CVSSv3!$C$30,IF(H255=CVSSv3!$D$4,CVSSv3!$D$30,IF(H255=CVSSv3!$E$4,CVSSv3!$E$30,IF(H255=CVSSv3!$F$4,CVSSv3!$F$30,""))))&amp;"/"&amp;CVSSv3!$B$5&amp;":"&amp;IF(H256=CVSSv3!$C$5,CVSSv3!$C$31,IF(H256=CVSSv3!$D$5,CVSSv3!$D$31,""))&amp;"/"&amp;CVSSv3!$B$6&amp;":"&amp;IF(H257=CVSSv3!$C$6,CVSSv3!$C$32,IF(H257=CVSSv3!$D$6,CVSSv3!$D$32,IF(H257=CVSSv3!$E$6,CVSSv3!$E$32,"")))&amp;"/"&amp;CVSSv3!$B$7&amp;":"&amp;IF(H258=CVSSv3!$C$7,CVSSv3!$C$33,IF(H258=CVSSv3!$D$7,CVSSv3!$D$33,""))&amp;"/"&amp;CVSSv3!$B$8&amp;":"&amp;IF(H259=CVSSv3!$C$8,CVSSv3!$C$34,IF(H259=CVSSv3!$D$8,CVSSv3!$D$34,""))&amp;"/"&amp;CVSSv3!$B$9&amp;":"&amp;IF(H260=CVSSv3!$C$9,CVSSv3!$C$35,IF(H260=CVSSv3!$D$9,CVSSv3!$D$35,IF(H260=CVSSv3!$E$9,CVSSv3!$E$35,"")))&amp;"/"&amp;CVSSv3!$B$10&amp;":"&amp;IF(H261=CVSSv3!$C$10,CVSSv3!$C$36,IF(H261=CVSSv3!$D$10,CVSSv3!$D$36,IF(H261=CVSSv3!$E$10,CVSSv3!$E$36,"")))&amp;"/"&amp;CVSSv3!$B$11&amp;":"&amp;IF(H262=CVSSv3!$C$11,CVSSv3!$C$37,IF(H262=CVSSv3!$D$11,CVSSv3!$D$37,IF(H262=CVSSv3!$E$11,CVSSv3!$E$37,"")))&amp;"/"&amp;CVSSv3!$B$12&amp;":"&amp;IF(H263=CVSSv3!$C$12,CVSSv3!$C$38,IF(H263=CVSSv3!$D$12,CVSSv3!$D$38,IF(H263=CVSSv3!$E$12,CVSSv3!$E$38,IF(H263=CVSSv3!$F$12,CVSSv3!$F$38,""))))&amp;"/"&amp;CVSSv3!$B$13&amp;":"&amp;IF(H264=CVSSv3!$C$13,CVSSv3!$C$39,IF(H264=CVSSv3!$D$13,CVSSv3!$D$39,IF(H264=CVSSv3!$E$13,CVSSv3!$E$39,IF(H264=CVSSv3!$F$13,CVSSv3!$F$39,""))))&amp;"/"&amp;CVSSv3!$B$14&amp;":"&amp;IF(H265=CVSSv3!$C$14,CVSSv3!$C$40,IF(H265=CVSSv3!$D$14,CVSSv3!$D$40,IF(H265=CVSSv3!$E$14,CVSSv3!$E$40,"")))&amp;")"</f>
        <v>(AV:N/AC:H/PR:N/UI:N/S:C/C:H/I:H/A:H/E:H/RL:U/RC:C)</v>
      </c>
      <c r="H266" s="87"/>
      <c r="I266" s="88"/>
      <c r="J266" s="89"/>
      <c r="K266" s="89"/>
      <c r="L266" s="85"/>
      <c r="M266" s="85"/>
      <c r="N266" s="85"/>
      <c r="O266" s="85"/>
    </row>
    <row r="267" spans="1:15" x14ac:dyDescent="0.25">
      <c r="A267" s="89">
        <v>23</v>
      </c>
      <c r="B267" s="85" t="s">
        <v>736</v>
      </c>
      <c r="C267" s="85" t="s">
        <v>17</v>
      </c>
      <c r="D267" s="85" t="s">
        <v>17</v>
      </c>
      <c r="E267" s="85" t="s">
        <v>17</v>
      </c>
      <c r="F267"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67" s="82" t="str">
        <f>CVSSv3!$A$4</f>
        <v>Vector de ataque:</v>
      </c>
      <c r="H267" s="84" t="s">
        <v>706</v>
      </c>
      <c r="I267" s="88">
        <f>ROUNDUP((IF((IF(H271=CVSSv3!$C$8,(6.42*(1-((1-(IF(H272=CVSSv3!$C$9,CVSSv3!$C$22,(IF(H272=CVSSv3!$D$9,CVSSv3!$D$22,(IF(H272=CVSSv3!$E$9,CVSSv3!$E$22,"")))))))*(1-(IF(H273=CVSSv3!$C$10,CVSSv3!$C$23,(IF(H273=CVSSv3!$D$10,CVSSv3!$D$23,(IF(H273=CVSSv3!$E$10,CVSSv3!$E$23,"")))))))*(1-(IF(H274=CVSSv3!$C$11,CVSSv3!$C$24,(IF(H274=CVSSv3!$D$11,CVSSv3!$D$24,(IF(H274=CVSSv3!$E$11,CVSSv3!$E$24,"")))))))))),((7.52*((1-((1-(IF(H272=CVSSv3!$C$9,CVSSv3!$C$22,(IF(H272=CVSSv3!$D$9,CVSSv3!$D$22,(IF(H272=CVSSv3!$E$9,CVSSv3!$E$22,"")))))))*(1-(IF(H273=CVSSv3!$C$10,CVSSv3!$C$23,(IF(H273=CVSSv3!$D$10,CVSSv3!$D$23,(IF(H273=CVSSv3!$E$10,CVSSv3!$E$23,"")))))))*(1-(IF(H274=CVSSv3!$C$11,CVSSv3!$C$24,(IF(H274=CVSSv3!$D$11,CVSSv3!$D$24,(IF(H274=CVSSv3!$E$11,CVSSv3!$E$24,"")))))))))-0.029))-(3.25*POWER(((1-((1-(IF(H272=CVSSv3!$C$9,CVSSv3!$C$22,(IF(H272=CVSSv3!$D$9,CVSSv3!$D$22,(IF(H272=CVSSv3!$E$9,CVSSv3!$E$22,"")))))))*(1-(IF(H273=CVSSv3!$C$10,CVSSv3!$C$23,(IF(H273=CVSSv3!$D$10,CVSSv3!$D$23,(IF(H273=CVSSv3!$E$10,CVSSv3!$E$23,"")))))))*(1-(IF(H274=CVSSv3!$C$11,CVSSv3!$C$24,(IF(H274=CVSSv3!$D$11,CVSSv3!$D$24,(IF(H274=CVSSv3!$E$11,CVSSv3!$E$24,"")))))))))-0.02),15)))))&lt;=0,0,(IF(H271=CVSSv3!$C$8,ROUNDUP((MIN((IF(H271=CVSSv3!$C$8,(6.42*(1-((1-(IF(H272=CVSSv3!$C$9,CVSSv3!$C$22,(IF(H272=CVSSv3!$D$9,CVSSv3!$D$22,(IF(H272=CVSSv3!$E$9,CVSSv3!$E$22,"")))))))*(1-(IF(H273=CVSSv3!$C$10,CVSSv3!$C$23,(IF(H273=CVSSv3!$D$10,CVSSv3!$D$23,(IF(H273=CVSSv3!$E$10,CVSSv3!$E$23,"")))))))*(1-(IF(H274=CVSSv3!$C$11,CVSSv3!$C$24,(IF(H274=CVSSv3!$D$11,CVSSv3!$D$24,(IF(H274=CVSSv3!$E$11,CVSSv3!$E$24,"")))))))))),((7.52*((1-((1-(IF(H272=CVSSv3!$C$9,CVSSv3!$C$22,(IF(H272=CVSSv3!$D$9,CVSSv3!$D$22,(IF(H272=CVSSv3!$E$9,CVSSv3!$E$22,"")))))))*(1-(IF(H273=CVSSv3!$C$10,CVSSv3!$C$23,(IF(H273=CVSSv3!$D$10,CVSSv3!$D$23,(IF(H273=CVSSv3!$E$10,CVSSv3!$E$23,"")))))))*(1-(IF(H274=CVSSv3!$C$11,CVSSv3!$C$24,(IF(H274=CVSSv3!$D$11,CVSSv3!$D$24,(IF(H274=CVSSv3!$E$11,CVSSv3!$E$24,"")))))))))-0.029))-(3.25*POWER(((1-((1-(IF(H272=CVSSv3!$C$9,CVSSv3!$C$22,(IF(H272=CVSSv3!$D$9,CVSSv3!$D$22,(IF(H272=CVSSv3!$E$9,CVSSv3!$E$22,"")))))))*(1-(IF(H273=CVSSv3!$C$10,CVSSv3!$C$23,(IF(H273=CVSSv3!$D$10,CVSSv3!$D$23,(IF(H273=CVSSv3!$E$10,CVSSv3!$E$23,"")))))))*(1-(IF(H274=CVSSv3!$C$11,CVSSv3!$C$24,(IF(H274=CVSSv3!$D$11,CVSSv3!$D$24,(IF(H274=CVSSv3!$E$11,CVSSv3!$E$24,"")))))))))-0.02),15)))))+(8.22*(IF(H267=CVSSv3!$C$4,CVSSv3!$C$17,(IF(H267=CVSSv3!$D$4,CVSSv3!$D$17,(IF(H267=CVSSv3!$E$4,CVSSv3!$E$17,(IF(H267=CVSSv3!$F$4,CVSSv3!$F$17,""))))))))*(IF(H268=CVSSv3!$C$5,CVSSv3!$C$18,(IF(H268=CVSSv3!$D$5,CVSSv3!$D$18,""))))*(IF(H269=CVSSv3!$C$6,CVSSv3!$C$19,(IF(H269=CVSSv3!$D$6,(IF(H271=CVSSv3!$D$8,0.68,CVSSv3!$D$19)),(IF(H269=CVSSv3!$E$6,(IF(H271=CVSSv3!$D$8,0.5,CVSSv3!$E$19))))))))*(IF(H270=CVSSv3!$C$7,CVSSv3!$C$20,(IF(H270=CVSSv3!$D$7,CVSSv3!$D$20,""))))),10)),1),ROUNDUP((MIN(1.08*((IF(H271=CVSSv3!$C$8,(6.42*(1-((1-(IF(H272=CVSSv3!$C$9,CVSSv3!$C$22,(IF(H272=CVSSv3!$D$9,CVSSv3!$D$22,(IF(H272=CVSSv3!$E$9,CVSSv3!$E$22,"")))))))*(1-(IF(H273=CVSSv3!$C$10,CVSSv3!$C$23,(IF(H273=CVSSv3!$D$10,CVSSv3!$D$23,(IF(H273=CVSSv3!$E$10,CVSSv3!$E$23,"")))))))*(1-(IF(H274=CVSSv3!$C$11,CVSSv3!$C$24,(IF(H274=CVSSv3!$D$11,CVSSv3!$D$24,(IF(H274=CVSSv3!$E$11,CVSSv3!$E$24,"")))))))))),((7.52*((1-((1-(IF(H272=CVSSv3!$C$9,CVSSv3!$C$22,(IF(H272=CVSSv3!$D$9,CVSSv3!$D$22,(IF(H272=CVSSv3!$E$9,CVSSv3!$E$22,"")))))))*(1-(IF(H273=CVSSv3!$C$10,CVSSv3!$C$23,(IF(H273=CVSSv3!$D$10,CVSSv3!$D$23,(IF(H273=CVSSv3!$E$10,CVSSv3!$E$23,"")))))))*(1-(IF(H274=CVSSv3!$C$11,CVSSv3!$C$24,(IF(H274=CVSSv3!$D$11,CVSSv3!$D$24,(IF(H274=CVSSv3!$E$11,CVSSv3!$E$24,"")))))))))-0.029))-(3.25*POWER(((1-((1-(IF(H272=CVSSv3!$C$9,CVSSv3!$C$22,(IF(H272=CVSSv3!$D$9,CVSSv3!$D$22,(IF(H272=CVSSv3!$E$9,CVSSv3!$E$22,"")))))))*(1-(IF(H273=CVSSv3!$C$10,CVSSv3!$C$23,(IF(H273=CVSSv3!$D$10,CVSSv3!$D$23,(IF(H273=CVSSv3!$E$10,CVSSv3!$E$23,"")))))))*(1-(IF(H274=CVSSv3!$C$11,CVSSv3!$C$24,(IF(H274=CVSSv3!$D$11,CVSSv3!$D$24,(IF(H274=CVSSv3!$E$11,CVSSv3!$E$24,"")))))))))-0.02),15)))))+(8.22*(IF(H267=CVSSv3!$C$4,CVSSv3!$C$17,(IF(H267=CVSSv3!$D$4,CVSSv3!$D$17,(IF(H267=CVSSv3!$E$4,CVSSv3!$E$17,(IF(H267=CVSSv3!$F$4,CVSSv3!$F$17,""))))))))*(IF(H268=CVSSv3!$C$5,CVSSv3!$C$18,(IF(H268=CVSSv3!$D$5,CVSSv3!$D$18,""))))*(IF(H269=CVSSv3!$C$6,CVSSv3!$C$19,(IF(H269=CVSSv3!$D$6,(IF(H271=CVSSv3!$D$8,0.68,CVSSv3!$D$19)),(IF(H269=CVSSv3!$E$6,(IF(H271=CVSSv3!$D$8,0.5,CVSSv3!$E$19))))))))*(IF(H270=CVSSv3!$C$7,CVSSv3!$C$20,(IF(H270=CVSSv3!$D$7,CVSSv3!$D$20,"")))))),10)),1))))*(IF(H275=CVSSv3!$C$12,CVSSv3!$C$25,(IF(H275=CVSSv3!$D$12,CVSSv3!$D$25,(IF(H275=CVSSv3!$E$12,CVSSv3!$E$25,(IF(H275=CVSSv3!$F$12,CVSSv3!$F$25,""))))))))*(IF(H276=CVSSv3!$C$13,CVSSv3!$C$26,(IF(H276=CVSSv3!$D$13,CVSSv3!$D$26,(IF(H276=CVSSv3!$E$13,CVSSv3!$E$26,(IF(H276=CVSSv3!$F$13,CVSSv3!$F$26,""))))))))*(IF(H277=CVSSv3!$C$14,CVSSv3!$C$27,(IF(H277=CVSSv3!$D$14,CVSSv3!$D$27,(IF(H277=CVSSv3!$E$14,CVSSv3!$E$27,""))))))),1)</f>
        <v>9</v>
      </c>
      <c r="J267" s="89">
        <v>0</v>
      </c>
      <c r="K267" s="89">
        <v>0</v>
      </c>
      <c r="L267" s="85" t="s">
        <v>17</v>
      </c>
      <c r="M267" s="85" t="s">
        <v>17</v>
      </c>
      <c r="N267" s="85" t="s">
        <v>707</v>
      </c>
      <c r="O267" s="85" t="s">
        <v>708</v>
      </c>
    </row>
    <row r="268" spans="1:15" x14ac:dyDescent="0.25">
      <c r="A268" s="89"/>
      <c r="B268" s="85"/>
      <c r="C268" s="85"/>
      <c r="D268" s="85"/>
      <c r="E268" s="85"/>
      <c r="F268" s="85"/>
      <c r="G268" s="80" t="str">
        <f>CVSSv3!$A$5</f>
        <v>Complejidad de ataque:</v>
      </c>
      <c r="H268" s="81" t="s">
        <v>709</v>
      </c>
      <c r="I268" s="88"/>
      <c r="J268" s="89"/>
      <c r="K268" s="89"/>
      <c r="L268" s="85"/>
      <c r="M268" s="85"/>
      <c r="N268" s="85"/>
      <c r="O268" s="85"/>
    </row>
    <row r="269" spans="1:15" x14ac:dyDescent="0.25">
      <c r="A269" s="89"/>
      <c r="B269" s="85"/>
      <c r="C269" s="85"/>
      <c r="D269" s="85"/>
      <c r="E269" s="85"/>
      <c r="F269" s="85"/>
      <c r="G269" s="80" t="str">
        <f>CVSSv3!$A$6</f>
        <v>Privilegios requeridos:</v>
      </c>
      <c r="H269" s="81" t="s">
        <v>710</v>
      </c>
      <c r="I269" s="88"/>
      <c r="J269" s="89"/>
      <c r="K269" s="89"/>
      <c r="L269" s="85"/>
      <c r="M269" s="85"/>
      <c r="N269" s="85"/>
      <c r="O269" s="85"/>
    </row>
    <row r="270" spans="1:15" x14ac:dyDescent="0.25">
      <c r="A270" s="89"/>
      <c r="B270" s="85"/>
      <c r="C270" s="85"/>
      <c r="D270" s="85"/>
      <c r="E270" s="85"/>
      <c r="F270" s="85"/>
      <c r="G270" s="80" t="str">
        <f>CVSSv3!$A$7</f>
        <v>Interacción del usuario:</v>
      </c>
      <c r="H270" s="81" t="s">
        <v>711</v>
      </c>
      <c r="I270" s="88"/>
      <c r="J270" s="89"/>
      <c r="K270" s="89"/>
      <c r="L270" s="85"/>
      <c r="M270" s="85"/>
      <c r="N270" s="85"/>
      <c r="O270" s="85"/>
    </row>
    <row r="271" spans="1:15" x14ac:dyDescent="0.25">
      <c r="A271" s="89"/>
      <c r="B271" s="85"/>
      <c r="C271" s="85"/>
      <c r="D271" s="85"/>
      <c r="E271" s="85"/>
      <c r="F271" s="85"/>
      <c r="G271" s="80" t="str">
        <f>CVSSv3!$A$8</f>
        <v>Alcance:</v>
      </c>
      <c r="H271" s="81" t="s">
        <v>712</v>
      </c>
      <c r="I271" s="88"/>
      <c r="J271" s="89"/>
      <c r="K271" s="89"/>
      <c r="L271" s="85"/>
      <c r="M271" s="85"/>
      <c r="N271" s="85"/>
      <c r="O271" s="85"/>
    </row>
    <row r="272" spans="1:15" x14ac:dyDescent="0.25">
      <c r="A272" s="89"/>
      <c r="B272" s="85"/>
      <c r="C272" s="85"/>
      <c r="D272" s="85"/>
      <c r="E272" s="85"/>
      <c r="F272" s="85"/>
      <c r="G272" s="80" t="str">
        <f>CVSSv3!$A$9</f>
        <v>Impacto a la confidencialidad:</v>
      </c>
      <c r="H272" s="81" t="s">
        <v>713</v>
      </c>
      <c r="I272" s="88"/>
      <c r="J272" s="89"/>
      <c r="K272" s="89"/>
      <c r="L272" s="85"/>
      <c r="M272" s="85"/>
      <c r="N272" s="85"/>
      <c r="O272" s="85"/>
    </row>
    <row r="273" spans="1:15" x14ac:dyDescent="0.25">
      <c r="A273" s="89"/>
      <c r="B273" s="85"/>
      <c r="C273" s="85"/>
      <c r="D273" s="85"/>
      <c r="E273" s="85"/>
      <c r="F273" s="85"/>
      <c r="G273" s="80" t="str">
        <f>CVSSv3!$A$10</f>
        <v>Impacto a la integridad:</v>
      </c>
      <c r="H273" s="81" t="s">
        <v>713</v>
      </c>
      <c r="I273" s="88"/>
      <c r="J273" s="89"/>
      <c r="K273" s="89"/>
      <c r="L273" s="85"/>
      <c r="M273" s="85"/>
      <c r="N273" s="85"/>
      <c r="O273" s="85"/>
    </row>
    <row r="274" spans="1:15" x14ac:dyDescent="0.25">
      <c r="A274" s="89"/>
      <c r="B274" s="85"/>
      <c r="C274" s="85"/>
      <c r="D274" s="85"/>
      <c r="E274" s="85"/>
      <c r="F274" s="85"/>
      <c r="G274" s="80" t="str">
        <f>CVSSv3!$A$11</f>
        <v>Impacto a la disponibilidad:</v>
      </c>
      <c r="H274" s="81" t="s">
        <v>713</v>
      </c>
      <c r="I274" s="88"/>
      <c r="J274" s="89"/>
      <c r="K274" s="89"/>
      <c r="L274" s="85"/>
      <c r="M274" s="85"/>
      <c r="N274" s="85"/>
      <c r="O274" s="85"/>
    </row>
    <row r="275" spans="1:15" x14ac:dyDescent="0.25">
      <c r="A275" s="89"/>
      <c r="B275" s="85"/>
      <c r="C275" s="85"/>
      <c r="D275" s="85"/>
      <c r="E275" s="85"/>
      <c r="F275" s="85"/>
      <c r="G275" s="80" t="str">
        <f>CVSSv3!$A$12</f>
        <v>Explotabilidad:</v>
      </c>
      <c r="H275" s="81" t="s">
        <v>709</v>
      </c>
      <c r="I275" s="88"/>
      <c r="J275" s="89"/>
      <c r="K275" s="89"/>
      <c r="L275" s="85"/>
      <c r="M275" s="85"/>
      <c r="N275" s="85"/>
      <c r="O275" s="85"/>
    </row>
    <row r="276" spans="1:15" x14ac:dyDescent="0.25">
      <c r="A276" s="89"/>
      <c r="B276" s="85"/>
      <c r="C276" s="85"/>
      <c r="D276" s="85"/>
      <c r="E276" s="85"/>
      <c r="F276" s="85"/>
      <c r="G276" s="80" t="str">
        <f>CVSSv3!$A$13</f>
        <v>Nivel de resolución:</v>
      </c>
      <c r="H276" s="81" t="s">
        <v>714</v>
      </c>
      <c r="I276" s="88"/>
      <c r="J276" s="89"/>
      <c r="K276" s="89"/>
      <c r="L276" s="85"/>
      <c r="M276" s="85"/>
      <c r="N276" s="85"/>
      <c r="O276" s="85"/>
    </row>
    <row r="277" spans="1:15" x14ac:dyDescent="0.25">
      <c r="A277" s="89"/>
      <c r="B277" s="85"/>
      <c r="C277" s="85"/>
      <c r="D277" s="85"/>
      <c r="E277" s="85"/>
      <c r="F277" s="85"/>
      <c r="G277" s="80" t="str">
        <f>CVSSv3!$A$14</f>
        <v>Nivel de confianza</v>
      </c>
      <c r="H277" s="81" t="s">
        <v>715</v>
      </c>
      <c r="I277" s="88"/>
      <c r="J277" s="89"/>
      <c r="K277" s="89"/>
      <c r="L277" s="85"/>
      <c r="M277" s="85"/>
      <c r="N277" s="85"/>
      <c r="O277" s="85"/>
    </row>
    <row r="278" spans="1:15" x14ac:dyDescent="0.25">
      <c r="A278" s="89"/>
      <c r="B278" s="85"/>
      <c r="C278" s="85"/>
      <c r="D278" s="85"/>
      <c r="E278" s="85"/>
      <c r="F278" s="85"/>
      <c r="G278" s="86" t="str">
        <f>"("&amp;CVSSv3!$B$4&amp;":"&amp;IF(H267=CVSSv3!$C$4,CVSSv3!$C$30,IF(H267=CVSSv3!$D$4,CVSSv3!$D$30,IF(H267=CVSSv3!$E$4,CVSSv3!$E$30,IF(H267=CVSSv3!$F$4,CVSSv3!$F$30,""))))&amp;"/"&amp;CVSSv3!$B$5&amp;":"&amp;IF(H268=CVSSv3!$C$5,CVSSv3!$C$31,IF(H268=CVSSv3!$D$5,CVSSv3!$D$31,""))&amp;"/"&amp;CVSSv3!$B$6&amp;":"&amp;IF(H269=CVSSv3!$C$6,CVSSv3!$C$32,IF(H269=CVSSv3!$D$6,CVSSv3!$D$32,IF(H269=CVSSv3!$E$6,CVSSv3!$E$32,"")))&amp;"/"&amp;CVSSv3!$B$7&amp;":"&amp;IF(H270=CVSSv3!$C$7,CVSSv3!$C$33,IF(H270=CVSSv3!$D$7,CVSSv3!$D$33,""))&amp;"/"&amp;CVSSv3!$B$8&amp;":"&amp;IF(H271=CVSSv3!$C$8,CVSSv3!$C$34,IF(H271=CVSSv3!$D$8,CVSSv3!$D$34,""))&amp;"/"&amp;CVSSv3!$B$9&amp;":"&amp;IF(H272=CVSSv3!$C$9,CVSSv3!$C$35,IF(H272=CVSSv3!$D$9,CVSSv3!$D$35,IF(H272=CVSSv3!$E$9,CVSSv3!$E$35,"")))&amp;"/"&amp;CVSSv3!$B$10&amp;":"&amp;IF(H273=CVSSv3!$C$10,CVSSv3!$C$36,IF(H273=CVSSv3!$D$10,CVSSv3!$D$36,IF(H273=CVSSv3!$E$10,CVSSv3!$E$36,"")))&amp;"/"&amp;CVSSv3!$B$11&amp;":"&amp;IF(H274=CVSSv3!$C$11,CVSSv3!$C$37,IF(H274=CVSSv3!$D$11,CVSSv3!$D$37,IF(H274=CVSSv3!$E$11,CVSSv3!$E$37,"")))&amp;"/"&amp;CVSSv3!$B$12&amp;":"&amp;IF(H275=CVSSv3!$C$12,CVSSv3!$C$38,IF(H275=CVSSv3!$D$12,CVSSv3!$D$38,IF(H275=CVSSv3!$E$12,CVSSv3!$E$38,IF(H275=CVSSv3!$F$12,CVSSv3!$F$38,""))))&amp;"/"&amp;CVSSv3!$B$13&amp;":"&amp;IF(H276=CVSSv3!$C$13,CVSSv3!$C$39,IF(H276=CVSSv3!$D$13,CVSSv3!$D$39,IF(H276=CVSSv3!$E$13,CVSSv3!$E$39,IF(H276=CVSSv3!$F$13,CVSSv3!$F$39,""))))&amp;"/"&amp;CVSSv3!$B$14&amp;":"&amp;IF(H277=CVSSv3!$C$14,CVSSv3!$C$40,IF(H277=CVSSv3!$D$14,CVSSv3!$D$40,IF(H277=CVSSv3!$E$14,CVSSv3!$E$40,"")))&amp;")"</f>
        <v>(AV:N/AC:H/PR:N/UI:N/S:C/C:H/I:H/A:H/E:H/RL:U/RC:C)</v>
      </c>
      <c r="H278" s="87"/>
      <c r="I278" s="88"/>
      <c r="J278" s="89"/>
      <c r="K278" s="89"/>
      <c r="L278" s="85"/>
      <c r="M278" s="85"/>
      <c r="N278" s="85"/>
      <c r="O278" s="85"/>
    </row>
    <row r="279" spans="1:15" x14ac:dyDescent="0.25">
      <c r="A279" s="89">
        <v>24</v>
      </c>
      <c r="B279" s="85" t="s">
        <v>737</v>
      </c>
      <c r="C279" s="85" t="s">
        <v>17</v>
      </c>
      <c r="D279" s="85" t="s">
        <v>17</v>
      </c>
      <c r="E279" s="85" t="s">
        <v>17</v>
      </c>
      <c r="F279"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79" s="82" t="str">
        <f>CVSSv3!$A$4</f>
        <v>Vector de ataque:</v>
      </c>
      <c r="H279" s="84" t="s">
        <v>706</v>
      </c>
      <c r="I279" s="88">
        <f>ROUNDUP((IF((IF(H283=CVSSv3!$C$8,(6.42*(1-((1-(IF(H284=CVSSv3!$C$9,CVSSv3!$C$22,(IF(H284=CVSSv3!$D$9,CVSSv3!$D$22,(IF(H284=CVSSv3!$E$9,CVSSv3!$E$22,"")))))))*(1-(IF(H285=CVSSv3!$C$10,CVSSv3!$C$23,(IF(H285=CVSSv3!$D$10,CVSSv3!$D$23,(IF(H285=CVSSv3!$E$10,CVSSv3!$E$23,"")))))))*(1-(IF(H286=CVSSv3!$C$11,CVSSv3!$C$24,(IF(H286=CVSSv3!$D$11,CVSSv3!$D$24,(IF(H286=CVSSv3!$E$11,CVSSv3!$E$24,"")))))))))),((7.52*((1-((1-(IF(H284=CVSSv3!$C$9,CVSSv3!$C$22,(IF(H284=CVSSv3!$D$9,CVSSv3!$D$22,(IF(H284=CVSSv3!$E$9,CVSSv3!$E$22,"")))))))*(1-(IF(H285=CVSSv3!$C$10,CVSSv3!$C$23,(IF(H285=CVSSv3!$D$10,CVSSv3!$D$23,(IF(H285=CVSSv3!$E$10,CVSSv3!$E$23,"")))))))*(1-(IF(H286=CVSSv3!$C$11,CVSSv3!$C$24,(IF(H286=CVSSv3!$D$11,CVSSv3!$D$24,(IF(H286=CVSSv3!$E$11,CVSSv3!$E$24,"")))))))))-0.029))-(3.25*POWER(((1-((1-(IF(H284=CVSSv3!$C$9,CVSSv3!$C$22,(IF(H284=CVSSv3!$D$9,CVSSv3!$D$22,(IF(H284=CVSSv3!$E$9,CVSSv3!$E$22,"")))))))*(1-(IF(H285=CVSSv3!$C$10,CVSSv3!$C$23,(IF(H285=CVSSv3!$D$10,CVSSv3!$D$23,(IF(H285=CVSSv3!$E$10,CVSSv3!$E$23,"")))))))*(1-(IF(H286=CVSSv3!$C$11,CVSSv3!$C$24,(IF(H286=CVSSv3!$D$11,CVSSv3!$D$24,(IF(H286=CVSSv3!$E$11,CVSSv3!$E$24,"")))))))))-0.02),15)))))&lt;=0,0,(IF(H283=CVSSv3!$C$8,ROUNDUP((MIN((IF(H283=CVSSv3!$C$8,(6.42*(1-((1-(IF(H284=CVSSv3!$C$9,CVSSv3!$C$22,(IF(H284=CVSSv3!$D$9,CVSSv3!$D$22,(IF(H284=CVSSv3!$E$9,CVSSv3!$E$22,"")))))))*(1-(IF(H285=CVSSv3!$C$10,CVSSv3!$C$23,(IF(H285=CVSSv3!$D$10,CVSSv3!$D$23,(IF(H285=CVSSv3!$E$10,CVSSv3!$E$23,"")))))))*(1-(IF(H286=CVSSv3!$C$11,CVSSv3!$C$24,(IF(H286=CVSSv3!$D$11,CVSSv3!$D$24,(IF(H286=CVSSv3!$E$11,CVSSv3!$E$24,"")))))))))),((7.52*((1-((1-(IF(H284=CVSSv3!$C$9,CVSSv3!$C$22,(IF(H284=CVSSv3!$D$9,CVSSv3!$D$22,(IF(H284=CVSSv3!$E$9,CVSSv3!$E$22,"")))))))*(1-(IF(H285=CVSSv3!$C$10,CVSSv3!$C$23,(IF(H285=CVSSv3!$D$10,CVSSv3!$D$23,(IF(H285=CVSSv3!$E$10,CVSSv3!$E$23,"")))))))*(1-(IF(H286=CVSSv3!$C$11,CVSSv3!$C$24,(IF(H286=CVSSv3!$D$11,CVSSv3!$D$24,(IF(H286=CVSSv3!$E$11,CVSSv3!$E$24,"")))))))))-0.029))-(3.25*POWER(((1-((1-(IF(H284=CVSSv3!$C$9,CVSSv3!$C$22,(IF(H284=CVSSv3!$D$9,CVSSv3!$D$22,(IF(H284=CVSSv3!$E$9,CVSSv3!$E$22,"")))))))*(1-(IF(H285=CVSSv3!$C$10,CVSSv3!$C$23,(IF(H285=CVSSv3!$D$10,CVSSv3!$D$23,(IF(H285=CVSSv3!$E$10,CVSSv3!$E$23,"")))))))*(1-(IF(H286=CVSSv3!$C$11,CVSSv3!$C$24,(IF(H286=CVSSv3!$D$11,CVSSv3!$D$24,(IF(H286=CVSSv3!$E$11,CVSSv3!$E$24,"")))))))))-0.02),15)))))+(8.22*(IF(H279=CVSSv3!$C$4,CVSSv3!$C$17,(IF(H279=CVSSv3!$D$4,CVSSv3!$D$17,(IF(H279=CVSSv3!$E$4,CVSSv3!$E$17,(IF(H279=CVSSv3!$F$4,CVSSv3!$F$17,""))))))))*(IF(H280=CVSSv3!$C$5,CVSSv3!$C$18,(IF(H280=CVSSv3!$D$5,CVSSv3!$D$18,""))))*(IF(H281=CVSSv3!$C$6,CVSSv3!$C$19,(IF(H281=CVSSv3!$D$6,(IF(H283=CVSSv3!$D$8,0.68,CVSSv3!$D$19)),(IF(H281=CVSSv3!$E$6,(IF(H283=CVSSv3!$D$8,0.5,CVSSv3!$E$19))))))))*(IF(H282=CVSSv3!$C$7,CVSSv3!$C$20,(IF(H282=CVSSv3!$D$7,CVSSv3!$D$20,""))))),10)),1),ROUNDUP((MIN(1.08*((IF(H283=CVSSv3!$C$8,(6.42*(1-((1-(IF(H284=CVSSv3!$C$9,CVSSv3!$C$22,(IF(H284=CVSSv3!$D$9,CVSSv3!$D$22,(IF(H284=CVSSv3!$E$9,CVSSv3!$E$22,"")))))))*(1-(IF(H285=CVSSv3!$C$10,CVSSv3!$C$23,(IF(H285=CVSSv3!$D$10,CVSSv3!$D$23,(IF(H285=CVSSv3!$E$10,CVSSv3!$E$23,"")))))))*(1-(IF(H286=CVSSv3!$C$11,CVSSv3!$C$24,(IF(H286=CVSSv3!$D$11,CVSSv3!$D$24,(IF(H286=CVSSv3!$E$11,CVSSv3!$E$24,"")))))))))),((7.52*((1-((1-(IF(H284=CVSSv3!$C$9,CVSSv3!$C$22,(IF(H284=CVSSv3!$D$9,CVSSv3!$D$22,(IF(H284=CVSSv3!$E$9,CVSSv3!$E$22,"")))))))*(1-(IF(H285=CVSSv3!$C$10,CVSSv3!$C$23,(IF(H285=CVSSv3!$D$10,CVSSv3!$D$23,(IF(H285=CVSSv3!$E$10,CVSSv3!$E$23,"")))))))*(1-(IF(H286=CVSSv3!$C$11,CVSSv3!$C$24,(IF(H286=CVSSv3!$D$11,CVSSv3!$D$24,(IF(H286=CVSSv3!$E$11,CVSSv3!$E$24,"")))))))))-0.029))-(3.25*POWER(((1-((1-(IF(H284=CVSSv3!$C$9,CVSSv3!$C$22,(IF(H284=CVSSv3!$D$9,CVSSv3!$D$22,(IF(H284=CVSSv3!$E$9,CVSSv3!$E$22,"")))))))*(1-(IF(H285=CVSSv3!$C$10,CVSSv3!$C$23,(IF(H285=CVSSv3!$D$10,CVSSv3!$D$23,(IF(H285=CVSSv3!$E$10,CVSSv3!$E$23,"")))))))*(1-(IF(H286=CVSSv3!$C$11,CVSSv3!$C$24,(IF(H286=CVSSv3!$D$11,CVSSv3!$D$24,(IF(H286=CVSSv3!$E$11,CVSSv3!$E$24,"")))))))))-0.02),15)))))+(8.22*(IF(H279=CVSSv3!$C$4,CVSSv3!$C$17,(IF(H279=CVSSv3!$D$4,CVSSv3!$D$17,(IF(H279=CVSSv3!$E$4,CVSSv3!$E$17,(IF(H279=CVSSv3!$F$4,CVSSv3!$F$17,""))))))))*(IF(H280=CVSSv3!$C$5,CVSSv3!$C$18,(IF(H280=CVSSv3!$D$5,CVSSv3!$D$18,""))))*(IF(H281=CVSSv3!$C$6,CVSSv3!$C$19,(IF(H281=CVSSv3!$D$6,(IF(H283=CVSSv3!$D$8,0.68,CVSSv3!$D$19)),(IF(H281=CVSSv3!$E$6,(IF(H283=CVSSv3!$D$8,0.5,CVSSv3!$E$19))))))))*(IF(H282=CVSSv3!$C$7,CVSSv3!$C$20,(IF(H282=CVSSv3!$D$7,CVSSv3!$D$20,"")))))),10)),1))))*(IF(H287=CVSSv3!$C$12,CVSSv3!$C$25,(IF(H287=CVSSv3!$D$12,CVSSv3!$D$25,(IF(H287=CVSSv3!$E$12,CVSSv3!$E$25,(IF(H287=CVSSv3!$F$12,CVSSv3!$F$25,""))))))))*(IF(H288=CVSSv3!$C$13,CVSSv3!$C$26,(IF(H288=CVSSv3!$D$13,CVSSv3!$D$26,(IF(H288=CVSSv3!$E$13,CVSSv3!$E$26,(IF(H288=CVSSv3!$F$13,CVSSv3!$F$26,""))))))))*(IF(H289=CVSSv3!$C$14,CVSSv3!$C$27,(IF(H289=CVSSv3!$D$14,CVSSv3!$D$27,(IF(H289=CVSSv3!$E$14,CVSSv3!$E$27,""))))))),1)</f>
        <v>9</v>
      </c>
      <c r="J279" s="89">
        <v>0</v>
      </c>
      <c r="K279" s="89">
        <v>0</v>
      </c>
      <c r="L279" s="85" t="s">
        <v>17</v>
      </c>
      <c r="M279" s="85" t="s">
        <v>17</v>
      </c>
      <c r="N279" s="85" t="s">
        <v>707</v>
      </c>
      <c r="O279" s="85" t="s">
        <v>708</v>
      </c>
    </row>
    <row r="280" spans="1:15" x14ac:dyDescent="0.25">
      <c r="A280" s="89"/>
      <c r="B280" s="85"/>
      <c r="C280" s="85"/>
      <c r="D280" s="85"/>
      <c r="E280" s="85"/>
      <c r="F280" s="85"/>
      <c r="G280" s="80" t="str">
        <f>CVSSv3!$A$5</f>
        <v>Complejidad de ataque:</v>
      </c>
      <c r="H280" s="81" t="s">
        <v>709</v>
      </c>
      <c r="I280" s="88"/>
      <c r="J280" s="89"/>
      <c r="K280" s="89"/>
      <c r="L280" s="85"/>
      <c r="M280" s="85"/>
      <c r="N280" s="85"/>
      <c r="O280" s="85"/>
    </row>
    <row r="281" spans="1:15" x14ac:dyDescent="0.25">
      <c r="A281" s="89"/>
      <c r="B281" s="85"/>
      <c r="C281" s="85"/>
      <c r="D281" s="85"/>
      <c r="E281" s="85"/>
      <c r="F281" s="85"/>
      <c r="G281" s="80" t="str">
        <f>CVSSv3!$A$6</f>
        <v>Privilegios requeridos:</v>
      </c>
      <c r="H281" s="81" t="s">
        <v>710</v>
      </c>
      <c r="I281" s="88"/>
      <c r="J281" s="89"/>
      <c r="K281" s="89"/>
      <c r="L281" s="85"/>
      <c r="M281" s="85"/>
      <c r="N281" s="85"/>
      <c r="O281" s="85"/>
    </row>
    <row r="282" spans="1:15" x14ac:dyDescent="0.25">
      <c r="A282" s="89"/>
      <c r="B282" s="85"/>
      <c r="C282" s="85"/>
      <c r="D282" s="85"/>
      <c r="E282" s="85"/>
      <c r="F282" s="85"/>
      <c r="G282" s="80" t="str">
        <f>CVSSv3!$A$7</f>
        <v>Interacción del usuario:</v>
      </c>
      <c r="H282" s="81" t="s">
        <v>711</v>
      </c>
      <c r="I282" s="88"/>
      <c r="J282" s="89"/>
      <c r="K282" s="89"/>
      <c r="L282" s="85"/>
      <c r="M282" s="85"/>
      <c r="N282" s="85"/>
      <c r="O282" s="85"/>
    </row>
    <row r="283" spans="1:15" x14ac:dyDescent="0.25">
      <c r="A283" s="89"/>
      <c r="B283" s="85"/>
      <c r="C283" s="85"/>
      <c r="D283" s="85"/>
      <c r="E283" s="85"/>
      <c r="F283" s="85"/>
      <c r="G283" s="80" t="str">
        <f>CVSSv3!$A$8</f>
        <v>Alcance:</v>
      </c>
      <c r="H283" s="81" t="s">
        <v>712</v>
      </c>
      <c r="I283" s="88"/>
      <c r="J283" s="89"/>
      <c r="K283" s="89"/>
      <c r="L283" s="85"/>
      <c r="M283" s="85"/>
      <c r="N283" s="85"/>
      <c r="O283" s="85"/>
    </row>
    <row r="284" spans="1:15" x14ac:dyDescent="0.25">
      <c r="A284" s="89"/>
      <c r="B284" s="85"/>
      <c r="C284" s="85"/>
      <c r="D284" s="85"/>
      <c r="E284" s="85"/>
      <c r="F284" s="85"/>
      <c r="G284" s="80" t="str">
        <f>CVSSv3!$A$9</f>
        <v>Impacto a la confidencialidad:</v>
      </c>
      <c r="H284" s="81" t="s">
        <v>713</v>
      </c>
      <c r="I284" s="88"/>
      <c r="J284" s="89"/>
      <c r="K284" s="89"/>
      <c r="L284" s="85"/>
      <c r="M284" s="85"/>
      <c r="N284" s="85"/>
      <c r="O284" s="85"/>
    </row>
    <row r="285" spans="1:15" x14ac:dyDescent="0.25">
      <c r="A285" s="89"/>
      <c r="B285" s="85"/>
      <c r="C285" s="85"/>
      <c r="D285" s="85"/>
      <c r="E285" s="85"/>
      <c r="F285" s="85"/>
      <c r="G285" s="80" t="str">
        <f>CVSSv3!$A$10</f>
        <v>Impacto a la integridad:</v>
      </c>
      <c r="H285" s="81" t="s">
        <v>713</v>
      </c>
      <c r="I285" s="88"/>
      <c r="J285" s="89"/>
      <c r="K285" s="89"/>
      <c r="L285" s="85"/>
      <c r="M285" s="85"/>
      <c r="N285" s="85"/>
      <c r="O285" s="85"/>
    </row>
    <row r="286" spans="1:15" x14ac:dyDescent="0.25">
      <c r="A286" s="89"/>
      <c r="B286" s="85"/>
      <c r="C286" s="85"/>
      <c r="D286" s="85"/>
      <c r="E286" s="85"/>
      <c r="F286" s="85"/>
      <c r="G286" s="80" t="str">
        <f>CVSSv3!$A$11</f>
        <v>Impacto a la disponibilidad:</v>
      </c>
      <c r="H286" s="81" t="s">
        <v>713</v>
      </c>
      <c r="I286" s="88"/>
      <c r="J286" s="89"/>
      <c r="K286" s="89"/>
      <c r="L286" s="85"/>
      <c r="M286" s="85"/>
      <c r="N286" s="85"/>
      <c r="O286" s="85"/>
    </row>
    <row r="287" spans="1:15" x14ac:dyDescent="0.25">
      <c r="A287" s="89"/>
      <c r="B287" s="85"/>
      <c r="C287" s="85"/>
      <c r="D287" s="85"/>
      <c r="E287" s="85"/>
      <c r="F287" s="85"/>
      <c r="G287" s="80" t="str">
        <f>CVSSv3!$A$12</f>
        <v>Explotabilidad:</v>
      </c>
      <c r="H287" s="81" t="s">
        <v>709</v>
      </c>
      <c r="I287" s="88"/>
      <c r="J287" s="89"/>
      <c r="K287" s="89"/>
      <c r="L287" s="85"/>
      <c r="M287" s="85"/>
      <c r="N287" s="85"/>
      <c r="O287" s="85"/>
    </row>
    <row r="288" spans="1:15" x14ac:dyDescent="0.25">
      <c r="A288" s="89"/>
      <c r="B288" s="85"/>
      <c r="C288" s="85"/>
      <c r="D288" s="85"/>
      <c r="E288" s="85"/>
      <c r="F288" s="85"/>
      <c r="G288" s="80" t="str">
        <f>CVSSv3!$A$13</f>
        <v>Nivel de resolución:</v>
      </c>
      <c r="H288" s="81" t="s">
        <v>714</v>
      </c>
      <c r="I288" s="88"/>
      <c r="J288" s="89"/>
      <c r="K288" s="89"/>
      <c r="L288" s="85"/>
      <c r="M288" s="85"/>
      <c r="N288" s="85"/>
      <c r="O288" s="85"/>
    </row>
    <row r="289" spans="1:15" x14ac:dyDescent="0.25">
      <c r="A289" s="89"/>
      <c r="B289" s="85"/>
      <c r="C289" s="85"/>
      <c r="D289" s="85"/>
      <c r="E289" s="85"/>
      <c r="F289" s="85"/>
      <c r="G289" s="80" t="str">
        <f>CVSSv3!$A$14</f>
        <v>Nivel de confianza</v>
      </c>
      <c r="H289" s="81" t="s">
        <v>715</v>
      </c>
      <c r="I289" s="88"/>
      <c r="J289" s="89"/>
      <c r="K289" s="89"/>
      <c r="L289" s="85"/>
      <c r="M289" s="85"/>
      <c r="N289" s="85"/>
      <c r="O289" s="85"/>
    </row>
    <row r="290" spans="1:15" x14ac:dyDescent="0.25">
      <c r="A290" s="89"/>
      <c r="B290" s="85"/>
      <c r="C290" s="85"/>
      <c r="D290" s="85"/>
      <c r="E290" s="85"/>
      <c r="F290" s="85"/>
      <c r="G290" s="86" t="str">
        <f>"("&amp;CVSSv3!$B$4&amp;":"&amp;IF(H279=CVSSv3!$C$4,CVSSv3!$C$30,IF(H279=CVSSv3!$D$4,CVSSv3!$D$30,IF(H279=CVSSv3!$E$4,CVSSv3!$E$30,IF(H279=CVSSv3!$F$4,CVSSv3!$F$30,""))))&amp;"/"&amp;CVSSv3!$B$5&amp;":"&amp;IF(H280=CVSSv3!$C$5,CVSSv3!$C$31,IF(H280=CVSSv3!$D$5,CVSSv3!$D$31,""))&amp;"/"&amp;CVSSv3!$B$6&amp;":"&amp;IF(H281=CVSSv3!$C$6,CVSSv3!$C$32,IF(H281=CVSSv3!$D$6,CVSSv3!$D$32,IF(H281=CVSSv3!$E$6,CVSSv3!$E$32,"")))&amp;"/"&amp;CVSSv3!$B$7&amp;":"&amp;IF(H282=CVSSv3!$C$7,CVSSv3!$C$33,IF(H282=CVSSv3!$D$7,CVSSv3!$D$33,""))&amp;"/"&amp;CVSSv3!$B$8&amp;":"&amp;IF(H283=CVSSv3!$C$8,CVSSv3!$C$34,IF(H283=CVSSv3!$D$8,CVSSv3!$D$34,""))&amp;"/"&amp;CVSSv3!$B$9&amp;":"&amp;IF(H284=CVSSv3!$C$9,CVSSv3!$C$35,IF(H284=CVSSv3!$D$9,CVSSv3!$D$35,IF(H284=CVSSv3!$E$9,CVSSv3!$E$35,"")))&amp;"/"&amp;CVSSv3!$B$10&amp;":"&amp;IF(H285=CVSSv3!$C$10,CVSSv3!$C$36,IF(H285=CVSSv3!$D$10,CVSSv3!$D$36,IF(H285=CVSSv3!$E$10,CVSSv3!$E$36,"")))&amp;"/"&amp;CVSSv3!$B$11&amp;":"&amp;IF(H286=CVSSv3!$C$11,CVSSv3!$C$37,IF(H286=CVSSv3!$D$11,CVSSv3!$D$37,IF(H286=CVSSv3!$E$11,CVSSv3!$E$37,"")))&amp;"/"&amp;CVSSv3!$B$12&amp;":"&amp;IF(H287=CVSSv3!$C$12,CVSSv3!$C$38,IF(H287=CVSSv3!$D$12,CVSSv3!$D$38,IF(H287=CVSSv3!$E$12,CVSSv3!$E$38,IF(H287=CVSSv3!$F$12,CVSSv3!$F$38,""))))&amp;"/"&amp;CVSSv3!$B$13&amp;":"&amp;IF(H288=CVSSv3!$C$13,CVSSv3!$C$39,IF(H288=CVSSv3!$D$13,CVSSv3!$D$39,IF(H288=CVSSv3!$E$13,CVSSv3!$E$39,IF(H288=CVSSv3!$F$13,CVSSv3!$F$39,""))))&amp;"/"&amp;CVSSv3!$B$14&amp;":"&amp;IF(H289=CVSSv3!$C$14,CVSSv3!$C$40,IF(H289=CVSSv3!$D$14,CVSSv3!$D$40,IF(H289=CVSSv3!$E$14,CVSSv3!$E$40,"")))&amp;")"</f>
        <v>(AV:N/AC:H/PR:N/UI:N/S:C/C:H/I:H/A:H/E:H/RL:U/RC:C)</v>
      </c>
      <c r="H290" s="87"/>
      <c r="I290" s="88"/>
      <c r="J290" s="89"/>
      <c r="K290" s="89"/>
      <c r="L290" s="85"/>
      <c r="M290" s="85"/>
      <c r="N290" s="85"/>
      <c r="O290" s="85"/>
    </row>
    <row r="291" spans="1:15" x14ac:dyDescent="0.25">
      <c r="A291" s="89">
        <v>25</v>
      </c>
      <c r="B291" s="85" t="s">
        <v>738</v>
      </c>
      <c r="C291" s="85" t="s">
        <v>17</v>
      </c>
      <c r="D291" s="85" t="s">
        <v>17</v>
      </c>
      <c r="E291" s="85" t="s">
        <v>17</v>
      </c>
      <c r="F291"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91" s="82" t="str">
        <f>CVSSv3!$A$4</f>
        <v>Vector de ataque:</v>
      </c>
      <c r="H291" s="84" t="s">
        <v>706</v>
      </c>
      <c r="I291" s="88">
        <f>ROUNDUP((IF((IF(H295=CVSSv3!$C$8,(6.42*(1-((1-(IF(H296=CVSSv3!$C$9,CVSSv3!$C$22,(IF(H296=CVSSv3!$D$9,CVSSv3!$D$22,(IF(H296=CVSSv3!$E$9,CVSSv3!$E$22,"")))))))*(1-(IF(H297=CVSSv3!$C$10,CVSSv3!$C$23,(IF(H297=CVSSv3!$D$10,CVSSv3!$D$23,(IF(H297=CVSSv3!$E$10,CVSSv3!$E$23,"")))))))*(1-(IF(H298=CVSSv3!$C$11,CVSSv3!$C$24,(IF(H298=CVSSv3!$D$11,CVSSv3!$D$24,(IF(H298=CVSSv3!$E$11,CVSSv3!$E$24,"")))))))))),((7.52*((1-((1-(IF(H296=CVSSv3!$C$9,CVSSv3!$C$22,(IF(H296=CVSSv3!$D$9,CVSSv3!$D$22,(IF(H296=CVSSv3!$E$9,CVSSv3!$E$22,"")))))))*(1-(IF(H297=CVSSv3!$C$10,CVSSv3!$C$23,(IF(H297=CVSSv3!$D$10,CVSSv3!$D$23,(IF(H297=CVSSv3!$E$10,CVSSv3!$E$23,"")))))))*(1-(IF(H298=CVSSv3!$C$11,CVSSv3!$C$24,(IF(H298=CVSSv3!$D$11,CVSSv3!$D$24,(IF(H298=CVSSv3!$E$11,CVSSv3!$E$24,"")))))))))-0.029))-(3.25*POWER(((1-((1-(IF(H296=CVSSv3!$C$9,CVSSv3!$C$22,(IF(H296=CVSSv3!$D$9,CVSSv3!$D$22,(IF(H296=CVSSv3!$E$9,CVSSv3!$E$22,"")))))))*(1-(IF(H297=CVSSv3!$C$10,CVSSv3!$C$23,(IF(H297=CVSSv3!$D$10,CVSSv3!$D$23,(IF(H297=CVSSv3!$E$10,CVSSv3!$E$23,"")))))))*(1-(IF(H298=CVSSv3!$C$11,CVSSv3!$C$24,(IF(H298=CVSSv3!$D$11,CVSSv3!$D$24,(IF(H298=CVSSv3!$E$11,CVSSv3!$E$24,"")))))))))-0.02),15)))))&lt;=0,0,(IF(H295=CVSSv3!$C$8,ROUNDUP((MIN((IF(H295=CVSSv3!$C$8,(6.42*(1-((1-(IF(H296=CVSSv3!$C$9,CVSSv3!$C$22,(IF(H296=CVSSv3!$D$9,CVSSv3!$D$22,(IF(H296=CVSSv3!$E$9,CVSSv3!$E$22,"")))))))*(1-(IF(H297=CVSSv3!$C$10,CVSSv3!$C$23,(IF(H297=CVSSv3!$D$10,CVSSv3!$D$23,(IF(H297=CVSSv3!$E$10,CVSSv3!$E$23,"")))))))*(1-(IF(H298=CVSSv3!$C$11,CVSSv3!$C$24,(IF(H298=CVSSv3!$D$11,CVSSv3!$D$24,(IF(H298=CVSSv3!$E$11,CVSSv3!$E$24,"")))))))))),((7.52*((1-((1-(IF(H296=CVSSv3!$C$9,CVSSv3!$C$22,(IF(H296=CVSSv3!$D$9,CVSSv3!$D$22,(IF(H296=CVSSv3!$E$9,CVSSv3!$E$22,"")))))))*(1-(IF(H297=CVSSv3!$C$10,CVSSv3!$C$23,(IF(H297=CVSSv3!$D$10,CVSSv3!$D$23,(IF(H297=CVSSv3!$E$10,CVSSv3!$E$23,"")))))))*(1-(IF(H298=CVSSv3!$C$11,CVSSv3!$C$24,(IF(H298=CVSSv3!$D$11,CVSSv3!$D$24,(IF(H298=CVSSv3!$E$11,CVSSv3!$E$24,"")))))))))-0.029))-(3.25*POWER(((1-((1-(IF(H296=CVSSv3!$C$9,CVSSv3!$C$22,(IF(H296=CVSSv3!$D$9,CVSSv3!$D$22,(IF(H296=CVSSv3!$E$9,CVSSv3!$E$22,"")))))))*(1-(IF(H297=CVSSv3!$C$10,CVSSv3!$C$23,(IF(H297=CVSSv3!$D$10,CVSSv3!$D$23,(IF(H297=CVSSv3!$E$10,CVSSv3!$E$23,"")))))))*(1-(IF(H298=CVSSv3!$C$11,CVSSv3!$C$24,(IF(H298=CVSSv3!$D$11,CVSSv3!$D$24,(IF(H298=CVSSv3!$E$11,CVSSv3!$E$24,"")))))))))-0.02),15)))))+(8.22*(IF(H291=CVSSv3!$C$4,CVSSv3!$C$17,(IF(H291=CVSSv3!$D$4,CVSSv3!$D$17,(IF(H291=CVSSv3!$E$4,CVSSv3!$E$17,(IF(H291=CVSSv3!$F$4,CVSSv3!$F$17,""))))))))*(IF(H292=CVSSv3!$C$5,CVSSv3!$C$18,(IF(H292=CVSSv3!$D$5,CVSSv3!$D$18,""))))*(IF(H293=CVSSv3!$C$6,CVSSv3!$C$19,(IF(H293=CVSSv3!$D$6,(IF(H295=CVSSv3!$D$8,0.68,CVSSv3!$D$19)),(IF(H293=CVSSv3!$E$6,(IF(H295=CVSSv3!$D$8,0.5,CVSSv3!$E$19))))))))*(IF(H294=CVSSv3!$C$7,CVSSv3!$C$20,(IF(H294=CVSSv3!$D$7,CVSSv3!$D$20,""))))),10)),1),ROUNDUP((MIN(1.08*((IF(H295=CVSSv3!$C$8,(6.42*(1-((1-(IF(H296=CVSSv3!$C$9,CVSSv3!$C$22,(IF(H296=CVSSv3!$D$9,CVSSv3!$D$22,(IF(H296=CVSSv3!$E$9,CVSSv3!$E$22,"")))))))*(1-(IF(H297=CVSSv3!$C$10,CVSSv3!$C$23,(IF(H297=CVSSv3!$D$10,CVSSv3!$D$23,(IF(H297=CVSSv3!$E$10,CVSSv3!$E$23,"")))))))*(1-(IF(H298=CVSSv3!$C$11,CVSSv3!$C$24,(IF(H298=CVSSv3!$D$11,CVSSv3!$D$24,(IF(H298=CVSSv3!$E$11,CVSSv3!$E$24,"")))))))))),((7.52*((1-((1-(IF(H296=CVSSv3!$C$9,CVSSv3!$C$22,(IF(H296=CVSSv3!$D$9,CVSSv3!$D$22,(IF(H296=CVSSv3!$E$9,CVSSv3!$E$22,"")))))))*(1-(IF(H297=CVSSv3!$C$10,CVSSv3!$C$23,(IF(H297=CVSSv3!$D$10,CVSSv3!$D$23,(IF(H297=CVSSv3!$E$10,CVSSv3!$E$23,"")))))))*(1-(IF(H298=CVSSv3!$C$11,CVSSv3!$C$24,(IF(H298=CVSSv3!$D$11,CVSSv3!$D$24,(IF(H298=CVSSv3!$E$11,CVSSv3!$E$24,"")))))))))-0.029))-(3.25*POWER(((1-((1-(IF(H296=CVSSv3!$C$9,CVSSv3!$C$22,(IF(H296=CVSSv3!$D$9,CVSSv3!$D$22,(IF(H296=CVSSv3!$E$9,CVSSv3!$E$22,"")))))))*(1-(IF(H297=CVSSv3!$C$10,CVSSv3!$C$23,(IF(H297=CVSSv3!$D$10,CVSSv3!$D$23,(IF(H297=CVSSv3!$E$10,CVSSv3!$E$23,"")))))))*(1-(IF(H298=CVSSv3!$C$11,CVSSv3!$C$24,(IF(H298=CVSSv3!$D$11,CVSSv3!$D$24,(IF(H298=CVSSv3!$E$11,CVSSv3!$E$24,"")))))))))-0.02),15)))))+(8.22*(IF(H291=CVSSv3!$C$4,CVSSv3!$C$17,(IF(H291=CVSSv3!$D$4,CVSSv3!$D$17,(IF(H291=CVSSv3!$E$4,CVSSv3!$E$17,(IF(H291=CVSSv3!$F$4,CVSSv3!$F$17,""))))))))*(IF(H292=CVSSv3!$C$5,CVSSv3!$C$18,(IF(H292=CVSSv3!$D$5,CVSSv3!$D$18,""))))*(IF(H293=CVSSv3!$C$6,CVSSv3!$C$19,(IF(H293=CVSSv3!$D$6,(IF(H295=CVSSv3!$D$8,0.68,CVSSv3!$D$19)),(IF(H293=CVSSv3!$E$6,(IF(H295=CVSSv3!$D$8,0.5,CVSSv3!$E$19))))))))*(IF(H294=CVSSv3!$C$7,CVSSv3!$C$20,(IF(H294=CVSSv3!$D$7,CVSSv3!$D$20,"")))))),10)),1))))*(IF(H299=CVSSv3!$C$12,CVSSv3!$C$25,(IF(H299=CVSSv3!$D$12,CVSSv3!$D$25,(IF(H299=CVSSv3!$E$12,CVSSv3!$E$25,(IF(H299=CVSSv3!$F$12,CVSSv3!$F$25,""))))))))*(IF(H300=CVSSv3!$C$13,CVSSv3!$C$26,(IF(H300=CVSSv3!$D$13,CVSSv3!$D$26,(IF(H300=CVSSv3!$E$13,CVSSv3!$E$26,(IF(H300=CVSSv3!$F$13,CVSSv3!$F$26,""))))))))*(IF(H301=CVSSv3!$C$14,CVSSv3!$C$27,(IF(H301=CVSSv3!$D$14,CVSSv3!$D$27,(IF(H301=CVSSv3!$E$14,CVSSv3!$E$27,""))))))),1)</f>
        <v>9</v>
      </c>
      <c r="J291" s="89">
        <v>0</v>
      </c>
      <c r="K291" s="89">
        <v>0</v>
      </c>
      <c r="L291" s="85" t="s">
        <v>17</v>
      </c>
      <c r="M291" s="85" t="s">
        <v>17</v>
      </c>
      <c r="N291" s="85" t="s">
        <v>707</v>
      </c>
      <c r="O291" s="85" t="s">
        <v>708</v>
      </c>
    </row>
    <row r="292" spans="1:15" x14ac:dyDescent="0.25">
      <c r="A292" s="89"/>
      <c r="B292" s="85"/>
      <c r="C292" s="85"/>
      <c r="D292" s="85"/>
      <c r="E292" s="85"/>
      <c r="F292" s="85"/>
      <c r="G292" s="80" t="str">
        <f>CVSSv3!$A$5</f>
        <v>Complejidad de ataque:</v>
      </c>
      <c r="H292" s="81" t="s">
        <v>709</v>
      </c>
      <c r="I292" s="88"/>
      <c r="J292" s="89"/>
      <c r="K292" s="89"/>
      <c r="L292" s="85"/>
      <c r="M292" s="85"/>
      <c r="N292" s="85"/>
      <c r="O292" s="85"/>
    </row>
    <row r="293" spans="1:15" x14ac:dyDescent="0.25">
      <c r="A293" s="89"/>
      <c r="B293" s="85"/>
      <c r="C293" s="85"/>
      <c r="D293" s="85"/>
      <c r="E293" s="85"/>
      <c r="F293" s="85"/>
      <c r="G293" s="80" t="str">
        <f>CVSSv3!$A$6</f>
        <v>Privilegios requeridos:</v>
      </c>
      <c r="H293" s="81" t="s">
        <v>710</v>
      </c>
      <c r="I293" s="88"/>
      <c r="J293" s="89"/>
      <c r="K293" s="89"/>
      <c r="L293" s="85"/>
      <c r="M293" s="85"/>
      <c r="N293" s="85"/>
      <c r="O293" s="85"/>
    </row>
    <row r="294" spans="1:15" x14ac:dyDescent="0.25">
      <c r="A294" s="89"/>
      <c r="B294" s="85"/>
      <c r="C294" s="85"/>
      <c r="D294" s="85"/>
      <c r="E294" s="85"/>
      <c r="F294" s="85"/>
      <c r="G294" s="80" t="str">
        <f>CVSSv3!$A$7</f>
        <v>Interacción del usuario:</v>
      </c>
      <c r="H294" s="81" t="s">
        <v>711</v>
      </c>
      <c r="I294" s="88"/>
      <c r="J294" s="89"/>
      <c r="K294" s="89"/>
      <c r="L294" s="85"/>
      <c r="M294" s="85"/>
      <c r="N294" s="85"/>
      <c r="O294" s="85"/>
    </row>
    <row r="295" spans="1:15" x14ac:dyDescent="0.25">
      <c r="A295" s="89"/>
      <c r="B295" s="85"/>
      <c r="C295" s="85"/>
      <c r="D295" s="85"/>
      <c r="E295" s="85"/>
      <c r="F295" s="85"/>
      <c r="G295" s="80" t="str">
        <f>CVSSv3!$A$8</f>
        <v>Alcance:</v>
      </c>
      <c r="H295" s="81" t="s">
        <v>712</v>
      </c>
      <c r="I295" s="88"/>
      <c r="J295" s="89"/>
      <c r="K295" s="89"/>
      <c r="L295" s="85"/>
      <c r="M295" s="85"/>
      <c r="N295" s="85"/>
      <c r="O295" s="85"/>
    </row>
    <row r="296" spans="1:15" x14ac:dyDescent="0.25">
      <c r="A296" s="89"/>
      <c r="B296" s="85"/>
      <c r="C296" s="85"/>
      <c r="D296" s="85"/>
      <c r="E296" s="85"/>
      <c r="F296" s="85"/>
      <c r="G296" s="80" t="str">
        <f>CVSSv3!$A$9</f>
        <v>Impacto a la confidencialidad:</v>
      </c>
      <c r="H296" s="81" t="s">
        <v>713</v>
      </c>
      <c r="I296" s="88"/>
      <c r="J296" s="89"/>
      <c r="K296" s="89"/>
      <c r="L296" s="85"/>
      <c r="M296" s="85"/>
      <c r="N296" s="85"/>
      <c r="O296" s="85"/>
    </row>
    <row r="297" spans="1:15" x14ac:dyDescent="0.25">
      <c r="A297" s="89"/>
      <c r="B297" s="85"/>
      <c r="C297" s="85"/>
      <c r="D297" s="85"/>
      <c r="E297" s="85"/>
      <c r="F297" s="85"/>
      <c r="G297" s="80" t="str">
        <f>CVSSv3!$A$10</f>
        <v>Impacto a la integridad:</v>
      </c>
      <c r="H297" s="81" t="s">
        <v>713</v>
      </c>
      <c r="I297" s="88"/>
      <c r="J297" s="89"/>
      <c r="K297" s="89"/>
      <c r="L297" s="85"/>
      <c r="M297" s="85"/>
      <c r="N297" s="85"/>
      <c r="O297" s="85"/>
    </row>
    <row r="298" spans="1:15" x14ac:dyDescent="0.25">
      <c r="A298" s="89"/>
      <c r="B298" s="85"/>
      <c r="C298" s="85"/>
      <c r="D298" s="85"/>
      <c r="E298" s="85"/>
      <c r="F298" s="85"/>
      <c r="G298" s="80" t="str">
        <f>CVSSv3!$A$11</f>
        <v>Impacto a la disponibilidad:</v>
      </c>
      <c r="H298" s="81" t="s">
        <v>713</v>
      </c>
      <c r="I298" s="88"/>
      <c r="J298" s="89"/>
      <c r="K298" s="89"/>
      <c r="L298" s="85"/>
      <c r="M298" s="85"/>
      <c r="N298" s="85"/>
      <c r="O298" s="85"/>
    </row>
    <row r="299" spans="1:15" x14ac:dyDescent="0.25">
      <c r="A299" s="89"/>
      <c r="B299" s="85"/>
      <c r="C299" s="85"/>
      <c r="D299" s="85"/>
      <c r="E299" s="85"/>
      <c r="F299" s="85"/>
      <c r="G299" s="80" t="str">
        <f>CVSSv3!$A$12</f>
        <v>Explotabilidad:</v>
      </c>
      <c r="H299" s="81" t="s">
        <v>709</v>
      </c>
      <c r="I299" s="88"/>
      <c r="J299" s="89"/>
      <c r="K299" s="89"/>
      <c r="L299" s="85"/>
      <c r="M299" s="85"/>
      <c r="N299" s="85"/>
      <c r="O299" s="85"/>
    </row>
    <row r="300" spans="1:15" x14ac:dyDescent="0.25">
      <c r="A300" s="89"/>
      <c r="B300" s="85"/>
      <c r="C300" s="85"/>
      <c r="D300" s="85"/>
      <c r="E300" s="85"/>
      <c r="F300" s="85"/>
      <c r="G300" s="80" t="str">
        <f>CVSSv3!$A$13</f>
        <v>Nivel de resolución:</v>
      </c>
      <c r="H300" s="81" t="s">
        <v>714</v>
      </c>
      <c r="I300" s="88"/>
      <c r="J300" s="89"/>
      <c r="K300" s="89"/>
      <c r="L300" s="85"/>
      <c r="M300" s="85"/>
      <c r="N300" s="85"/>
      <c r="O300" s="85"/>
    </row>
    <row r="301" spans="1:15" x14ac:dyDescent="0.25">
      <c r="A301" s="89"/>
      <c r="B301" s="85"/>
      <c r="C301" s="85"/>
      <c r="D301" s="85"/>
      <c r="E301" s="85"/>
      <c r="F301" s="85"/>
      <c r="G301" s="80" t="str">
        <f>CVSSv3!$A$14</f>
        <v>Nivel de confianza</v>
      </c>
      <c r="H301" s="81" t="s">
        <v>715</v>
      </c>
      <c r="I301" s="88"/>
      <c r="J301" s="89"/>
      <c r="K301" s="89"/>
      <c r="L301" s="85"/>
      <c r="M301" s="85"/>
      <c r="N301" s="85"/>
      <c r="O301" s="85"/>
    </row>
    <row r="302" spans="1:15" x14ac:dyDescent="0.25">
      <c r="A302" s="89"/>
      <c r="B302" s="85"/>
      <c r="C302" s="85"/>
      <c r="D302" s="85"/>
      <c r="E302" s="85"/>
      <c r="F302" s="85"/>
      <c r="G302" s="86" t="str">
        <f>"("&amp;CVSSv3!$B$4&amp;":"&amp;IF(H291=CVSSv3!$C$4,CVSSv3!$C$30,IF(H291=CVSSv3!$D$4,CVSSv3!$D$30,IF(H291=CVSSv3!$E$4,CVSSv3!$E$30,IF(H291=CVSSv3!$F$4,CVSSv3!$F$30,""))))&amp;"/"&amp;CVSSv3!$B$5&amp;":"&amp;IF(H292=CVSSv3!$C$5,CVSSv3!$C$31,IF(H292=CVSSv3!$D$5,CVSSv3!$D$31,""))&amp;"/"&amp;CVSSv3!$B$6&amp;":"&amp;IF(H293=CVSSv3!$C$6,CVSSv3!$C$32,IF(H293=CVSSv3!$D$6,CVSSv3!$D$32,IF(H293=CVSSv3!$E$6,CVSSv3!$E$32,"")))&amp;"/"&amp;CVSSv3!$B$7&amp;":"&amp;IF(H294=CVSSv3!$C$7,CVSSv3!$C$33,IF(H294=CVSSv3!$D$7,CVSSv3!$D$33,""))&amp;"/"&amp;CVSSv3!$B$8&amp;":"&amp;IF(H295=CVSSv3!$C$8,CVSSv3!$C$34,IF(H295=CVSSv3!$D$8,CVSSv3!$D$34,""))&amp;"/"&amp;CVSSv3!$B$9&amp;":"&amp;IF(H296=CVSSv3!$C$9,CVSSv3!$C$35,IF(H296=CVSSv3!$D$9,CVSSv3!$D$35,IF(H296=CVSSv3!$E$9,CVSSv3!$E$35,"")))&amp;"/"&amp;CVSSv3!$B$10&amp;":"&amp;IF(H297=CVSSv3!$C$10,CVSSv3!$C$36,IF(H297=CVSSv3!$D$10,CVSSv3!$D$36,IF(H297=CVSSv3!$E$10,CVSSv3!$E$36,"")))&amp;"/"&amp;CVSSv3!$B$11&amp;":"&amp;IF(H298=CVSSv3!$C$11,CVSSv3!$C$37,IF(H298=CVSSv3!$D$11,CVSSv3!$D$37,IF(H298=CVSSv3!$E$11,CVSSv3!$E$37,"")))&amp;"/"&amp;CVSSv3!$B$12&amp;":"&amp;IF(H299=CVSSv3!$C$12,CVSSv3!$C$38,IF(H299=CVSSv3!$D$12,CVSSv3!$D$38,IF(H299=CVSSv3!$E$12,CVSSv3!$E$38,IF(H299=CVSSv3!$F$12,CVSSv3!$F$38,""))))&amp;"/"&amp;CVSSv3!$B$13&amp;":"&amp;IF(H300=CVSSv3!$C$13,CVSSv3!$C$39,IF(H300=CVSSv3!$D$13,CVSSv3!$D$39,IF(H300=CVSSv3!$E$13,CVSSv3!$E$39,IF(H300=CVSSv3!$F$13,CVSSv3!$F$39,""))))&amp;"/"&amp;CVSSv3!$B$14&amp;":"&amp;IF(H301=CVSSv3!$C$14,CVSSv3!$C$40,IF(H301=CVSSv3!$D$14,CVSSv3!$D$40,IF(H301=CVSSv3!$E$14,CVSSv3!$E$40,"")))&amp;")"</f>
        <v>(AV:N/AC:H/PR:N/UI:N/S:C/C:H/I:H/A:H/E:H/RL:U/RC:C)</v>
      </c>
      <c r="H302" s="87"/>
      <c r="I302" s="88"/>
      <c r="J302" s="89"/>
      <c r="K302" s="89"/>
      <c r="L302" s="85"/>
      <c r="M302" s="85"/>
      <c r="N302" s="85"/>
      <c r="O302" s="85"/>
    </row>
    <row r="303" spans="1:15" x14ac:dyDescent="0.25">
      <c r="A303" s="89">
        <v>26</v>
      </c>
      <c r="B303" s="85" t="s">
        <v>739</v>
      </c>
      <c r="C303" s="85" t="s">
        <v>17</v>
      </c>
      <c r="D303" s="85" t="s">
        <v>17</v>
      </c>
      <c r="E303" s="85" t="s">
        <v>17</v>
      </c>
      <c r="F303"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03" s="82" t="str">
        <f>CVSSv3!$A$4</f>
        <v>Vector de ataque:</v>
      </c>
      <c r="H303" s="84" t="s">
        <v>706</v>
      </c>
      <c r="I303" s="88">
        <f>ROUNDUP((IF((IF(H307=CVSSv3!$C$8,(6.42*(1-((1-(IF(H308=CVSSv3!$C$9,CVSSv3!$C$22,(IF(H308=CVSSv3!$D$9,CVSSv3!$D$22,(IF(H308=CVSSv3!$E$9,CVSSv3!$E$22,"")))))))*(1-(IF(H309=CVSSv3!$C$10,CVSSv3!$C$23,(IF(H309=CVSSv3!$D$10,CVSSv3!$D$23,(IF(H309=CVSSv3!$E$10,CVSSv3!$E$23,"")))))))*(1-(IF(H310=CVSSv3!$C$11,CVSSv3!$C$24,(IF(H310=CVSSv3!$D$11,CVSSv3!$D$24,(IF(H310=CVSSv3!$E$11,CVSSv3!$E$24,"")))))))))),((7.52*((1-((1-(IF(H308=CVSSv3!$C$9,CVSSv3!$C$22,(IF(H308=CVSSv3!$D$9,CVSSv3!$D$22,(IF(H308=CVSSv3!$E$9,CVSSv3!$E$22,"")))))))*(1-(IF(H309=CVSSv3!$C$10,CVSSv3!$C$23,(IF(H309=CVSSv3!$D$10,CVSSv3!$D$23,(IF(H309=CVSSv3!$E$10,CVSSv3!$E$23,"")))))))*(1-(IF(H310=CVSSv3!$C$11,CVSSv3!$C$24,(IF(H310=CVSSv3!$D$11,CVSSv3!$D$24,(IF(H310=CVSSv3!$E$11,CVSSv3!$E$24,"")))))))))-0.029))-(3.25*POWER(((1-((1-(IF(H308=CVSSv3!$C$9,CVSSv3!$C$22,(IF(H308=CVSSv3!$D$9,CVSSv3!$D$22,(IF(H308=CVSSv3!$E$9,CVSSv3!$E$22,"")))))))*(1-(IF(H309=CVSSv3!$C$10,CVSSv3!$C$23,(IF(H309=CVSSv3!$D$10,CVSSv3!$D$23,(IF(H309=CVSSv3!$E$10,CVSSv3!$E$23,"")))))))*(1-(IF(H310=CVSSv3!$C$11,CVSSv3!$C$24,(IF(H310=CVSSv3!$D$11,CVSSv3!$D$24,(IF(H310=CVSSv3!$E$11,CVSSv3!$E$24,"")))))))))-0.02),15)))))&lt;=0,0,(IF(H307=CVSSv3!$C$8,ROUNDUP((MIN((IF(H307=CVSSv3!$C$8,(6.42*(1-((1-(IF(H308=CVSSv3!$C$9,CVSSv3!$C$22,(IF(H308=CVSSv3!$D$9,CVSSv3!$D$22,(IF(H308=CVSSv3!$E$9,CVSSv3!$E$22,"")))))))*(1-(IF(H309=CVSSv3!$C$10,CVSSv3!$C$23,(IF(H309=CVSSv3!$D$10,CVSSv3!$D$23,(IF(H309=CVSSv3!$E$10,CVSSv3!$E$23,"")))))))*(1-(IF(H310=CVSSv3!$C$11,CVSSv3!$C$24,(IF(H310=CVSSv3!$D$11,CVSSv3!$D$24,(IF(H310=CVSSv3!$E$11,CVSSv3!$E$24,"")))))))))),((7.52*((1-((1-(IF(H308=CVSSv3!$C$9,CVSSv3!$C$22,(IF(H308=CVSSv3!$D$9,CVSSv3!$D$22,(IF(H308=CVSSv3!$E$9,CVSSv3!$E$22,"")))))))*(1-(IF(H309=CVSSv3!$C$10,CVSSv3!$C$23,(IF(H309=CVSSv3!$D$10,CVSSv3!$D$23,(IF(H309=CVSSv3!$E$10,CVSSv3!$E$23,"")))))))*(1-(IF(H310=CVSSv3!$C$11,CVSSv3!$C$24,(IF(H310=CVSSv3!$D$11,CVSSv3!$D$24,(IF(H310=CVSSv3!$E$11,CVSSv3!$E$24,"")))))))))-0.029))-(3.25*POWER(((1-((1-(IF(H308=CVSSv3!$C$9,CVSSv3!$C$22,(IF(H308=CVSSv3!$D$9,CVSSv3!$D$22,(IF(H308=CVSSv3!$E$9,CVSSv3!$E$22,"")))))))*(1-(IF(H309=CVSSv3!$C$10,CVSSv3!$C$23,(IF(H309=CVSSv3!$D$10,CVSSv3!$D$23,(IF(H309=CVSSv3!$E$10,CVSSv3!$E$23,"")))))))*(1-(IF(H310=CVSSv3!$C$11,CVSSv3!$C$24,(IF(H310=CVSSv3!$D$11,CVSSv3!$D$24,(IF(H310=CVSSv3!$E$11,CVSSv3!$E$24,"")))))))))-0.02),15)))))+(8.22*(IF(H303=CVSSv3!$C$4,CVSSv3!$C$17,(IF(H303=CVSSv3!$D$4,CVSSv3!$D$17,(IF(H303=CVSSv3!$E$4,CVSSv3!$E$17,(IF(H303=CVSSv3!$F$4,CVSSv3!$F$17,""))))))))*(IF(H304=CVSSv3!$C$5,CVSSv3!$C$18,(IF(H304=CVSSv3!$D$5,CVSSv3!$D$18,""))))*(IF(H305=CVSSv3!$C$6,CVSSv3!$C$19,(IF(H305=CVSSv3!$D$6,(IF(H307=CVSSv3!$D$8,0.68,CVSSv3!$D$19)),(IF(H305=CVSSv3!$E$6,(IF(H307=CVSSv3!$D$8,0.5,CVSSv3!$E$19))))))))*(IF(H306=CVSSv3!$C$7,CVSSv3!$C$20,(IF(H306=CVSSv3!$D$7,CVSSv3!$D$20,""))))),10)),1),ROUNDUP((MIN(1.08*((IF(H307=CVSSv3!$C$8,(6.42*(1-((1-(IF(H308=CVSSv3!$C$9,CVSSv3!$C$22,(IF(H308=CVSSv3!$D$9,CVSSv3!$D$22,(IF(H308=CVSSv3!$E$9,CVSSv3!$E$22,"")))))))*(1-(IF(H309=CVSSv3!$C$10,CVSSv3!$C$23,(IF(H309=CVSSv3!$D$10,CVSSv3!$D$23,(IF(H309=CVSSv3!$E$10,CVSSv3!$E$23,"")))))))*(1-(IF(H310=CVSSv3!$C$11,CVSSv3!$C$24,(IF(H310=CVSSv3!$D$11,CVSSv3!$D$24,(IF(H310=CVSSv3!$E$11,CVSSv3!$E$24,"")))))))))),((7.52*((1-((1-(IF(H308=CVSSv3!$C$9,CVSSv3!$C$22,(IF(H308=CVSSv3!$D$9,CVSSv3!$D$22,(IF(H308=CVSSv3!$E$9,CVSSv3!$E$22,"")))))))*(1-(IF(H309=CVSSv3!$C$10,CVSSv3!$C$23,(IF(H309=CVSSv3!$D$10,CVSSv3!$D$23,(IF(H309=CVSSv3!$E$10,CVSSv3!$E$23,"")))))))*(1-(IF(H310=CVSSv3!$C$11,CVSSv3!$C$24,(IF(H310=CVSSv3!$D$11,CVSSv3!$D$24,(IF(H310=CVSSv3!$E$11,CVSSv3!$E$24,"")))))))))-0.029))-(3.25*POWER(((1-((1-(IF(H308=CVSSv3!$C$9,CVSSv3!$C$22,(IF(H308=CVSSv3!$D$9,CVSSv3!$D$22,(IF(H308=CVSSv3!$E$9,CVSSv3!$E$22,"")))))))*(1-(IF(H309=CVSSv3!$C$10,CVSSv3!$C$23,(IF(H309=CVSSv3!$D$10,CVSSv3!$D$23,(IF(H309=CVSSv3!$E$10,CVSSv3!$E$23,"")))))))*(1-(IF(H310=CVSSv3!$C$11,CVSSv3!$C$24,(IF(H310=CVSSv3!$D$11,CVSSv3!$D$24,(IF(H310=CVSSv3!$E$11,CVSSv3!$E$24,"")))))))))-0.02),15)))))+(8.22*(IF(H303=CVSSv3!$C$4,CVSSv3!$C$17,(IF(H303=CVSSv3!$D$4,CVSSv3!$D$17,(IF(H303=CVSSv3!$E$4,CVSSv3!$E$17,(IF(H303=CVSSv3!$F$4,CVSSv3!$F$17,""))))))))*(IF(H304=CVSSv3!$C$5,CVSSv3!$C$18,(IF(H304=CVSSv3!$D$5,CVSSv3!$D$18,""))))*(IF(H305=CVSSv3!$C$6,CVSSv3!$C$19,(IF(H305=CVSSv3!$D$6,(IF(H307=CVSSv3!$D$8,0.68,CVSSv3!$D$19)),(IF(H305=CVSSv3!$E$6,(IF(H307=CVSSv3!$D$8,0.5,CVSSv3!$E$19))))))))*(IF(H306=CVSSv3!$C$7,CVSSv3!$C$20,(IF(H306=CVSSv3!$D$7,CVSSv3!$D$20,"")))))),10)),1))))*(IF(H311=CVSSv3!$C$12,CVSSv3!$C$25,(IF(H311=CVSSv3!$D$12,CVSSv3!$D$25,(IF(H311=CVSSv3!$E$12,CVSSv3!$E$25,(IF(H311=CVSSv3!$F$12,CVSSv3!$F$25,""))))))))*(IF(H312=CVSSv3!$C$13,CVSSv3!$C$26,(IF(H312=CVSSv3!$D$13,CVSSv3!$D$26,(IF(H312=CVSSv3!$E$13,CVSSv3!$E$26,(IF(H312=CVSSv3!$F$13,CVSSv3!$F$26,""))))))))*(IF(H313=CVSSv3!$C$14,CVSSv3!$C$27,(IF(H313=CVSSv3!$D$14,CVSSv3!$D$27,(IF(H313=CVSSv3!$E$14,CVSSv3!$E$27,""))))))),1)</f>
        <v>9</v>
      </c>
      <c r="J303" s="89">
        <v>0</v>
      </c>
      <c r="K303" s="89">
        <v>0</v>
      </c>
      <c r="L303" s="85" t="s">
        <v>17</v>
      </c>
      <c r="M303" s="85" t="s">
        <v>17</v>
      </c>
      <c r="N303" s="85" t="s">
        <v>707</v>
      </c>
      <c r="O303" s="85" t="s">
        <v>708</v>
      </c>
    </row>
    <row r="304" spans="1:15" x14ac:dyDescent="0.25">
      <c r="A304" s="89"/>
      <c r="B304" s="85"/>
      <c r="C304" s="85"/>
      <c r="D304" s="85"/>
      <c r="E304" s="85"/>
      <c r="F304" s="85"/>
      <c r="G304" s="80" t="str">
        <f>CVSSv3!$A$5</f>
        <v>Complejidad de ataque:</v>
      </c>
      <c r="H304" s="81" t="s">
        <v>709</v>
      </c>
      <c r="I304" s="88"/>
      <c r="J304" s="89"/>
      <c r="K304" s="89"/>
      <c r="L304" s="85"/>
      <c r="M304" s="85"/>
      <c r="N304" s="85"/>
      <c r="O304" s="85"/>
    </row>
    <row r="305" spans="1:15" x14ac:dyDescent="0.25">
      <c r="A305" s="89"/>
      <c r="B305" s="85"/>
      <c r="C305" s="85"/>
      <c r="D305" s="85"/>
      <c r="E305" s="85"/>
      <c r="F305" s="85"/>
      <c r="G305" s="80" t="str">
        <f>CVSSv3!$A$6</f>
        <v>Privilegios requeridos:</v>
      </c>
      <c r="H305" s="81" t="s">
        <v>710</v>
      </c>
      <c r="I305" s="88"/>
      <c r="J305" s="89"/>
      <c r="K305" s="89"/>
      <c r="L305" s="85"/>
      <c r="M305" s="85"/>
      <c r="N305" s="85"/>
      <c r="O305" s="85"/>
    </row>
    <row r="306" spans="1:15" x14ac:dyDescent="0.25">
      <c r="A306" s="89"/>
      <c r="B306" s="85"/>
      <c r="C306" s="85"/>
      <c r="D306" s="85"/>
      <c r="E306" s="85"/>
      <c r="F306" s="85"/>
      <c r="G306" s="80" t="str">
        <f>CVSSv3!$A$7</f>
        <v>Interacción del usuario:</v>
      </c>
      <c r="H306" s="81" t="s">
        <v>711</v>
      </c>
      <c r="I306" s="88"/>
      <c r="J306" s="89"/>
      <c r="K306" s="89"/>
      <c r="L306" s="85"/>
      <c r="M306" s="85"/>
      <c r="N306" s="85"/>
      <c r="O306" s="85"/>
    </row>
    <row r="307" spans="1:15" x14ac:dyDescent="0.25">
      <c r="A307" s="89"/>
      <c r="B307" s="85"/>
      <c r="C307" s="85"/>
      <c r="D307" s="85"/>
      <c r="E307" s="85"/>
      <c r="F307" s="85"/>
      <c r="G307" s="80" t="str">
        <f>CVSSv3!$A$8</f>
        <v>Alcance:</v>
      </c>
      <c r="H307" s="81" t="s">
        <v>712</v>
      </c>
      <c r="I307" s="88"/>
      <c r="J307" s="89"/>
      <c r="K307" s="89"/>
      <c r="L307" s="85"/>
      <c r="M307" s="85"/>
      <c r="N307" s="85"/>
      <c r="O307" s="85"/>
    </row>
    <row r="308" spans="1:15" x14ac:dyDescent="0.25">
      <c r="A308" s="89"/>
      <c r="B308" s="85"/>
      <c r="C308" s="85"/>
      <c r="D308" s="85"/>
      <c r="E308" s="85"/>
      <c r="F308" s="85"/>
      <c r="G308" s="80" t="str">
        <f>CVSSv3!$A$9</f>
        <v>Impacto a la confidencialidad:</v>
      </c>
      <c r="H308" s="81" t="s">
        <v>713</v>
      </c>
      <c r="I308" s="88"/>
      <c r="J308" s="89"/>
      <c r="K308" s="89"/>
      <c r="L308" s="85"/>
      <c r="M308" s="85"/>
      <c r="N308" s="85"/>
      <c r="O308" s="85"/>
    </row>
    <row r="309" spans="1:15" x14ac:dyDescent="0.25">
      <c r="A309" s="89"/>
      <c r="B309" s="85"/>
      <c r="C309" s="85"/>
      <c r="D309" s="85"/>
      <c r="E309" s="85"/>
      <c r="F309" s="85"/>
      <c r="G309" s="80" t="str">
        <f>CVSSv3!$A$10</f>
        <v>Impacto a la integridad:</v>
      </c>
      <c r="H309" s="81" t="s">
        <v>713</v>
      </c>
      <c r="I309" s="88"/>
      <c r="J309" s="89"/>
      <c r="K309" s="89"/>
      <c r="L309" s="85"/>
      <c r="M309" s="85"/>
      <c r="N309" s="85"/>
      <c r="O309" s="85"/>
    </row>
    <row r="310" spans="1:15" x14ac:dyDescent="0.25">
      <c r="A310" s="89"/>
      <c r="B310" s="85"/>
      <c r="C310" s="85"/>
      <c r="D310" s="85"/>
      <c r="E310" s="85"/>
      <c r="F310" s="85"/>
      <c r="G310" s="80" t="str">
        <f>CVSSv3!$A$11</f>
        <v>Impacto a la disponibilidad:</v>
      </c>
      <c r="H310" s="81" t="s">
        <v>713</v>
      </c>
      <c r="I310" s="88"/>
      <c r="J310" s="89"/>
      <c r="K310" s="89"/>
      <c r="L310" s="85"/>
      <c r="M310" s="85"/>
      <c r="N310" s="85"/>
      <c r="O310" s="85"/>
    </row>
    <row r="311" spans="1:15" x14ac:dyDescent="0.25">
      <c r="A311" s="89"/>
      <c r="B311" s="85"/>
      <c r="C311" s="85"/>
      <c r="D311" s="85"/>
      <c r="E311" s="85"/>
      <c r="F311" s="85"/>
      <c r="G311" s="80" t="str">
        <f>CVSSv3!$A$12</f>
        <v>Explotabilidad:</v>
      </c>
      <c r="H311" s="81" t="s">
        <v>709</v>
      </c>
      <c r="I311" s="88"/>
      <c r="J311" s="89"/>
      <c r="K311" s="89"/>
      <c r="L311" s="85"/>
      <c r="M311" s="85"/>
      <c r="N311" s="85"/>
      <c r="O311" s="85"/>
    </row>
    <row r="312" spans="1:15" x14ac:dyDescent="0.25">
      <c r="A312" s="89"/>
      <c r="B312" s="85"/>
      <c r="C312" s="85"/>
      <c r="D312" s="85"/>
      <c r="E312" s="85"/>
      <c r="F312" s="85"/>
      <c r="G312" s="80" t="str">
        <f>CVSSv3!$A$13</f>
        <v>Nivel de resolución:</v>
      </c>
      <c r="H312" s="81" t="s">
        <v>714</v>
      </c>
      <c r="I312" s="88"/>
      <c r="J312" s="89"/>
      <c r="K312" s="89"/>
      <c r="L312" s="85"/>
      <c r="M312" s="85"/>
      <c r="N312" s="85"/>
      <c r="O312" s="85"/>
    </row>
    <row r="313" spans="1:15" x14ac:dyDescent="0.25">
      <c r="A313" s="89"/>
      <c r="B313" s="85"/>
      <c r="C313" s="85"/>
      <c r="D313" s="85"/>
      <c r="E313" s="85"/>
      <c r="F313" s="85"/>
      <c r="G313" s="80" t="str">
        <f>CVSSv3!$A$14</f>
        <v>Nivel de confianza</v>
      </c>
      <c r="H313" s="81" t="s">
        <v>715</v>
      </c>
      <c r="I313" s="88"/>
      <c r="J313" s="89"/>
      <c r="K313" s="89"/>
      <c r="L313" s="85"/>
      <c r="M313" s="85"/>
      <c r="N313" s="85"/>
      <c r="O313" s="85"/>
    </row>
    <row r="314" spans="1:15" x14ac:dyDescent="0.25">
      <c r="A314" s="89"/>
      <c r="B314" s="85"/>
      <c r="C314" s="85"/>
      <c r="D314" s="85"/>
      <c r="E314" s="85"/>
      <c r="F314" s="85"/>
      <c r="G314" s="86" t="str">
        <f>"("&amp;CVSSv3!$B$4&amp;":"&amp;IF(H303=CVSSv3!$C$4,CVSSv3!$C$30,IF(H303=CVSSv3!$D$4,CVSSv3!$D$30,IF(H303=CVSSv3!$E$4,CVSSv3!$E$30,IF(H303=CVSSv3!$F$4,CVSSv3!$F$30,""))))&amp;"/"&amp;CVSSv3!$B$5&amp;":"&amp;IF(H304=CVSSv3!$C$5,CVSSv3!$C$31,IF(H304=CVSSv3!$D$5,CVSSv3!$D$31,""))&amp;"/"&amp;CVSSv3!$B$6&amp;":"&amp;IF(H305=CVSSv3!$C$6,CVSSv3!$C$32,IF(H305=CVSSv3!$D$6,CVSSv3!$D$32,IF(H305=CVSSv3!$E$6,CVSSv3!$E$32,"")))&amp;"/"&amp;CVSSv3!$B$7&amp;":"&amp;IF(H306=CVSSv3!$C$7,CVSSv3!$C$33,IF(H306=CVSSv3!$D$7,CVSSv3!$D$33,""))&amp;"/"&amp;CVSSv3!$B$8&amp;":"&amp;IF(H307=CVSSv3!$C$8,CVSSv3!$C$34,IF(H307=CVSSv3!$D$8,CVSSv3!$D$34,""))&amp;"/"&amp;CVSSv3!$B$9&amp;":"&amp;IF(H308=CVSSv3!$C$9,CVSSv3!$C$35,IF(H308=CVSSv3!$D$9,CVSSv3!$D$35,IF(H308=CVSSv3!$E$9,CVSSv3!$E$35,"")))&amp;"/"&amp;CVSSv3!$B$10&amp;":"&amp;IF(H309=CVSSv3!$C$10,CVSSv3!$C$36,IF(H309=CVSSv3!$D$10,CVSSv3!$D$36,IF(H309=CVSSv3!$E$10,CVSSv3!$E$36,"")))&amp;"/"&amp;CVSSv3!$B$11&amp;":"&amp;IF(H310=CVSSv3!$C$11,CVSSv3!$C$37,IF(H310=CVSSv3!$D$11,CVSSv3!$D$37,IF(H310=CVSSv3!$E$11,CVSSv3!$E$37,"")))&amp;"/"&amp;CVSSv3!$B$12&amp;":"&amp;IF(H311=CVSSv3!$C$12,CVSSv3!$C$38,IF(H311=CVSSv3!$D$12,CVSSv3!$D$38,IF(H311=CVSSv3!$E$12,CVSSv3!$E$38,IF(H311=CVSSv3!$F$12,CVSSv3!$F$38,""))))&amp;"/"&amp;CVSSv3!$B$13&amp;":"&amp;IF(H312=CVSSv3!$C$13,CVSSv3!$C$39,IF(H312=CVSSv3!$D$13,CVSSv3!$D$39,IF(H312=CVSSv3!$E$13,CVSSv3!$E$39,IF(H312=CVSSv3!$F$13,CVSSv3!$F$39,""))))&amp;"/"&amp;CVSSv3!$B$14&amp;":"&amp;IF(H313=CVSSv3!$C$14,CVSSv3!$C$40,IF(H313=CVSSv3!$D$14,CVSSv3!$D$40,IF(H313=CVSSv3!$E$14,CVSSv3!$E$40,"")))&amp;")"</f>
        <v>(AV:N/AC:H/PR:N/UI:N/S:C/C:H/I:H/A:H/E:H/RL:U/RC:C)</v>
      </c>
      <c r="H314" s="87"/>
      <c r="I314" s="88"/>
      <c r="J314" s="89"/>
      <c r="K314" s="89"/>
      <c r="L314" s="85"/>
      <c r="M314" s="85"/>
      <c r="N314" s="85"/>
      <c r="O314" s="85"/>
    </row>
    <row r="315" spans="1:15" x14ac:dyDescent="0.25">
      <c r="A315" s="89">
        <v>27</v>
      </c>
      <c r="B315" s="85" t="s">
        <v>740</v>
      </c>
      <c r="C315" s="85" t="s">
        <v>17</v>
      </c>
      <c r="D315" s="85" t="s">
        <v>17</v>
      </c>
      <c r="E315" s="85" t="s">
        <v>17</v>
      </c>
      <c r="F315"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15" s="82" t="str">
        <f>CVSSv3!$A$4</f>
        <v>Vector de ataque:</v>
      </c>
      <c r="H315" s="84" t="s">
        <v>706</v>
      </c>
      <c r="I315" s="88">
        <f>ROUNDUP((IF((IF(H319=CVSSv3!$C$8,(6.42*(1-((1-(IF(H320=CVSSv3!$C$9,CVSSv3!$C$22,(IF(H320=CVSSv3!$D$9,CVSSv3!$D$22,(IF(H320=CVSSv3!$E$9,CVSSv3!$E$22,"")))))))*(1-(IF(H321=CVSSv3!$C$10,CVSSv3!$C$23,(IF(H321=CVSSv3!$D$10,CVSSv3!$D$23,(IF(H321=CVSSv3!$E$10,CVSSv3!$E$23,"")))))))*(1-(IF(H322=CVSSv3!$C$11,CVSSv3!$C$24,(IF(H322=CVSSv3!$D$11,CVSSv3!$D$24,(IF(H322=CVSSv3!$E$11,CVSSv3!$E$24,"")))))))))),((7.52*((1-((1-(IF(H320=CVSSv3!$C$9,CVSSv3!$C$22,(IF(H320=CVSSv3!$D$9,CVSSv3!$D$22,(IF(H320=CVSSv3!$E$9,CVSSv3!$E$22,"")))))))*(1-(IF(H321=CVSSv3!$C$10,CVSSv3!$C$23,(IF(H321=CVSSv3!$D$10,CVSSv3!$D$23,(IF(H321=CVSSv3!$E$10,CVSSv3!$E$23,"")))))))*(1-(IF(H322=CVSSv3!$C$11,CVSSv3!$C$24,(IF(H322=CVSSv3!$D$11,CVSSv3!$D$24,(IF(H322=CVSSv3!$E$11,CVSSv3!$E$24,"")))))))))-0.029))-(3.25*POWER(((1-((1-(IF(H320=CVSSv3!$C$9,CVSSv3!$C$22,(IF(H320=CVSSv3!$D$9,CVSSv3!$D$22,(IF(H320=CVSSv3!$E$9,CVSSv3!$E$22,"")))))))*(1-(IF(H321=CVSSv3!$C$10,CVSSv3!$C$23,(IF(H321=CVSSv3!$D$10,CVSSv3!$D$23,(IF(H321=CVSSv3!$E$10,CVSSv3!$E$23,"")))))))*(1-(IF(H322=CVSSv3!$C$11,CVSSv3!$C$24,(IF(H322=CVSSv3!$D$11,CVSSv3!$D$24,(IF(H322=CVSSv3!$E$11,CVSSv3!$E$24,"")))))))))-0.02),15)))))&lt;=0,0,(IF(H319=CVSSv3!$C$8,ROUNDUP((MIN((IF(H319=CVSSv3!$C$8,(6.42*(1-((1-(IF(H320=CVSSv3!$C$9,CVSSv3!$C$22,(IF(H320=CVSSv3!$D$9,CVSSv3!$D$22,(IF(H320=CVSSv3!$E$9,CVSSv3!$E$22,"")))))))*(1-(IF(H321=CVSSv3!$C$10,CVSSv3!$C$23,(IF(H321=CVSSv3!$D$10,CVSSv3!$D$23,(IF(H321=CVSSv3!$E$10,CVSSv3!$E$23,"")))))))*(1-(IF(H322=CVSSv3!$C$11,CVSSv3!$C$24,(IF(H322=CVSSv3!$D$11,CVSSv3!$D$24,(IF(H322=CVSSv3!$E$11,CVSSv3!$E$24,"")))))))))),((7.52*((1-((1-(IF(H320=CVSSv3!$C$9,CVSSv3!$C$22,(IF(H320=CVSSv3!$D$9,CVSSv3!$D$22,(IF(H320=CVSSv3!$E$9,CVSSv3!$E$22,"")))))))*(1-(IF(H321=CVSSv3!$C$10,CVSSv3!$C$23,(IF(H321=CVSSv3!$D$10,CVSSv3!$D$23,(IF(H321=CVSSv3!$E$10,CVSSv3!$E$23,"")))))))*(1-(IF(H322=CVSSv3!$C$11,CVSSv3!$C$24,(IF(H322=CVSSv3!$D$11,CVSSv3!$D$24,(IF(H322=CVSSv3!$E$11,CVSSv3!$E$24,"")))))))))-0.029))-(3.25*POWER(((1-((1-(IF(H320=CVSSv3!$C$9,CVSSv3!$C$22,(IF(H320=CVSSv3!$D$9,CVSSv3!$D$22,(IF(H320=CVSSv3!$E$9,CVSSv3!$E$22,"")))))))*(1-(IF(H321=CVSSv3!$C$10,CVSSv3!$C$23,(IF(H321=CVSSv3!$D$10,CVSSv3!$D$23,(IF(H321=CVSSv3!$E$10,CVSSv3!$E$23,"")))))))*(1-(IF(H322=CVSSv3!$C$11,CVSSv3!$C$24,(IF(H322=CVSSv3!$D$11,CVSSv3!$D$24,(IF(H322=CVSSv3!$E$11,CVSSv3!$E$24,"")))))))))-0.02),15)))))+(8.22*(IF(H315=CVSSv3!$C$4,CVSSv3!$C$17,(IF(H315=CVSSv3!$D$4,CVSSv3!$D$17,(IF(H315=CVSSv3!$E$4,CVSSv3!$E$17,(IF(H315=CVSSv3!$F$4,CVSSv3!$F$17,""))))))))*(IF(H316=CVSSv3!$C$5,CVSSv3!$C$18,(IF(H316=CVSSv3!$D$5,CVSSv3!$D$18,""))))*(IF(H317=CVSSv3!$C$6,CVSSv3!$C$19,(IF(H317=CVSSv3!$D$6,(IF(H319=CVSSv3!$D$8,0.68,CVSSv3!$D$19)),(IF(H317=CVSSv3!$E$6,(IF(H319=CVSSv3!$D$8,0.5,CVSSv3!$E$19))))))))*(IF(H318=CVSSv3!$C$7,CVSSv3!$C$20,(IF(H318=CVSSv3!$D$7,CVSSv3!$D$20,""))))),10)),1),ROUNDUP((MIN(1.08*((IF(H319=CVSSv3!$C$8,(6.42*(1-((1-(IF(H320=CVSSv3!$C$9,CVSSv3!$C$22,(IF(H320=CVSSv3!$D$9,CVSSv3!$D$22,(IF(H320=CVSSv3!$E$9,CVSSv3!$E$22,"")))))))*(1-(IF(H321=CVSSv3!$C$10,CVSSv3!$C$23,(IF(H321=CVSSv3!$D$10,CVSSv3!$D$23,(IF(H321=CVSSv3!$E$10,CVSSv3!$E$23,"")))))))*(1-(IF(H322=CVSSv3!$C$11,CVSSv3!$C$24,(IF(H322=CVSSv3!$D$11,CVSSv3!$D$24,(IF(H322=CVSSv3!$E$11,CVSSv3!$E$24,"")))))))))),((7.52*((1-((1-(IF(H320=CVSSv3!$C$9,CVSSv3!$C$22,(IF(H320=CVSSv3!$D$9,CVSSv3!$D$22,(IF(H320=CVSSv3!$E$9,CVSSv3!$E$22,"")))))))*(1-(IF(H321=CVSSv3!$C$10,CVSSv3!$C$23,(IF(H321=CVSSv3!$D$10,CVSSv3!$D$23,(IF(H321=CVSSv3!$E$10,CVSSv3!$E$23,"")))))))*(1-(IF(H322=CVSSv3!$C$11,CVSSv3!$C$24,(IF(H322=CVSSv3!$D$11,CVSSv3!$D$24,(IF(H322=CVSSv3!$E$11,CVSSv3!$E$24,"")))))))))-0.029))-(3.25*POWER(((1-((1-(IF(H320=CVSSv3!$C$9,CVSSv3!$C$22,(IF(H320=CVSSv3!$D$9,CVSSv3!$D$22,(IF(H320=CVSSv3!$E$9,CVSSv3!$E$22,"")))))))*(1-(IF(H321=CVSSv3!$C$10,CVSSv3!$C$23,(IF(H321=CVSSv3!$D$10,CVSSv3!$D$23,(IF(H321=CVSSv3!$E$10,CVSSv3!$E$23,"")))))))*(1-(IF(H322=CVSSv3!$C$11,CVSSv3!$C$24,(IF(H322=CVSSv3!$D$11,CVSSv3!$D$24,(IF(H322=CVSSv3!$E$11,CVSSv3!$E$24,"")))))))))-0.02),15)))))+(8.22*(IF(H315=CVSSv3!$C$4,CVSSv3!$C$17,(IF(H315=CVSSv3!$D$4,CVSSv3!$D$17,(IF(H315=CVSSv3!$E$4,CVSSv3!$E$17,(IF(H315=CVSSv3!$F$4,CVSSv3!$F$17,""))))))))*(IF(H316=CVSSv3!$C$5,CVSSv3!$C$18,(IF(H316=CVSSv3!$D$5,CVSSv3!$D$18,""))))*(IF(H317=CVSSv3!$C$6,CVSSv3!$C$19,(IF(H317=CVSSv3!$D$6,(IF(H319=CVSSv3!$D$8,0.68,CVSSv3!$D$19)),(IF(H317=CVSSv3!$E$6,(IF(H319=CVSSv3!$D$8,0.5,CVSSv3!$E$19))))))))*(IF(H318=CVSSv3!$C$7,CVSSv3!$C$20,(IF(H318=CVSSv3!$D$7,CVSSv3!$D$20,"")))))),10)),1))))*(IF(H323=CVSSv3!$C$12,CVSSv3!$C$25,(IF(H323=CVSSv3!$D$12,CVSSv3!$D$25,(IF(H323=CVSSv3!$E$12,CVSSv3!$E$25,(IF(H323=CVSSv3!$F$12,CVSSv3!$F$25,""))))))))*(IF(H324=CVSSv3!$C$13,CVSSv3!$C$26,(IF(H324=CVSSv3!$D$13,CVSSv3!$D$26,(IF(H324=CVSSv3!$E$13,CVSSv3!$E$26,(IF(H324=CVSSv3!$F$13,CVSSv3!$F$26,""))))))))*(IF(H325=CVSSv3!$C$14,CVSSv3!$C$27,(IF(H325=CVSSv3!$D$14,CVSSv3!$D$27,(IF(H325=CVSSv3!$E$14,CVSSv3!$E$27,""))))))),1)</f>
        <v>9</v>
      </c>
      <c r="J315" s="89">
        <v>0</v>
      </c>
      <c r="K315" s="89">
        <v>0</v>
      </c>
      <c r="L315" s="85" t="s">
        <v>17</v>
      </c>
      <c r="M315" s="85" t="s">
        <v>17</v>
      </c>
      <c r="N315" s="85" t="s">
        <v>707</v>
      </c>
      <c r="O315" s="85" t="s">
        <v>708</v>
      </c>
    </row>
    <row r="316" spans="1:15" x14ac:dyDescent="0.25">
      <c r="A316" s="89"/>
      <c r="B316" s="85"/>
      <c r="C316" s="85"/>
      <c r="D316" s="85"/>
      <c r="E316" s="85"/>
      <c r="F316" s="85"/>
      <c r="G316" s="80" t="str">
        <f>CVSSv3!$A$5</f>
        <v>Complejidad de ataque:</v>
      </c>
      <c r="H316" s="81" t="s">
        <v>709</v>
      </c>
      <c r="I316" s="88"/>
      <c r="J316" s="89"/>
      <c r="K316" s="89"/>
      <c r="L316" s="85"/>
      <c r="M316" s="85"/>
      <c r="N316" s="85"/>
      <c r="O316" s="85"/>
    </row>
    <row r="317" spans="1:15" x14ac:dyDescent="0.25">
      <c r="A317" s="89"/>
      <c r="B317" s="85"/>
      <c r="C317" s="85"/>
      <c r="D317" s="85"/>
      <c r="E317" s="85"/>
      <c r="F317" s="85"/>
      <c r="G317" s="80" t="str">
        <f>CVSSv3!$A$6</f>
        <v>Privilegios requeridos:</v>
      </c>
      <c r="H317" s="81" t="s">
        <v>710</v>
      </c>
      <c r="I317" s="88"/>
      <c r="J317" s="89"/>
      <c r="K317" s="89"/>
      <c r="L317" s="85"/>
      <c r="M317" s="85"/>
      <c r="N317" s="85"/>
      <c r="O317" s="85"/>
    </row>
    <row r="318" spans="1:15" x14ac:dyDescent="0.25">
      <c r="A318" s="89"/>
      <c r="B318" s="85"/>
      <c r="C318" s="85"/>
      <c r="D318" s="85"/>
      <c r="E318" s="85"/>
      <c r="F318" s="85"/>
      <c r="G318" s="80" t="str">
        <f>CVSSv3!$A$7</f>
        <v>Interacción del usuario:</v>
      </c>
      <c r="H318" s="81" t="s">
        <v>711</v>
      </c>
      <c r="I318" s="88"/>
      <c r="J318" s="89"/>
      <c r="K318" s="89"/>
      <c r="L318" s="85"/>
      <c r="M318" s="85"/>
      <c r="N318" s="85"/>
      <c r="O318" s="85"/>
    </row>
    <row r="319" spans="1:15" x14ac:dyDescent="0.25">
      <c r="A319" s="89"/>
      <c r="B319" s="85"/>
      <c r="C319" s="85"/>
      <c r="D319" s="85"/>
      <c r="E319" s="85"/>
      <c r="F319" s="85"/>
      <c r="G319" s="80" t="str">
        <f>CVSSv3!$A$8</f>
        <v>Alcance:</v>
      </c>
      <c r="H319" s="81" t="s">
        <v>712</v>
      </c>
      <c r="I319" s="88"/>
      <c r="J319" s="89"/>
      <c r="K319" s="89"/>
      <c r="L319" s="85"/>
      <c r="M319" s="85"/>
      <c r="N319" s="85"/>
      <c r="O319" s="85"/>
    </row>
    <row r="320" spans="1:15" x14ac:dyDescent="0.25">
      <c r="A320" s="89"/>
      <c r="B320" s="85"/>
      <c r="C320" s="85"/>
      <c r="D320" s="85"/>
      <c r="E320" s="85"/>
      <c r="F320" s="85"/>
      <c r="G320" s="80" t="str">
        <f>CVSSv3!$A$9</f>
        <v>Impacto a la confidencialidad:</v>
      </c>
      <c r="H320" s="81" t="s">
        <v>713</v>
      </c>
      <c r="I320" s="88"/>
      <c r="J320" s="89"/>
      <c r="K320" s="89"/>
      <c r="L320" s="85"/>
      <c r="M320" s="85"/>
      <c r="N320" s="85"/>
      <c r="O320" s="85"/>
    </row>
    <row r="321" spans="1:15" x14ac:dyDescent="0.25">
      <c r="A321" s="89"/>
      <c r="B321" s="85"/>
      <c r="C321" s="85"/>
      <c r="D321" s="85"/>
      <c r="E321" s="85"/>
      <c r="F321" s="85"/>
      <c r="G321" s="80" t="str">
        <f>CVSSv3!$A$10</f>
        <v>Impacto a la integridad:</v>
      </c>
      <c r="H321" s="81" t="s">
        <v>713</v>
      </c>
      <c r="I321" s="88"/>
      <c r="J321" s="89"/>
      <c r="K321" s="89"/>
      <c r="L321" s="85"/>
      <c r="M321" s="85"/>
      <c r="N321" s="85"/>
      <c r="O321" s="85"/>
    </row>
    <row r="322" spans="1:15" x14ac:dyDescent="0.25">
      <c r="A322" s="89"/>
      <c r="B322" s="85"/>
      <c r="C322" s="85"/>
      <c r="D322" s="85"/>
      <c r="E322" s="85"/>
      <c r="F322" s="85"/>
      <c r="G322" s="80" t="str">
        <f>CVSSv3!$A$11</f>
        <v>Impacto a la disponibilidad:</v>
      </c>
      <c r="H322" s="81" t="s">
        <v>713</v>
      </c>
      <c r="I322" s="88"/>
      <c r="J322" s="89"/>
      <c r="K322" s="89"/>
      <c r="L322" s="85"/>
      <c r="M322" s="85"/>
      <c r="N322" s="85"/>
      <c r="O322" s="85"/>
    </row>
    <row r="323" spans="1:15" x14ac:dyDescent="0.25">
      <c r="A323" s="89"/>
      <c r="B323" s="85"/>
      <c r="C323" s="85"/>
      <c r="D323" s="85"/>
      <c r="E323" s="85"/>
      <c r="F323" s="85"/>
      <c r="G323" s="80" t="str">
        <f>CVSSv3!$A$12</f>
        <v>Explotabilidad:</v>
      </c>
      <c r="H323" s="81" t="s">
        <v>709</v>
      </c>
      <c r="I323" s="88"/>
      <c r="J323" s="89"/>
      <c r="K323" s="89"/>
      <c r="L323" s="85"/>
      <c r="M323" s="85"/>
      <c r="N323" s="85"/>
      <c r="O323" s="85"/>
    </row>
    <row r="324" spans="1:15" x14ac:dyDescent="0.25">
      <c r="A324" s="89"/>
      <c r="B324" s="85"/>
      <c r="C324" s="85"/>
      <c r="D324" s="85"/>
      <c r="E324" s="85"/>
      <c r="F324" s="85"/>
      <c r="G324" s="80" t="str">
        <f>CVSSv3!$A$13</f>
        <v>Nivel de resolución:</v>
      </c>
      <c r="H324" s="81" t="s">
        <v>714</v>
      </c>
      <c r="I324" s="88"/>
      <c r="J324" s="89"/>
      <c r="K324" s="89"/>
      <c r="L324" s="85"/>
      <c r="M324" s="85"/>
      <c r="N324" s="85"/>
      <c r="O324" s="85"/>
    </row>
    <row r="325" spans="1:15" x14ac:dyDescent="0.25">
      <c r="A325" s="89"/>
      <c r="B325" s="85"/>
      <c r="C325" s="85"/>
      <c r="D325" s="85"/>
      <c r="E325" s="85"/>
      <c r="F325" s="85"/>
      <c r="G325" s="80" t="str">
        <f>CVSSv3!$A$14</f>
        <v>Nivel de confianza</v>
      </c>
      <c r="H325" s="81" t="s">
        <v>715</v>
      </c>
      <c r="I325" s="88"/>
      <c r="J325" s="89"/>
      <c r="K325" s="89"/>
      <c r="L325" s="85"/>
      <c r="M325" s="85"/>
      <c r="N325" s="85"/>
      <c r="O325" s="85"/>
    </row>
    <row r="326" spans="1:15" x14ac:dyDescent="0.25">
      <c r="A326" s="89"/>
      <c r="B326" s="85"/>
      <c r="C326" s="85"/>
      <c r="D326" s="85"/>
      <c r="E326" s="85"/>
      <c r="F326" s="85"/>
      <c r="G326" s="86" t="str">
        <f>"("&amp;CVSSv3!$B$4&amp;":"&amp;IF(H315=CVSSv3!$C$4,CVSSv3!$C$30,IF(H315=CVSSv3!$D$4,CVSSv3!$D$30,IF(H315=CVSSv3!$E$4,CVSSv3!$E$30,IF(H315=CVSSv3!$F$4,CVSSv3!$F$30,""))))&amp;"/"&amp;CVSSv3!$B$5&amp;":"&amp;IF(H316=CVSSv3!$C$5,CVSSv3!$C$31,IF(H316=CVSSv3!$D$5,CVSSv3!$D$31,""))&amp;"/"&amp;CVSSv3!$B$6&amp;":"&amp;IF(H317=CVSSv3!$C$6,CVSSv3!$C$32,IF(H317=CVSSv3!$D$6,CVSSv3!$D$32,IF(H317=CVSSv3!$E$6,CVSSv3!$E$32,"")))&amp;"/"&amp;CVSSv3!$B$7&amp;":"&amp;IF(H318=CVSSv3!$C$7,CVSSv3!$C$33,IF(H318=CVSSv3!$D$7,CVSSv3!$D$33,""))&amp;"/"&amp;CVSSv3!$B$8&amp;":"&amp;IF(H319=CVSSv3!$C$8,CVSSv3!$C$34,IF(H319=CVSSv3!$D$8,CVSSv3!$D$34,""))&amp;"/"&amp;CVSSv3!$B$9&amp;":"&amp;IF(H320=CVSSv3!$C$9,CVSSv3!$C$35,IF(H320=CVSSv3!$D$9,CVSSv3!$D$35,IF(H320=CVSSv3!$E$9,CVSSv3!$E$35,"")))&amp;"/"&amp;CVSSv3!$B$10&amp;":"&amp;IF(H321=CVSSv3!$C$10,CVSSv3!$C$36,IF(H321=CVSSv3!$D$10,CVSSv3!$D$36,IF(H321=CVSSv3!$E$10,CVSSv3!$E$36,"")))&amp;"/"&amp;CVSSv3!$B$11&amp;":"&amp;IF(H322=CVSSv3!$C$11,CVSSv3!$C$37,IF(H322=CVSSv3!$D$11,CVSSv3!$D$37,IF(H322=CVSSv3!$E$11,CVSSv3!$E$37,"")))&amp;"/"&amp;CVSSv3!$B$12&amp;":"&amp;IF(H323=CVSSv3!$C$12,CVSSv3!$C$38,IF(H323=CVSSv3!$D$12,CVSSv3!$D$38,IF(H323=CVSSv3!$E$12,CVSSv3!$E$38,IF(H323=CVSSv3!$F$12,CVSSv3!$F$38,""))))&amp;"/"&amp;CVSSv3!$B$13&amp;":"&amp;IF(H324=CVSSv3!$C$13,CVSSv3!$C$39,IF(H324=CVSSv3!$D$13,CVSSv3!$D$39,IF(H324=CVSSv3!$E$13,CVSSv3!$E$39,IF(H324=CVSSv3!$F$13,CVSSv3!$F$39,""))))&amp;"/"&amp;CVSSv3!$B$14&amp;":"&amp;IF(H325=CVSSv3!$C$14,CVSSv3!$C$40,IF(H325=CVSSv3!$D$14,CVSSv3!$D$40,IF(H325=CVSSv3!$E$14,CVSSv3!$E$40,"")))&amp;")"</f>
        <v>(AV:N/AC:H/PR:N/UI:N/S:C/C:H/I:H/A:H/E:H/RL:U/RC:C)</v>
      </c>
      <c r="H326" s="87"/>
      <c r="I326" s="88"/>
      <c r="J326" s="89"/>
      <c r="K326" s="89"/>
      <c r="L326" s="85"/>
      <c r="M326" s="85"/>
      <c r="N326" s="85"/>
      <c r="O326" s="85"/>
    </row>
    <row r="327" spans="1:15" x14ac:dyDescent="0.25">
      <c r="A327" s="89">
        <v>28</v>
      </c>
      <c r="B327" s="85" t="s">
        <v>741</v>
      </c>
      <c r="C327" s="85" t="s">
        <v>17</v>
      </c>
      <c r="D327" s="85" t="s">
        <v>17</v>
      </c>
      <c r="E327" s="85" t="s">
        <v>17</v>
      </c>
      <c r="F327"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27" s="82" t="str">
        <f>CVSSv3!$A$4</f>
        <v>Vector de ataque:</v>
      </c>
      <c r="H327" s="84" t="s">
        <v>706</v>
      </c>
      <c r="I327" s="88">
        <f>ROUNDUP((IF((IF(H331=CVSSv3!$C$8,(6.42*(1-((1-(IF(H332=CVSSv3!$C$9,CVSSv3!$C$22,(IF(H332=CVSSv3!$D$9,CVSSv3!$D$22,(IF(H332=CVSSv3!$E$9,CVSSv3!$E$22,"")))))))*(1-(IF(H333=CVSSv3!$C$10,CVSSv3!$C$23,(IF(H333=CVSSv3!$D$10,CVSSv3!$D$23,(IF(H333=CVSSv3!$E$10,CVSSv3!$E$23,"")))))))*(1-(IF(H334=CVSSv3!$C$11,CVSSv3!$C$24,(IF(H334=CVSSv3!$D$11,CVSSv3!$D$24,(IF(H334=CVSSv3!$E$11,CVSSv3!$E$24,"")))))))))),((7.52*((1-((1-(IF(H332=CVSSv3!$C$9,CVSSv3!$C$22,(IF(H332=CVSSv3!$D$9,CVSSv3!$D$22,(IF(H332=CVSSv3!$E$9,CVSSv3!$E$22,"")))))))*(1-(IF(H333=CVSSv3!$C$10,CVSSv3!$C$23,(IF(H333=CVSSv3!$D$10,CVSSv3!$D$23,(IF(H333=CVSSv3!$E$10,CVSSv3!$E$23,"")))))))*(1-(IF(H334=CVSSv3!$C$11,CVSSv3!$C$24,(IF(H334=CVSSv3!$D$11,CVSSv3!$D$24,(IF(H334=CVSSv3!$E$11,CVSSv3!$E$24,"")))))))))-0.029))-(3.25*POWER(((1-((1-(IF(H332=CVSSv3!$C$9,CVSSv3!$C$22,(IF(H332=CVSSv3!$D$9,CVSSv3!$D$22,(IF(H332=CVSSv3!$E$9,CVSSv3!$E$22,"")))))))*(1-(IF(H333=CVSSv3!$C$10,CVSSv3!$C$23,(IF(H333=CVSSv3!$D$10,CVSSv3!$D$23,(IF(H333=CVSSv3!$E$10,CVSSv3!$E$23,"")))))))*(1-(IF(H334=CVSSv3!$C$11,CVSSv3!$C$24,(IF(H334=CVSSv3!$D$11,CVSSv3!$D$24,(IF(H334=CVSSv3!$E$11,CVSSv3!$E$24,"")))))))))-0.02),15)))))&lt;=0,0,(IF(H331=CVSSv3!$C$8,ROUNDUP((MIN((IF(H331=CVSSv3!$C$8,(6.42*(1-((1-(IF(H332=CVSSv3!$C$9,CVSSv3!$C$22,(IF(H332=CVSSv3!$D$9,CVSSv3!$D$22,(IF(H332=CVSSv3!$E$9,CVSSv3!$E$22,"")))))))*(1-(IF(H333=CVSSv3!$C$10,CVSSv3!$C$23,(IF(H333=CVSSv3!$D$10,CVSSv3!$D$23,(IF(H333=CVSSv3!$E$10,CVSSv3!$E$23,"")))))))*(1-(IF(H334=CVSSv3!$C$11,CVSSv3!$C$24,(IF(H334=CVSSv3!$D$11,CVSSv3!$D$24,(IF(H334=CVSSv3!$E$11,CVSSv3!$E$24,"")))))))))),((7.52*((1-((1-(IF(H332=CVSSv3!$C$9,CVSSv3!$C$22,(IF(H332=CVSSv3!$D$9,CVSSv3!$D$22,(IF(H332=CVSSv3!$E$9,CVSSv3!$E$22,"")))))))*(1-(IF(H333=CVSSv3!$C$10,CVSSv3!$C$23,(IF(H333=CVSSv3!$D$10,CVSSv3!$D$23,(IF(H333=CVSSv3!$E$10,CVSSv3!$E$23,"")))))))*(1-(IF(H334=CVSSv3!$C$11,CVSSv3!$C$24,(IF(H334=CVSSv3!$D$11,CVSSv3!$D$24,(IF(H334=CVSSv3!$E$11,CVSSv3!$E$24,"")))))))))-0.029))-(3.25*POWER(((1-((1-(IF(H332=CVSSv3!$C$9,CVSSv3!$C$22,(IF(H332=CVSSv3!$D$9,CVSSv3!$D$22,(IF(H332=CVSSv3!$E$9,CVSSv3!$E$22,"")))))))*(1-(IF(H333=CVSSv3!$C$10,CVSSv3!$C$23,(IF(H333=CVSSv3!$D$10,CVSSv3!$D$23,(IF(H333=CVSSv3!$E$10,CVSSv3!$E$23,"")))))))*(1-(IF(H334=CVSSv3!$C$11,CVSSv3!$C$24,(IF(H334=CVSSv3!$D$11,CVSSv3!$D$24,(IF(H334=CVSSv3!$E$11,CVSSv3!$E$24,"")))))))))-0.02),15)))))+(8.22*(IF(H327=CVSSv3!$C$4,CVSSv3!$C$17,(IF(H327=CVSSv3!$D$4,CVSSv3!$D$17,(IF(H327=CVSSv3!$E$4,CVSSv3!$E$17,(IF(H327=CVSSv3!$F$4,CVSSv3!$F$17,""))))))))*(IF(H328=CVSSv3!$C$5,CVSSv3!$C$18,(IF(H328=CVSSv3!$D$5,CVSSv3!$D$18,""))))*(IF(H329=CVSSv3!$C$6,CVSSv3!$C$19,(IF(H329=CVSSv3!$D$6,(IF(H331=CVSSv3!$D$8,0.68,CVSSv3!$D$19)),(IF(H329=CVSSv3!$E$6,(IF(H331=CVSSv3!$D$8,0.5,CVSSv3!$E$19))))))))*(IF(H330=CVSSv3!$C$7,CVSSv3!$C$20,(IF(H330=CVSSv3!$D$7,CVSSv3!$D$20,""))))),10)),1),ROUNDUP((MIN(1.08*((IF(H331=CVSSv3!$C$8,(6.42*(1-((1-(IF(H332=CVSSv3!$C$9,CVSSv3!$C$22,(IF(H332=CVSSv3!$D$9,CVSSv3!$D$22,(IF(H332=CVSSv3!$E$9,CVSSv3!$E$22,"")))))))*(1-(IF(H333=CVSSv3!$C$10,CVSSv3!$C$23,(IF(H333=CVSSv3!$D$10,CVSSv3!$D$23,(IF(H333=CVSSv3!$E$10,CVSSv3!$E$23,"")))))))*(1-(IF(H334=CVSSv3!$C$11,CVSSv3!$C$24,(IF(H334=CVSSv3!$D$11,CVSSv3!$D$24,(IF(H334=CVSSv3!$E$11,CVSSv3!$E$24,"")))))))))),((7.52*((1-((1-(IF(H332=CVSSv3!$C$9,CVSSv3!$C$22,(IF(H332=CVSSv3!$D$9,CVSSv3!$D$22,(IF(H332=CVSSv3!$E$9,CVSSv3!$E$22,"")))))))*(1-(IF(H333=CVSSv3!$C$10,CVSSv3!$C$23,(IF(H333=CVSSv3!$D$10,CVSSv3!$D$23,(IF(H333=CVSSv3!$E$10,CVSSv3!$E$23,"")))))))*(1-(IF(H334=CVSSv3!$C$11,CVSSv3!$C$24,(IF(H334=CVSSv3!$D$11,CVSSv3!$D$24,(IF(H334=CVSSv3!$E$11,CVSSv3!$E$24,"")))))))))-0.029))-(3.25*POWER(((1-((1-(IF(H332=CVSSv3!$C$9,CVSSv3!$C$22,(IF(H332=CVSSv3!$D$9,CVSSv3!$D$22,(IF(H332=CVSSv3!$E$9,CVSSv3!$E$22,"")))))))*(1-(IF(H333=CVSSv3!$C$10,CVSSv3!$C$23,(IF(H333=CVSSv3!$D$10,CVSSv3!$D$23,(IF(H333=CVSSv3!$E$10,CVSSv3!$E$23,"")))))))*(1-(IF(H334=CVSSv3!$C$11,CVSSv3!$C$24,(IF(H334=CVSSv3!$D$11,CVSSv3!$D$24,(IF(H334=CVSSv3!$E$11,CVSSv3!$E$24,"")))))))))-0.02),15)))))+(8.22*(IF(H327=CVSSv3!$C$4,CVSSv3!$C$17,(IF(H327=CVSSv3!$D$4,CVSSv3!$D$17,(IF(H327=CVSSv3!$E$4,CVSSv3!$E$17,(IF(H327=CVSSv3!$F$4,CVSSv3!$F$17,""))))))))*(IF(H328=CVSSv3!$C$5,CVSSv3!$C$18,(IF(H328=CVSSv3!$D$5,CVSSv3!$D$18,""))))*(IF(H329=CVSSv3!$C$6,CVSSv3!$C$19,(IF(H329=CVSSv3!$D$6,(IF(H331=CVSSv3!$D$8,0.68,CVSSv3!$D$19)),(IF(H329=CVSSv3!$E$6,(IF(H331=CVSSv3!$D$8,0.5,CVSSv3!$E$19))))))))*(IF(H330=CVSSv3!$C$7,CVSSv3!$C$20,(IF(H330=CVSSv3!$D$7,CVSSv3!$D$20,"")))))),10)),1))))*(IF(H335=CVSSv3!$C$12,CVSSv3!$C$25,(IF(H335=CVSSv3!$D$12,CVSSv3!$D$25,(IF(H335=CVSSv3!$E$12,CVSSv3!$E$25,(IF(H335=CVSSv3!$F$12,CVSSv3!$F$25,""))))))))*(IF(H336=CVSSv3!$C$13,CVSSv3!$C$26,(IF(H336=CVSSv3!$D$13,CVSSv3!$D$26,(IF(H336=CVSSv3!$E$13,CVSSv3!$E$26,(IF(H336=CVSSv3!$F$13,CVSSv3!$F$26,""))))))))*(IF(H337=CVSSv3!$C$14,CVSSv3!$C$27,(IF(H337=CVSSv3!$D$14,CVSSv3!$D$27,(IF(H337=CVSSv3!$E$14,CVSSv3!$E$27,""))))))),1)</f>
        <v>9</v>
      </c>
      <c r="J327" s="89">
        <v>0</v>
      </c>
      <c r="K327" s="89">
        <v>0</v>
      </c>
      <c r="L327" s="85" t="s">
        <v>17</v>
      </c>
      <c r="M327" s="85" t="s">
        <v>17</v>
      </c>
      <c r="N327" s="85" t="s">
        <v>707</v>
      </c>
      <c r="O327" s="85" t="s">
        <v>708</v>
      </c>
    </row>
    <row r="328" spans="1:15" x14ac:dyDescent="0.25">
      <c r="A328" s="89"/>
      <c r="B328" s="85"/>
      <c r="C328" s="85"/>
      <c r="D328" s="85"/>
      <c r="E328" s="85"/>
      <c r="F328" s="85"/>
      <c r="G328" s="80" t="str">
        <f>CVSSv3!$A$5</f>
        <v>Complejidad de ataque:</v>
      </c>
      <c r="H328" s="81" t="s">
        <v>709</v>
      </c>
      <c r="I328" s="88"/>
      <c r="J328" s="89"/>
      <c r="K328" s="89"/>
      <c r="L328" s="85"/>
      <c r="M328" s="85"/>
      <c r="N328" s="85"/>
      <c r="O328" s="85"/>
    </row>
    <row r="329" spans="1:15" x14ac:dyDescent="0.25">
      <c r="A329" s="89"/>
      <c r="B329" s="85"/>
      <c r="C329" s="85"/>
      <c r="D329" s="85"/>
      <c r="E329" s="85"/>
      <c r="F329" s="85"/>
      <c r="G329" s="80" t="str">
        <f>CVSSv3!$A$6</f>
        <v>Privilegios requeridos:</v>
      </c>
      <c r="H329" s="81" t="s">
        <v>710</v>
      </c>
      <c r="I329" s="88"/>
      <c r="J329" s="89"/>
      <c r="K329" s="89"/>
      <c r="L329" s="85"/>
      <c r="M329" s="85"/>
      <c r="N329" s="85"/>
      <c r="O329" s="85"/>
    </row>
    <row r="330" spans="1:15" x14ac:dyDescent="0.25">
      <c r="A330" s="89"/>
      <c r="B330" s="85"/>
      <c r="C330" s="85"/>
      <c r="D330" s="85"/>
      <c r="E330" s="85"/>
      <c r="F330" s="85"/>
      <c r="G330" s="80" t="str">
        <f>CVSSv3!$A$7</f>
        <v>Interacción del usuario:</v>
      </c>
      <c r="H330" s="81" t="s">
        <v>711</v>
      </c>
      <c r="I330" s="88"/>
      <c r="J330" s="89"/>
      <c r="K330" s="89"/>
      <c r="L330" s="85"/>
      <c r="M330" s="85"/>
      <c r="N330" s="85"/>
      <c r="O330" s="85"/>
    </row>
    <row r="331" spans="1:15" x14ac:dyDescent="0.25">
      <c r="A331" s="89"/>
      <c r="B331" s="85"/>
      <c r="C331" s="85"/>
      <c r="D331" s="85"/>
      <c r="E331" s="85"/>
      <c r="F331" s="85"/>
      <c r="G331" s="80" t="str">
        <f>CVSSv3!$A$8</f>
        <v>Alcance:</v>
      </c>
      <c r="H331" s="81" t="s">
        <v>712</v>
      </c>
      <c r="I331" s="88"/>
      <c r="J331" s="89"/>
      <c r="K331" s="89"/>
      <c r="L331" s="85"/>
      <c r="M331" s="85"/>
      <c r="N331" s="85"/>
      <c r="O331" s="85"/>
    </row>
    <row r="332" spans="1:15" x14ac:dyDescent="0.25">
      <c r="A332" s="89"/>
      <c r="B332" s="85"/>
      <c r="C332" s="85"/>
      <c r="D332" s="85"/>
      <c r="E332" s="85"/>
      <c r="F332" s="85"/>
      <c r="G332" s="80" t="str">
        <f>CVSSv3!$A$9</f>
        <v>Impacto a la confidencialidad:</v>
      </c>
      <c r="H332" s="81" t="s">
        <v>713</v>
      </c>
      <c r="I332" s="88"/>
      <c r="J332" s="89"/>
      <c r="K332" s="89"/>
      <c r="L332" s="85"/>
      <c r="M332" s="85"/>
      <c r="N332" s="85"/>
      <c r="O332" s="85"/>
    </row>
    <row r="333" spans="1:15" x14ac:dyDescent="0.25">
      <c r="A333" s="89"/>
      <c r="B333" s="85"/>
      <c r="C333" s="85"/>
      <c r="D333" s="85"/>
      <c r="E333" s="85"/>
      <c r="F333" s="85"/>
      <c r="G333" s="80" t="str">
        <f>CVSSv3!$A$10</f>
        <v>Impacto a la integridad:</v>
      </c>
      <c r="H333" s="81" t="s">
        <v>713</v>
      </c>
      <c r="I333" s="88"/>
      <c r="J333" s="89"/>
      <c r="K333" s="89"/>
      <c r="L333" s="85"/>
      <c r="M333" s="85"/>
      <c r="N333" s="85"/>
      <c r="O333" s="85"/>
    </row>
    <row r="334" spans="1:15" x14ac:dyDescent="0.25">
      <c r="A334" s="89"/>
      <c r="B334" s="85"/>
      <c r="C334" s="85"/>
      <c r="D334" s="85"/>
      <c r="E334" s="85"/>
      <c r="F334" s="85"/>
      <c r="G334" s="80" t="str">
        <f>CVSSv3!$A$11</f>
        <v>Impacto a la disponibilidad:</v>
      </c>
      <c r="H334" s="81" t="s">
        <v>713</v>
      </c>
      <c r="I334" s="88"/>
      <c r="J334" s="89"/>
      <c r="K334" s="89"/>
      <c r="L334" s="85"/>
      <c r="M334" s="85"/>
      <c r="N334" s="85"/>
      <c r="O334" s="85"/>
    </row>
    <row r="335" spans="1:15" x14ac:dyDescent="0.25">
      <c r="A335" s="89"/>
      <c r="B335" s="85"/>
      <c r="C335" s="85"/>
      <c r="D335" s="85"/>
      <c r="E335" s="85"/>
      <c r="F335" s="85"/>
      <c r="G335" s="80" t="str">
        <f>CVSSv3!$A$12</f>
        <v>Explotabilidad:</v>
      </c>
      <c r="H335" s="81" t="s">
        <v>709</v>
      </c>
      <c r="I335" s="88"/>
      <c r="J335" s="89"/>
      <c r="K335" s="89"/>
      <c r="L335" s="85"/>
      <c r="M335" s="85"/>
      <c r="N335" s="85"/>
      <c r="O335" s="85"/>
    </row>
    <row r="336" spans="1:15" x14ac:dyDescent="0.25">
      <c r="A336" s="89"/>
      <c r="B336" s="85"/>
      <c r="C336" s="85"/>
      <c r="D336" s="85"/>
      <c r="E336" s="85"/>
      <c r="F336" s="85"/>
      <c r="G336" s="80" t="str">
        <f>CVSSv3!$A$13</f>
        <v>Nivel de resolución:</v>
      </c>
      <c r="H336" s="81" t="s">
        <v>714</v>
      </c>
      <c r="I336" s="88"/>
      <c r="J336" s="89"/>
      <c r="K336" s="89"/>
      <c r="L336" s="85"/>
      <c r="M336" s="85"/>
      <c r="N336" s="85"/>
      <c r="O336" s="85"/>
    </row>
    <row r="337" spans="1:15" x14ac:dyDescent="0.25">
      <c r="A337" s="89"/>
      <c r="B337" s="85"/>
      <c r="C337" s="85"/>
      <c r="D337" s="85"/>
      <c r="E337" s="85"/>
      <c r="F337" s="85"/>
      <c r="G337" s="80" t="str">
        <f>CVSSv3!$A$14</f>
        <v>Nivel de confianza</v>
      </c>
      <c r="H337" s="81" t="s">
        <v>715</v>
      </c>
      <c r="I337" s="88"/>
      <c r="J337" s="89"/>
      <c r="K337" s="89"/>
      <c r="L337" s="85"/>
      <c r="M337" s="85"/>
      <c r="N337" s="85"/>
      <c r="O337" s="85"/>
    </row>
    <row r="338" spans="1:15" x14ac:dyDescent="0.25">
      <c r="A338" s="89"/>
      <c r="B338" s="85"/>
      <c r="C338" s="85"/>
      <c r="D338" s="85"/>
      <c r="E338" s="85"/>
      <c r="F338" s="85"/>
      <c r="G338" s="86" t="str">
        <f>"("&amp;CVSSv3!$B$4&amp;":"&amp;IF(H327=CVSSv3!$C$4,CVSSv3!$C$30,IF(H327=CVSSv3!$D$4,CVSSv3!$D$30,IF(H327=CVSSv3!$E$4,CVSSv3!$E$30,IF(H327=CVSSv3!$F$4,CVSSv3!$F$30,""))))&amp;"/"&amp;CVSSv3!$B$5&amp;":"&amp;IF(H328=CVSSv3!$C$5,CVSSv3!$C$31,IF(H328=CVSSv3!$D$5,CVSSv3!$D$31,""))&amp;"/"&amp;CVSSv3!$B$6&amp;":"&amp;IF(H329=CVSSv3!$C$6,CVSSv3!$C$32,IF(H329=CVSSv3!$D$6,CVSSv3!$D$32,IF(H329=CVSSv3!$E$6,CVSSv3!$E$32,"")))&amp;"/"&amp;CVSSv3!$B$7&amp;":"&amp;IF(H330=CVSSv3!$C$7,CVSSv3!$C$33,IF(H330=CVSSv3!$D$7,CVSSv3!$D$33,""))&amp;"/"&amp;CVSSv3!$B$8&amp;":"&amp;IF(H331=CVSSv3!$C$8,CVSSv3!$C$34,IF(H331=CVSSv3!$D$8,CVSSv3!$D$34,""))&amp;"/"&amp;CVSSv3!$B$9&amp;":"&amp;IF(H332=CVSSv3!$C$9,CVSSv3!$C$35,IF(H332=CVSSv3!$D$9,CVSSv3!$D$35,IF(H332=CVSSv3!$E$9,CVSSv3!$E$35,"")))&amp;"/"&amp;CVSSv3!$B$10&amp;":"&amp;IF(H333=CVSSv3!$C$10,CVSSv3!$C$36,IF(H333=CVSSv3!$D$10,CVSSv3!$D$36,IF(H333=CVSSv3!$E$10,CVSSv3!$E$36,"")))&amp;"/"&amp;CVSSv3!$B$11&amp;":"&amp;IF(H334=CVSSv3!$C$11,CVSSv3!$C$37,IF(H334=CVSSv3!$D$11,CVSSv3!$D$37,IF(H334=CVSSv3!$E$11,CVSSv3!$E$37,"")))&amp;"/"&amp;CVSSv3!$B$12&amp;":"&amp;IF(H335=CVSSv3!$C$12,CVSSv3!$C$38,IF(H335=CVSSv3!$D$12,CVSSv3!$D$38,IF(H335=CVSSv3!$E$12,CVSSv3!$E$38,IF(H335=CVSSv3!$F$12,CVSSv3!$F$38,""))))&amp;"/"&amp;CVSSv3!$B$13&amp;":"&amp;IF(H336=CVSSv3!$C$13,CVSSv3!$C$39,IF(H336=CVSSv3!$D$13,CVSSv3!$D$39,IF(H336=CVSSv3!$E$13,CVSSv3!$E$39,IF(H336=CVSSv3!$F$13,CVSSv3!$F$39,""))))&amp;"/"&amp;CVSSv3!$B$14&amp;":"&amp;IF(H337=CVSSv3!$C$14,CVSSv3!$C$40,IF(H337=CVSSv3!$D$14,CVSSv3!$D$40,IF(H337=CVSSv3!$E$14,CVSSv3!$E$40,"")))&amp;")"</f>
        <v>(AV:N/AC:H/PR:N/UI:N/S:C/C:H/I:H/A:H/E:H/RL:U/RC:C)</v>
      </c>
      <c r="H338" s="87"/>
      <c r="I338" s="88"/>
      <c r="J338" s="89"/>
      <c r="K338" s="89"/>
      <c r="L338" s="85"/>
      <c r="M338" s="85"/>
      <c r="N338" s="85"/>
      <c r="O338" s="85"/>
    </row>
    <row r="339" spans="1:15" x14ac:dyDescent="0.25">
      <c r="A339" s="89">
        <v>29</v>
      </c>
      <c r="B339" s="85" t="s">
        <v>742</v>
      </c>
      <c r="C339" s="85" t="s">
        <v>17</v>
      </c>
      <c r="D339" s="85" t="s">
        <v>17</v>
      </c>
      <c r="E339" s="85" t="s">
        <v>17</v>
      </c>
      <c r="F339"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39" s="82" t="str">
        <f>CVSSv3!$A$4</f>
        <v>Vector de ataque:</v>
      </c>
      <c r="H339" s="84" t="s">
        <v>706</v>
      </c>
      <c r="I339" s="88">
        <f>ROUNDUP((IF((IF(H343=CVSSv3!$C$8,(6.42*(1-((1-(IF(H344=CVSSv3!$C$9,CVSSv3!$C$22,(IF(H344=CVSSv3!$D$9,CVSSv3!$D$22,(IF(H344=CVSSv3!$E$9,CVSSv3!$E$22,"")))))))*(1-(IF(H345=CVSSv3!$C$10,CVSSv3!$C$23,(IF(H345=CVSSv3!$D$10,CVSSv3!$D$23,(IF(H345=CVSSv3!$E$10,CVSSv3!$E$23,"")))))))*(1-(IF(H346=CVSSv3!$C$11,CVSSv3!$C$24,(IF(H346=CVSSv3!$D$11,CVSSv3!$D$24,(IF(H346=CVSSv3!$E$11,CVSSv3!$E$24,"")))))))))),((7.52*((1-((1-(IF(H344=CVSSv3!$C$9,CVSSv3!$C$22,(IF(H344=CVSSv3!$D$9,CVSSv3!$D$22,(IF(H344=CVSSv3!$E$9,CVSSv3!$E$22,"")))))))*(1-(IF(H345=CVSSv3!$C$10,CVSSv3!$C$23,(IF(H345=CVSSv3!$D$10,CVSSv3!$D$23,(IF(H345=CVSSv3!$E$10,CVSSv3!$E$23,"")))))))*(1-(IF(H346=CVSSv3!$C$11,CVSSv3!$C$24,(IF(H346=CVSSv3!$D$11,CVSSv3!$D$24,(IF(H346=CVSSv3!$E$11,CVSSv3!$E$24,"")))))))))-0.029))-(3.25*POWER(((1-((1-(IF(H344=CVSSv3!$C$9,CVSSv3!$C$22,(IF(H344=CVSSv3!$D$9,CVSSv3!$D$22,(IF(H344=CVSSv3!$E$9,CVSSv3!$E$22,"")))))))*(1-(IF(H345=CVSSv3!$C$10,CVSSv3!$C$23,(IF(H345=CVSSv3!$D$10,CVSSv3!$D$23,(IF(H345=CVSSv3!$E$10,CVSSv3!$E$23,"")))))))*(1-(IF(H346=CVSSv3!$C$11,CVSSv3!$C$24,(IF(H346=CVSSv3!$D$11,CVSSv3!$D$24,(IF(H346=CVSSv3!$E$11,CVSSv3!$E$24,"")))))))))-0.02),15)))))&lt;=0,0,(IF(H343=CVSSv3!$C$8,ROUNDUP((MIN((IF(H343=CVSSv3!$C$8,(6.42*(1-((1-(IF(H344=CVSSv3!$C$9,CVSSv3!$C$22,(IF(H344=CVSSv3!$D$9,CVSSv3!$D$22,(IF(H344=CVSSv3!$E$9,CVSSv3!$E$22,"")))))))*(1-(IF(H345=CVSSv3!$C$10,CVSSv3!$C$23,(IF(H345=CVSSv3!$D$10,CVSSv3!$D$23,(IF(H345=CVSSv3!$E$10,CVSSv3!$E$23,"")))))))*(1-(IF(H346=CVSSv3!$C$11,CVSSv3!$C$24,(IF(H346=CVSSv3!$D$11,CVSSv3!$D$24,(IF(H346=CVSSv3!$E$11,CVSSv3!$E$24,"")))))))))),((7.52*((1-((1-(IF(H344=CVSSv3!$C$9,CVSSv3!$C$22,(IF(H344=CVSSv3!$D$9,CVSSv3!$D$22,(IF(H344=CVSSv3!$E$9,CVSSv3!$E$22,"")))))))*(1-(IF(H345=CVSSv3!$C$10,CVSSv3!$C$23,(IF(H345=CVSSv3!$D$10,CVSSv3!$D$23,(IF(H345=CVSSv3!$E$10,CVSSv3!$E$23,"")))))))*(1-(IF(H346=CVSSv3!$C$11,CVSSv3!$C$24,(IF(H346=CVSSv3!$D$11,CVSSv3!$D$24,(IF(H346=CVSSv3!$E$11,CVSSv3!$E$24,"")))))))))-0.029))-(3.25*POWER(((1-((1-(IF(H344=CVSSv3!$C$9,CVSSv3!$C$22,(IF(H344=CVSSv3!$D$9,CVSSv3!$D$22,(IF(H344=CVSSv3!$E$9,CVSSv3!$E$22,"")))))))*(1-(IF(H345=CVSSv3!$C$10,CVSSv3!$C$23,(IF(H345=CVSSv3!$D$10,CVSSv3!$D$23,(IF(H345=CVSSv3!$E$10,CVSSv3!$E$23,"")))))))*(1-(IF(H346=CVSSv3!$C$11,CVSSv3!$C$24,(IF(H346=CVSSv3!$D$11,CVSSv3!$D$24,(IF(H346=CVSSv3!$E$11,CVSSv3!$E$24,"")))))))))-0.02),15)))))+(8.22*(IF(H339=CVSSv3!$C$4,CVSSv3!$C$17,(IF(H339=CVSSv3!$D$4,CVSSv3!$D$17,(IF(H339=CVSSv3!$E$4,CVSSv3!$E$17,(IF(H339=CVSSv3!$F$4,CVSSv3!$F$17,""))))))))*(IF(H340=CVSSv3!$C$5,CVSSv3!$C$18,(IF(H340=CVSSv3!$D$5,CVSSv3!$D$18,""))))*(IF(H341=CVSSv3!$C$6,CVSSv3!$C$19,(IF(H341=CVSSv3!$D$6,(IF(H343=CVSSv3!$D$8,0.68,CVSSv3!$D$19)),(IF(H341=CVSSv3!$E$6,(IF(H343=CVSSv3!$D$8,0.5,CVSSv3!$E$19))))))))*(IF(H342=CVSSv3!$C$7,CVSSv3!$C$20,(IF(H342=CVSSv3!$D$7,CVSSv3!$D$20,""))))),10)),1),ROUNDUP((MIN(1.08*((IF(H343=CVSSv3!$C$8,(6.42*(1-((1-(IF(H344=CVSSv3!$C$9,CVSSv3!$C$22,(IF(H344=CVSSv3!$D$9,CVSSv3!$D$22,(IF(H344=CVSSv3!$E$9,CVSSv3!$E$22,"")))))))*(1-(IF(H345=CVSSv3!$C$10,CVSSv3!$C$23,(IF(H345=CVSSv3!$D$10,CVSSv3!$D$23,(IF(H345=CVSSv3!$E$10,CVSSv3!$E$23,"")))))))*(1-(IF(H346=CVSSv3!$C$11,CVSSv3!$C$24,(IF(H346=CVSSv3!$D$11,CVSSv3!$D$24,(IF(H346=CVSSv3!$E$11,CVSSv3!$E$24,"")))))))))),((7.52*((1-((1-(IF(H344=CVSSv3!$C$9,CVSSv3!$C$22,(IF(H344=CVSSv3!$D$9,CVSSv3!$D$22,(IF(H344=CVSSv3!$E$9,CVSSv3!$E$22,"")))))))*(1-(IF(H345=CVSSv3!$C$10,CVSSv3!$C$23,(IF(H345=CVSSv3!$D$10,CVSSv3!$D$23,(IF(H345=CVSSv3!$E$10,CVSSv3!$E$23,"")))))))*(1-(IF(H346=CVSSv3!$C$11,CVSSv3!$C$24,(IF(H346=CVSSv3!$D$11,CVSSv3!$D$24,(IF(H346=CVSSv3!$E$11,CVSSv3!$E$24,"")))))))))-0.029))-(3.25*POWER(((1-((1-(IF(H344=CVSSv3!$C$9,CVSSv3!$C$22,(IF(H344=CVSSv3!$D$9,CVSSv3!$D$22,(IF(H344=CVSSv3!$E$9,CVSSv3!$E$22,"")))))))*(1-(IF(H345=CVSSv3!$C$10,CVSSv3!$C$23,(IF(H345=CVSSv3!$D$10,CVSSv3!$D$23,(IF(H345=CVSSv3!$E$10,CVSSv3!$E$23,"")))))))*(1-(IF(H346=CVSSv3!$C$11,CVSSv3!$C$24,(IF(H346=CVSSv3!$D$11,CVSSv3!$D$24,(IF(H346=CVSSv3!$E$11,CVSSv3!$E$24,"")))))))))-0.02),15)))))+(8.22*(IF(H339=CVSSv3!$C$4,CVSSv3!$C$17,(IF(H339=CVSSv3!$D$4,CVSSv3!$D$17,(IF(H339=CVSSv3!$E$4,CVSSv3!$E$17,(IF(H339=CVSSv3!$F$4,CVSSv3!$F$17,""))))))))*(IF(H340=CVSSv3!$C$5,CVSSv3!$C$18,(IF(H340=CVSSv3!$D$5,CVSSv3!$D$18,""))))*(IF(H341=CVSSv3!$C$6,CVSSv3!$C$19,(IF(H341=CVSSv3!$D$6,(IF(H343=CVSSv3!$D$8,0.68,CVSSv3!$D$19)),(IF(H341=CVSSv3!$E$6,(IF(H343=CVSSv3!$D$8,0.5,CVSSv3!$E$19))))))))*(IF(H342=CVSSv3!$C$7,CVSSv3!$C$20,(IF(H342=CVSSv3!$D$7,CVSSv3!$D$20,"")))))),10)),1))))*(IF(H347=CVSSv3!$C$12,CVSSv3!$C$25,(IF(H347=CVSSv3!$D$12,CVSSv3!$D$25,(IF(H347=CVSSv3!$E$12,CVSSv3!$E$25,(IF(H347=CVSSv3!$F$12,CVSSv3!$F$25,""))))))))*(IF(H348=CVSSv3!$C$13,CVSSv3!$C$26,(IF(H348=CVSSv3!$D$13,CVSSv3!$D$26,(IF(H348=CVSSv3!$E$13,CVSSv3!$E$26,(IF(H348=CVSSv3!$F$13,CVSSv3!$F$26,""))))))))*(IF(H349=CVSSv3!$C$14,CVSSv3!$C$27,(IF(H349=CVSSv3!$D$14,CVSSv3!$D$27,(IF(H349=CVSSv3!$E$14,CVSSv3!$E$27,""))))))),1)</f>
        <v>9</v>
      </c>
      <c r="J339" s="89">
        <v>0</v>
      </c>
      <c r="K339" s="89">
        <v>0</v>
      </c>
      <c r="L339" s="85" t="s">
        <v>17</v>
      </c>
      <c r="M339" s="85" t="s">
        <v>17</v>
      </c>
      <c r="N339" s="85" t="s">
        <v>707</v>
      </c>
      <c r="O339" s="85" t="s">
        <v>708</v>
      </c>
    </row>
    <row r="340" spans="1:15" x14ac:dyDescent="0.25">
      <c r="A340" s="89"/>
      <c r="B340" s="85"/>
      <c r="C340" s="85"/>
      <c r="D340" s="85"/>
      <c r="E340" s="85"/>
      <c r="F340" s="85"/>
      <c r="G340" s="80" t="str">
        <f>CVSSv3!$A$5</f>
        <v>Complejidad de ataque:</v>
      </c>
      <c r="H340" s="81" t="s">
        <v>709</v>
      </c>
      <c r="I340" s="88"/>
      <c r="J340" s="89"/>
      <c r="K340" s="89"/>
      <c r="L340" s="85"/>
      <c r="M340" s="85"/>
      <c r="N340" s="85"/>
      <c r="O340" s="85"/>
    </row>
    <row r="341" spans="1:15" x14ac:dyDescent="0.25">
      <c r="A341" s="89"/>
      <c r="B341" s="85"/>
      <c r="C341" s="85"/>
      <c r="D341" s="85"/>
      <c r="E341" s="85"/>
      <c r="F341" s="85"/>
      <c r="G341" s="80" t="str">
        <f>CVSSv3!$A$6</f>
        <v>Privilegios requeridos:</v>
      </c>
      <c r="H341" s="81" t="s">
        <v>710</v>
      </c>
      <c r="I341" s="88"/>
      <c r="J341" s="89"/>
      <c r="K341" s="89"/>
      <c r="L341" s="85"/>
      <c r="M341" s="85"/>
      <c r="N341" s="85"/>
      <c r="O341" s="85"/>
    </row>
    <row r="342" spans="1:15" x14ac:dyDescent="0.25">
      <c r="A342" s="89"/>
      <c r="B342" s="85"/>
      <c r="C342" s="85"/>
      <c r="D342" s="85"/>
      <c r="E342" s="85"/>
      <c r="F342" s="85"/>
      <c r="G342" s="80" t="str">
        <f>CVSSv3!$A$7</f>
        <v>Interacción del usuario:</v>
      </c>
      <c r="H342" s="81" t="s">
        <v>711</v>
      </c>
      <c r="I342" s="88"/>
      <c r="J342" s="89"/>
      <c r="K342" s="89"/>
      <c r="L342" s="85"/>
      <c r="M342" s="85"/>
      <c r="N342" s="85"/>
      <c r="O342" s="85"/>
    </row>
    <row r="343" spans="1:15" x14ac:dyDescent="0.25">
      <c r="A343" s="89"/>
      <c r="B343" s="85"/>
      <c r="C343" s="85"/>
      <c r="D343" s="85"/>
      <c r="E343" s="85"/>
      <c r="F343" s="85"/>
      <c r="G343" s="80" t="str">
        <f>CVSSv3!$A$8</f>
        <v>Alcance:</v>
      </c>
      <c r="H343" s="81" t="s">
        <v>712</v>
      </c>
      <c r="I343" s="88"/>
      <c r="J343" s="89"/>
      <c r="K343" s="89"/>
      <c r="L343" s="85"/>
      <c r="M343" s="85"/>
      <c r="N343" s="85"/>
      <c r="O343" s="85"/>
    </row>
    <row r="344" spans="1:15" x14ac:dyDescent="0.25">
      <c r="A344" s="89"/>
      <c r="B344" s="85"/>
      <c r="C344" s="85"/>
      <c r="D344" s="85"/>
      <c r="E344" s="85"/>
      <c r="F344" s="85"/>
      <c r="G344" s="80" t="str">
        <f>CVSSv3!$A$9</f>
        <v>Impacto a la confidencialidad:</v>
      </c>
      <c r="H344" s="81" t="s">
        <v>713</v>
      </c>
      <c r="I344" s="88"/>
      <c r="J344" s="89"/>
      <c r="K344" s="89"/>
      <c r="L344" s="85"/>
      <c r="M344" s="85"/>
      <c r="N344" s="85"/>
      <c r="O344" s="85"/>
    </row>
    <row r="345" spans="1:15" x14ac:dyDescent="0.25">
      <c r="A345" s="89"/>
      <c r="B345" s="85"/>
      <c r="C345" s="85"/>
      <c r="D345" s="85"/>
      <c r="E345" s="85"/>
      <c r="F345" s="85"/>
      <c r="G345" s="80" t="str">
        <f>CVSSv3!$A$10</f>
        <v>Impacto a la integridad:</v>
      </c>
      <c r="H345" s="81" t="s">
        <v>713</v>
      </c>
      <c r="I345" s="88"/>
      <c r="J345" s="89"/>
      <c r="K345" s="89"/>
      <c r="L345" s="85"/>
      <c r="M345" s="85"/>
      <c r="N345" s="85"/>
      <c r="O345" s="85"/>
    </row>
    <row r="346" spans="1:15" x14ac:dyDescent="0.25">
      <c r="A346" s="89"/>
      <c r="B346" s="85"/>
      <c r="C346" s="85"/>
      <c r="D346" s="85"/>
      <c r="E346" s="85"/>
      <c r="F346" s="85"/>
      <c r="G346" s="80" t="str">
        <f>CVSSv3!$A$11</f>
        <v>Impacto a la disponibilidad:</v>
      </c>
      <c r="H346" s="81" t="s">
        <v>713</v>
      </c>
      <c r="I346" s="88"/>
      <c r="J346" s="89"/>
      <c r="K346" s="89"/>
      <c r="L346" s="85"/>
      <c r="M346" s="85"/>
      <c r="N346" s="85"/>
      <c r="O346" s="85"/>
    </row>
    <row r="347" spans="1:15" x14ac:dyDescent="0.25">
      <c r="A347" s="89"/>
      <c r="B347" s="85"/>
      <c r="C347" s="85"/>
      <c r="D347" s="85"/>
      <c r="E347" s="85"/>
      <c r="F347" s="85"/>
      <c r="G347" s="80" t="str">
        <f>CVSSv3!$A$12</f>
        <v>Explotabilidad:</v>
      </c>
      <c r="H347" s="81" t="s">
        <v>709</v>
      </c>
      <c r="I347" s="88"/>
      <c r="J347" s="89"/>
      <c r="K347" s="89"/>
      <c r="L347" s="85"/>
      <c r="M347" s="85"/>
      <c r="N347" s="85"/>
      <c r="O347" s="85"/>
    </row>
    <row r="348" spans="1:15" x14ac:dyDescent="0.25">
      <c r="A348" s="89"/>
      <c r="B348" s="85"/>
      <c r="C348" s="85"/>
      <c r="D348" s="85"/>
      <c r="E348" s="85"/>
      <c r="F348" s="85"/>
      <c r="G348" s="80" t="str">
        <f>CVSSv3!$A$13</f>
        <v>Nivel de resolución:</v>
      </c>
      <c r="H348" s="81" t="s">
        <v>714</v>
      </c>
      <c r="I348" s="88"/>
      <c r="J348" s="89"/>
      <c r="K348" s="89"/>
      <c r="L348" s="85"/>
      <c r="M348" s="85"/>
      <c r="N348" s="85"/>
      <c r="O348" s="85"/>
    </row>
    <row r="349" spans="1:15" x14ac:dyDescent="0.25">
      <c r="A349" s="89"/>
      <c r="B349" s="85"/>
      <c r="C349" s="85"/>
      <c r="D349" s="85"/>
      <c r="E349" s="85"/>
      <c r="F349" s="85"/>
      <c r="G349" s="80" t="str">
        <f>CVSSv3!$A$14</f>
        <v>Nivel de confianza</v>
      </c>
      <c r="H349" s="81" t="s">
        <v>715</v>
      </c>
      <c r="I349" s="88"/>
      <c r="J349" s="89"/>
      <c r="K349" s="89"/>
      <c r="L349" s="85"/>
      <c r="M349" s="85"/>
      <c r="N349" s="85"/>
      <c r="O349" s="85"/>
    </row>
    <row r="350" spans="1:15" x14ac:dyDescent="0.25">
      <c r="A350" s="89"/>
      <c r="B350" s="85"/>
      <c r="C350" s="85"/>
      <c r="D350" s="85"/>
      <c r="E350" s="85"/>
      <c r="F350" s="85"/>
      <c r="G350" s="86" t="str">
        <f>"("&amp;CVSSv3!$B$4&amp;":"&amp;IF(H339=CVSSv3!$C$4,CVSSv3!$C$30,IF(H339=CVSSv3!$D$4,CVSSv3!$D$30,IF(H339=CVSSv3!$E$4,CVSSv3!$E$30,IF(H339=CVSSv3!$F$4,CVSSv3!$F$30,""))))&amp;"/"&amp;CVSSv3!$B$5&amp;":"&amp;IF(H340=CVSSv3!$C$5,CVSSv3!$C$31,IF(H340=CVSSv3!$D$5,CVSSv3!$D$31,""))&amp;"/"&amp;CVSSv3!$B$6&amp;":"&amp;IF(H341=CVSSv3!$C$6,CVSSv3!$C$32,IF(H341=CVSSv3!$D$6,CVSSv3!$D$32,IF(H341=CVSSv3!$E$6,CVSSv3!$E$32,"")))&amp;"/"&amp;CVSSv3!$B$7&amp;":"&amp;IF(H342=CVSSv3!$C$7,CVSSv3!$C$33,IF(H342=CVSSv3!$D$7,CVSSv3!$D$33,""))&amp;"/"&amp;CVSSv3!$B$8&amp;":"&amp;IF(H343=CVSSv3!$C$8,CVSSv3!$C$34,IF(H343=CVSSv3!$D$8,CVSSv3!$D$34,""))&amp;"/"&amp;CVSSv3!$B$9&amp;":"&amp;IF(H344=CVSSv3!$C$9,CVSSv3!$C$35,IF(H344=CVSSv3!$D$9,CVSSv3!$D$35,IF(H344=CVSSv3!$E$9,CVSSv3!$E$35,"")))&amp;"/"&amp;CVSSv3!$B$10&amp;":"&amp;IF(H345=CVSSv3!$C$10,CVSSv3!$C$36,IF(H345=CVSSv3!$D$10,CVSSv3!$D$36,IF(H345=CVSSv3!$E$10,CVSSv3!$E$36,"")))&amp;"/"&amp;CVSSv3!$B$11&amp;":"&amp;IF(H346=CVSSv3!$C$11,CVSSv3!$C$37,IF(H346=CVSSv3!$D$11,CVSSv3!$D$37,IF(H346=CVSSv3!$E$11,CVSSv3!$E$37,"")))&amp;"/"&amp;CVSSv3!$B$12&amp;":"&amp;IF(H347=CVSSv3!$C$12,CVSSv3!$C$38,IF(H347=CVSSv3!$D$12,CVSSv3!$D$38,IF(H347=CVSSv3!$E$12,CVSSv3!$E$38,IF(H347=CVSSv3!$F$12,CVSSv3!$F$38,""))))&amp;"/"&amp;CVSSv3!$B$13&amp;":"&amp;IF(H348=CVSSv3!$C$13,CVSSv3!$C$39,IF(H348=CVSSv3!$D$13,CVSSv3!$D$39,IF(H348=CVSSv3!$E$13,CVSSv3!$E$39,IF(H348=CVSSv3!$F$13,CVSSv3!$F$39,""))))&amp;"/"&amp;CVSSv3!$B$14&amp;":"&amp;IF(H349=CVSSv3!$C$14,CVSSv3!$C$40,IF(H349=CVSSv3!$D$14,CVSSv3!$D$40,IF(H349=CVSSv3!$E$14,CVSSv3!$E$40,"")))&amp;")"</f>
        <v>(AV:N/AC:H/PR:N/UI:N/S:C/C:H/I:H/A:H/E:H/RL:U/RC:C)</v>
      </c>
      <c r="H350" s="87"/>
      <c r="I350" s="88"/>
      <c r="J350" s="89"/>
      <c r="K350" s="89"/>
      <c r="L350" s="85"/>
      <c r="M350" s="85"/>
      <c r="N350" s="85"/>
      <c r="O350" s="85"/>
    </row>
    <row r="351" spans="1:15" x14ac:dyDescent="0.25">
      <c r="A351" s="89">
        <v>30</v>
      </c>
      <c r="B351" s="85" t="s">
        <v>743</v>
      </c>
      <c r="C351" s="85" t="s">
        <v>17</v>
      </c>
      <c r="D351" s="85" t="s">
        <v>17</v>
      </c>
      <c r="E351" s="85" t="s">
        <v>17</v>
      </c>
      <c r="F351"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51" s="82" t="str">
        <f>CVSSv3!$A$4</f>
        <v>Vector de ataque:</v>
      </c>
      <c r="H351" s="84" t="s">
        <v>706</v>
      </c>
      <c r="I351" s="88">
        <f>ROUNDUP((IF((IF(H355=CVSSv3!$C$8,(6.42*(1-((1-(IF(H356=CVSSv3!$C$9,CVSSv3!$C$22,(IF(H356=CVSSv3!$D$9,CVSSv3!$D$22,(IF(H356=CVSSv3!$E$9,CVSSv3!$E$22,"")))))))*(1-(IF(H357=CVSSv3!$C$10,CVSSv3!$C$23,(IF(H357=CVSSv3!$D$10,CVSSv3!$D$23,(IF(H357=CVSSv3!$E$10,CVSSv3!$E$23,"")))))))*(1-(IF(H358=CVSSv3!$C$11,CVSSv3!$C$24,(IF(H358=CVSSv3!$D$11,CVSSv3!$D$24,(IF(H358=CVSSv3!$E$11,CVSSv3!$E$24,"")))))))))),((7.52*((1-((1-(IF(H356=CVSSv3!$C$9,CVSSv3!$C$22,(IF(H356=CVSSv3!$D$9,CVSSv3!$D$22,(IF(H356=CVSSv3!$E$9,CVSSv3!$E$22,"")))))))*(1-(IF(H357=CVSSv3!$C$10,CVSSv3!$C$23,(IF(H357=CVSSv3!$D$10,CVSSv3!$D$23,(IF(H357=CVSSv3!$E$10,CVSSv3!$E$23,"")))))))*(1-(IF(H358=CVSSv3!$C$11,CVSSv3!$C$24,(IF(H358=CVSSv3!$D$11,CVSSv3!$D$24,(IF(H358=CVSSv3!$E$11,CVSSv3!$E$24,"")))))))))-0.029))-(3.25*POWER(((1-((1-(IF(H356=CVSSv3!$C$9,CVSSv3!$C$22,(IF(H356=CVSSv3!$D$9,CVSSv3!$D$22,(IF(H356=CVSSv3!$E$9,CVSSv3!$E$22,"")))))))*(1-(IF(H357=CVSSv3!$C$10,CVSSv3!$C$23,(IF(H357=CVSSv3!$D$10,CVSSv3!$D$23,(IF(H357=CVSSv3!$E$10,CVSSv3!$E$23,"")))))))*(1-(IF(H358=CVSSv3!$C$11,CVSSv3!$C$24,(IF(H358=CVSSv3!$D$11,CVSSv3!$D$24,(IF(H358=CVSSv3!$E$11,CVSSv3!$E$24,"")))))))))-0.02),15)))))&lt;=0,0,(IF(H355=CVSSv3!$C$8,ROUNDUP((MIN((IF(H355=CVSSv3!$C$8,(6.42*(1-((1-(IF(H356=CVSSv3!$C$9,CVSSv3!$C$22,(IF(H356=CVSSv3!$D$9,CVSSv3!$D$22,(IF(H356=CVSSv3!$E$9,CVSSv3!$E$22,"")))))))*(1-(IF(H357=CVSSv3!$C$10,CVSSv3!$C$23,(IF(H357=CVSSv3!$D$10,CVSSv3!$D$23,(IF(H357=CVSSv3!$E$10,CVSSv3!$E$23,"")))))))*(1-(IF(H358=CVSSv3!$C$11,CVSSv3!$C$24,(IF(H358=CVSSv3!$D$11,CVSSv3!$D$24,(IF(H358=CVSSv3!$E$11,CVSSv3!$E$24,"")))))))))),((7.52*((1-((1-(IF(H356=CVSSv3!$C$9,CVSSv3!$C$22,(IF(H356=CVSSv3!$D$9,CVSSv3!$D$22,(IF(H356=CVSSv3!$E$9,CVSSv3!$E$22,"")))))))*(1-(IF(H357=CVSSv3!$C$10,CVSSv3!$C$23,(IF(H357=CVSSv3!$D$10,CVSSv3!$D$23,(IF(H357=CVSSv3!$E$10,CVSSv3!$E$23,"")))))))*(1-(IF(H358=CVSSv3!$C$11,CVSSv3!$C$24,(IF(H358=CVSSv3!$D$11,CVSSv3!$D$24,(IF(H358=CVSSv3!$E$11,CVSSv3!$E$24,"")))))))))-0.029))-(3.25*POWER(((1-((1-(IF(H356=CVSSv3!$C$9,CVSSv3!$C$22,(IF(H356=CVSSv3!$D$9,CVSSv3!$D$22,(IF(H356=CVSSv3!$E$9,CVSSv3!$E$22,"")))))))*(1-(IF(H357=CVSSv3!$C$10,CVSSv3!$C$23,(IF(H357=CVSSv3!$D$10,CVSSv3!$D$23,(IF(H357=CVSSv3!$E$10,CVSSv3!$E$23,"")))))))*(1-(IF(H358=CVSSv3!$C$11,CVSSv3!$C$24,(IF(H358=CVSSv3!$D$11,CVSSv3!$D$24,(IF(H358=CVSSv3!$E$11,CVSSv3!$E$24,"")))))))))-0.02),15)))))+(8.22*(IF(H351=CVSSv3!$C$4,CVSSv3!$C$17,(IF(H351=CVSSv3!$D$4,CVSSv3!$D$17,(IF(H351=CVSSv3!$E$4,CVSSv3!$E$17,(IF(H351=CVSSv3!$F$4,CVSSv3!$F$17,""))))))))*(IF(H352=CVSSv3!$C$5,CVSSv3!$C$18,(IF(H352=CVSSv3!$D$5,CVSSv3!$D$18,""))))*(IF(H353=CVSSv3!$C$6,CVSSv3!$C$19,(IF(H353=CVSSv3!$D$6,(IF(H355=CVSSv3!$D$8,0.68,CVSSv3!$D$19)),(IF(H353=CVSSv3!$E$6,(IF(H355=CVSSv3!$D$8,0.5,CVSSv3!$E$19))))))))*(IF(H354=CVSSv3!$C$7,CVSSv3!$C$20,(IF(H354=CVSSv3!$D$7,CVSSv3!$D$20,""))))),10)),1),ROUNDUP((MIN(1.08*((IF(H355=CVSSv3!$C$8,(6.42*(1-((1-(IF(H356=CVSSv3!$C$9,CVSSv3!$C$22,(IF(H356=CVSSv3!$D$9,CVSSv3!$D$22,(IF(H356=CVSSv3!$E$9,CVSSv3!$E$22,"")))))))*(1-(IF(H357=CVSSv3!$C$10,CVSSv3!$C$23,(IF(H357=CVSSv3!$D$10,CVSSv3!$D$23,(IF(H357=CVSSv3!$E$10,CVSSv3!$E$23,"")))))))*(1-(IF(H358=CVSSv3!$C$11,CVSSv3!$C$24,(IF(H358=CVSSv3!$D$11,CVSSv3!$D$24,(IF(H358=CVSSv3!$E$11,CVSSv3!$E$24,"")))))))))),((7.52*((1-((1-(IF(H356=CVSSv3!$C$9,CVSSv3!$C$22,(IF(H356=CVSSv3!$D$9,CVSSv3!$D$22,(IF(H356=CVSSv3!$E$9,CVSSv3!$E$22,"")))))))*(1-(IF(H357=CVSSv3!$C$10,CVSSv3!$C$23,(IF(H357=CVSSv3!$D$10,CVSSv3!$D$23,(IF(H357=CVSSv3!$E$10,CVSSv3!$E$23,"")))))))*(1-(IF(H358=CVSSv3!$C$11,CVSSv3!$C$24,(IF(H358=CVSSv3!$D$11,CVSSv3!$D$24,(IF(H358=CVSSv3!$E$11,CVSSv3!$E$24,"")))))))))-0.029))-(3.25*POWER(((1-((1-(IF(H356=CVSSv3!$C$9,CVSSv3!$C$22,(IF(H356=CVSSv3!$D$9,CVSSv3!$D$22,(IF(H356=CVSSv3!$E$9,CVSSv3!$E$22,"")))))))*(1-(IF(H357=CVSSv3!$C$10,CVSSv3!$C$23,(IF(H357=CVSSv3!$D$10,CVSSv3!$D$23,(IF(H357=CVSSv3!$E$10,CVSSv3!$E$23,"")))))))*(1-(IF(H358=CVSSv3!$C$11,CVSSv3!$C$24,(IF(H358=CVSSv3!$D$11,CVSSv3!$D$24,(IF(H358=CVSSv3!$E$11,CVSSv3!$E$24,"")))))))))-0.02),15)))))+(8.22*(IF(H351=CVSSv3!$C$4,CVSSv3!$C$17,(IF(H351=CVSSv3!$D$4,CVSSv3!$D$17,(IF(H351=CVSSv3!$E$4,CVSSv3!$E$17,(IF(H351=CVSSv3!$F$4,CVSSv3!$F$17,""))))))))*(IF(H352=CVSSv3!$C$5,CVSSv3!$C$18,(IF(H352=CVSSv3!$D$5,CVSSv3!$D$18,""))))*(IF(H353=CVSSv3!$C$6,CVSSv3!$C$19,(IF(H353=CVSSv3!$D$6,(IF(H355=CVSSv3!$D$8,0.68,CVSSv3!$D$19)),(IF(H353=CVSSv3!$E$6,(IF(H355=CVSSv3!$D$8,0.5,CVSSv3!$E$19))))))))*(IF(H354=CVSSv3!$C$7,CVSSv3!$C$20,(IF(H354=CVSSv3!$D$7,CVSSv3!$D$20,"")))))),10)),1))))*(IF(H359=CVSSv3!$C$12,CVSSv3!$C$25,(IF(H359=CVSSv3!$D$12,CVSSv3!$D$25,(IF(H359=CVSSv3!$E$12,CVSSv3!$E$25,(IF(H359=CVSSv3!$F$12,CVSSv3!$F$25,""))))))))*(IF(H360=CVSSv3!$C$13,CVSSv3!$C$26,(IF(H360=CVSSv3!$D$13,CVSSv3!$D$26,(IF(H360=CVSSv3!$E$13,CVSSv3!$E$26,(IF(H360=CVSSv3!$F$13,CVSSv3!$F$26,""))))))))*(IF(H361=CVSSv3!$C$14,CVSSv3!$C$27,(IF(H361=CVSSv3!$D$14,CVSSv3!$D$27,(IF(H361=CVSSv3!$E$14,CVSSv3!$E$27,""))))))),1)</f>
        <v>9</v>
      </c>
      <c r="J351" s="89">
        <v>0</v>
      </c>
      <c r="K351" s="89">
        <v>0</v>
      </c>
      <c r="L351" s="85" t="s">
        <v>17</v>
      </c>
      <c r="M351" s="85" t="s">
        <v>17</v>
      </c>
      <c r="N351" s="85" t="s">
        <v>707</v>
      </c>
      <c r="O351" s="85" t="s">
        <v>708</v>
      </c>
    </row>
    <row r="352" spans="1:15" x14ac:dyDescent="0.25">
      <c r="A352" s="89"/>
      <c r="B352" s="85"/>
      <c r="C352" s="85"/>
      <c r="D352" s="85"/>
      <c r="E352" s="85"/>
      <c r="F352" s="85"/>
      <c r="G352" s="80" t="str">
        <f>CVSSv3!$A$5</f>
        <v>Complejidad de ataque:</v>
      </c>
      <c r="H352" s="81" t="s">
        <v>709</v>
      </c>
      <c r="I352" s="88"/>
      <c r="J352" s="89"/>
      <c r="K352" s="89"/>
      <c r="L352" s="85"/>
      <c r="M352" s="85"/>
      <c r="N352" s="85"/>
      <c r="O352" s="85"/>
    </row>
    <row r="353" spans="1:15" x14ac:dyDescent="0.25">
      <c r="A353" s="89"/>
      <c r="B353" s="85"/>
      <c r="C353" s="85"/>
      <c r="D353" s="85"/>
      <c r="E353" s="85"/>
      <c r="F353" s="85"/>
      <c r="G353" s="80" t="str">
        <f>CVSSv3!$A$6</f>
        <v>Privilegios requeridos:</v>
      </c>
      <c r="H353" s="81" t="s">
        <v>710</v>
      </c>
      <c r="I353" s="88"/>
      <c r="J353" s="89"/>
      <c r="K353" s="89"/>
      <c r="L353" s="85"/>
      <c r="M353" s="85"/>
      <c r="N353" s="85"/>
      <c r="O353" s="85"/>
    </row>
    <row r="354" spans="1:15" x14ac:dyDescent="0.25">
      <c r="A354" s="89"/>
      <c r="B354" s="85"/>
      <c r="C354" s="85"/>
      <c r="D354" s="85"/>
      <c r="E354" s="85"/>
      <c r="F354" s="85"/>
      <c r="G354" s="80" t="str">
        <f>CVSSv3!$A$7</f>
        <v>Interacción del usuario:</v>
      </c>
      <c r="H354" s="81" t="s">
        <v>711</v>
      </c>
      <c r="I354" s="88"/>
      <c r="J354" s="89"/>
      <c r="K354" s="89"/>
      <c r="L354" s="85"/>
      <c r="M354" s="85"/>
      <c r="N354" s="85"/>
      <c r="O354" s="85"/>
    </row>
    <row r="355" spans="1:15" x14ac:dyDescent="0.25">
      <c r="A355" s="89"/>
      <c r="B355" s="85"/>
      <c r="C355" s="85"/>
      <c r="D355" s="85"/>
      <c r="E355" s="85"/>
      <c r="F355" s="85"/>
      <c r="G355" s="80" t="str">
        <f>CVSSv3!$A$8</f>
        <v>Alcance:</v>
      </c>
      <c r="H355" s="81" t="s">
        <v>712</v>
      </c>
      <c r="I355" s="88"/>
      <c r="J355" s="89"/>
      <c r="K355" s="89"/>
      <c r="L355" s="85"/>
      <c r="M355" s="85"/>
      <c r="N355" s="85"/>
      <c r="O355" s="85"/>
    </row>
    <row r="356" spans="1:15" x14ac:dyDescent="0.25">
      <c r="A356" s="89"/>
      <c r="B356" s="85"/>
      <c r="C356" s="85"/>
      <c r="D356" s="85"/>
      <c r="E356" s="85"/>
      <c r="F356" s="85"/>
      <c r="G356" s="80" t="str">
        <f>CVSSv3!$A$9</f>
        <v>Impacto a la confidencialidad:</v>
      </c>
      <c r="H356" s="81" t="s">
        <v>713</v>
      </c>
      <c r="I356" s="88"/>
      <c r="J356" s="89"/>
      <c r="K356" s="89"/>
      <c r="L356" s="85"/>
      <c r="M356" s="85"/>
      <c r="N356" s="85"/>
      <c r="O356" s="85"/>
    </row>
    <row r="357" spans="1:15" x14ac:dyDescent="0.25">
      <c r="A357" s="89"/>
      <c r="B357" s="85"/>
      <c r="C357" s="85"/>
      <c r="D357" s="85"/>
      <c r="E357" s="85"/>
      <c r="F357" s="85"/>
      <c r="G357" s="80" t="str">
        <f>CVSSv3!$A$10</f>
        <v>Impacto a la integridad:</v>
      </c>
      <c r="H357" s="81" t="s">
        <v>713</v>
      </c>
      <c r="I357" s="88"/>
      <c r="J357" s="89"/>
      <c r="K357" s="89"/>
      <c r="L357" s="85"/>
      <c r="M357" s="85"/>
      <c r="N357" s="85"/>
      <c r="O357" s="85"/>
    </row>
    <row r="358" spans="1:15" x14ac:dyDescent="0.25">
      <c r="A358" s="89"/>
      <c r="B358" s="85"/>
      <c r="C358" s="85"/>
      <c r="D358" s="85"/>
      <c r="E358" s="85"/>
      <c r="F358" s="85"/>
      <c r="G358" s="80" t="str">
        <f>CVSSv3!$A$11</f>
        <v>Impacto a la disponibilidad:</v>
      </c>
      <c r="H358" s="81" t="s">
        <v>713</v>
      </c>
      <c r="I358" s="88"/>
      <c r="J358" s="89"/>
      <c r="K358" s="89"/>
      <c r="L358" s="85"/>
      <c r="M358" s="85"/>
      <c r="N358" s="85"/>
      <c r="O358" s="85"/>
    </row>
    <row r="359" spans="1:15" x14ac:dyDescent="0.25">
      <c r="A359" s="89"/>
      <c r="B359" s="85"/>
      <c r="C359" s="85"/>
      <c r="D359" s="85"/>
      <c r="E359" s="85"/>
      <c r="F359" s="85"/>
      <c r="G359" s="80" t="str">
        <f>CVSSv3!$A$12</f>
        <v>Explotabilidad:</v>
      </c>
      <c r="H359" s="81" t="s">
        <v>709</v>
      </c>
      <c r="I359" s="88"/>
      <c r="J359" s="89"/>
      <c r="K359" s="89"/>
      <c r="L359" s="85"/>
      <c r="M359" s="85"/>
      <c r="N359" s="85"/>
      <c r="O359" s="85"/>
    </row>
    <row r="360" spans="1:15" x14ac:dyDescent="0.25">
      <c r="A360" s="89"/>
      <c r="B360" s="85"/>
      <c r="C360" s="85"/>
      <c r="D360" s="85"/>
      <c r="E360" s="85"/>
      <c r="F360" s="85"/>
      <c r="G360" s="80" t="str">
        <f>CVSSv3!$A$13</f>
        <v>Nivel de resolución:</v>
      </c>
      <c r="H360" s="81" t="s">
        <v>714</v>
      </c>
      <c r="I360" s="88"/>
      <c r="J360" s="89"/>
      <c r="K360" s="89"/>
      <c r="L360" s="85"/>
      <c r="M360" s="85"/>
      <c r="N360" s="85"/>
      <c r="O360" s="85"/>
    </row>
    <row r="361" spans="1:15" x14ac:dyDescent="0.25">
      <c r="A361" s="89"/>
      <c r="B361" s="85"/>
      <c r="C361" s="85"/>
      <c r="D361" s="85"/>
      <c r="E361" s="85"/>
      <c r="F361" s="85"/>
      <c r="G361" s="80" t="str">
        <f>CVSSv3!$A$14</f>
        <v>Nivel de confianza</v>
      </c>
      <c r="H361" s="81" t="s">
        <v>715</v>
      </c>
      <c r="I361" s="88"/>
      <c r="J361" s="89"/>
      <c r="K361" s="89"/>
      <c r="L361" s="85"/>
      <c r="M361" s="85"/>
      <c r="N361" s="85"/>
      <c r="O361" s="85"/>
    </row>
    <row r="362" spans="1:15" x14ac:dyDescent="0.25">
      <c r="A362" s="89"/>
      <c r="B362" s="85"/>
      <c r="C362" s="85"/>
      <c r="D362" s="85"/>
      <c r="E362" s="85"/>
      <c r="F362" s="85"/>
      <c r="G362" s="86" t="str">
        <f>"("&amp;CVSSv3!$B$4&amp;":"&amp;IF(H351=CVSSv3!$C$4,CVSSv3!$C$30,IF(H351=CVSSv3!$D$4,CVSSv3!$D$30,IF(H351=CVSSv3!$E$4,CVSSv3!$E$30,IF(H351=CVSSv3!$F$4,CVSSv3!$F$30,""))))&amp;"/"&amp;CVSSv3!$B$5&amp;":"&amp;IF(H352=CVSSv3!$C$5,CVSSv3!$C$31,IF(H352=CVSSv3!$D$5,CVSSv3!$D$31,""))&amp;"/"&amp;CVSSv3!$B$6&amp;":"&amp;IF(H353=CVSSv3!$C$6,CVSSv3!$C$32,IF(H353=CVSSv3!$D$6,CVSSv3!$D$32,IF(H353=CVSSv3!$E$6,CVSSv3!$E$32,"")))&amp;"/"&amp;CVSSv3!$B$7&amp;":"&amp;IF(H354=CVSSv3!$C$7,CVSSv3!$C$33,IF(H354=CVSSv3!$D$7,CVSSv3!$D$33,""))&amp;"/"&amp;CVSSv3!$B$8&amp;":"&amp;IF(H355=CVSSv3!$C$8,CVSSv3!$C$34,IF(H355=CVSSv3!$D$8,CVSSv3!$D$34,""))&amp;"/"&amp;CVSSv3!$B$9&amp;":"&amp;IF(H356=CVSSv3!$C$9,CVSSv3!$C$35,IF(H356=CVSSv3!$D$9,CVSSv3!$D$35,IF(H356=CVSSv3!$E$9,CVSSv3!$E$35,"")))&amp;"/"&amp;CVSSv3!$B$10&amp;":"&amp;IF(H357=CVSSv3!$C$10,CVSSv3!$C$36,IF(H357=CVSSv3!$D$10,CVSSv3!$D$36,IF(H357=CVSSv3!$E$10,CVSSv3!$E$36,"")))&amp;"/"&amp;CVSSv3!$B$11&amp;":"&amp;IF(H358=CVSSv3!$C$11,CVSSv3!$C$37,IF(H358=CVSSv3!$D$11,CVSSv3!$D$37,IF(H358=CVSSv3!$E$11,CVSSv3!$E$37,"")))&amp;"/"&amp;CVSSv3!$B$12&amp;":"&amp;IF(H359=CVSSv3!$C$12,CVSSv3!$C$38,IF(H359=CVSSv3!$D$12,CVSSv3!$D$38,IF(H359=CVSSv3!$E$12,CVSSv3!$E$38,IF(H359=CVSSv3!$F$12,CVSSv3!$F$38,""))))&amp;"/"&amp;CVSSv3!$B$13&amp;":"&amp;IF(H360=CVSSv3!$C$13,CVSSv3!$C$39,IF(H360=CVSSv3!$D$13,CVSSv3!$D$39,IF(H360=CVSSv3!$E$13,CVSSv3!$E$39,IF(H360=CVSSv3!$F$13,CVSSv3!$F$39,""))))&amp;"/"&amp;CVSSv3!$B$14&amp;":"&amp;IF(H361=CVSSv3!$C$14,CVSSv3!$C$40,IF(H361=CVSSv3!$D$14,CVSSv3!$D$40,IF(H361=CVSSv3!$E$14,CVSSv3!$E$40,"")))&amp;")"</f>
        <v>(AV:N/AC:H/PR:N/UI:N/S:C/C:H/I:H/A:H/E:H/RL:U/RC:C)</v>
      </c>
      <c r="H362" s="87"/>
      <c r="I362" s="88"/>
      <c r="J362" s="89"/>
      <c r="K362" s="89"/>
      <c r="L362" s="85"/>
      <c r="M362" s="85"/>
      <c r="N362" s="85"/>
      <c r="O362" s="85"/>
    </row>
    <row r="363" spans="1:15" x14ac:dyDescent="0.25">
      <c r="A363" s="89">
        <v>31</v>
      </c>
      <c r="B363" s="85" t="s">
        <v>744</v>
      </c>
      <c r="C363" s="85" t="s">
        <v>17</v>
      </c>
      <c r="D363" s="85" t="s">
        <v>17</v>
      </c>
      <c r="E363" s="85" t="s">
        <v>17</v>
      </c>
      <c r="F363"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63" s="82" t="str">
        <f>CVSSv3!$A$4</f>
        <v>Vector de ataque:</v>
      </c>
      <c r="H363" s="84" t="s">
        <v>706</v>
      </c>
      <c r="I363" s="88">
        <f>ROUNDUP((IF((IF(H367=CVSSv3!$C$8,(6.42*(1-((1-(IF(H368=CVSSv3!$C$9,CVSSv3!$C$22,(IF(H368=CVSSv3!$D$9,CVSSv3!$D$22,(IF(H368=CVSSv3!$E$9,CVSSv3!$E$22,"")))))))*(1-(IF(H369=CVSSv3!$C$10,CVSSv3!$C$23,(IF(H369=CVSSv3!$D$10,CVSSv3!$D$23,(IF(H369=CVSSv3!$E$10,CVSSv3!$E$23,"")))))))*(1-(IF(H370=CVSSv3!$C$11,CVSSv3!$C$24,(IF(H370=CVSSv3!$D$11,CVSSv3!$D$24,(IF(H370=CVSSv3!$E$11,CVSSv3!$E$24,"")))))))))),((7.52*((1-((1-(IF(H368=CVSSv3!$C$9,CVSSv3!$C$22,(IF(H368=CVSSv3!$D$9,CVSSv3!$D$22,(IF(H368=CVSSv3!$E$9,CVSSv3!$E$22,"")))))))*(1-(IF(H369=CVSSv3!$C$10,CVSSv3!$C$23,(IF(H369=CVSSv3!$D$10,CVSSv3!$D$23,(IF(H369=CVSSv3!$E$10,CVSSv3!$E$23,"")))))))*(1-(IF(H370=CVSSv3!$C$11,CVSSv3!$C$24,(IF(H370=CVSSv3!$D$11,CVSSv3!$D$24,(IF(H370=CVSSv3!$E$11,CVSSv3!$E$24,"")))))))))-0.029))-(3.25*POWER(((1-((1-(IF(H368=CVSSv3!$C$9,CVSSv3!$C$22,(IF(H368=CVSSv3!$D$9,CVSSv3!$D$22,(IF(H368=CVSSv3!$E$9,CVSSv3!$E$22,"")))))))*(1-(IF(H369=CVSSv3!$C$10,CVSSv3!$C$23,(IF(H369=CVSSv3!$D$10,CVSSv3!$D$23,(IF(H369=CVSSv3!$E$10,CVSSv3!$E$23,"")))))))*(1-(IF(H370=CVSSv3!$C$11,CVSSv3!$C$24,(IF(H370=CVSSv3!$D$11,CVSSv3!$D$24,(IF(H370=CVSSv3!$E$11,CVSSv3!$E$24,"")))))))))-0.02),15)))))&lt;=0,0,(IF(H367=CVSSv3!$C$8,ROUNDUP((MIN((IF(H367=CVSSv3!$C$8,(6.42*(1-((1-(IF(H368=CVSSv3!$C$9,CVSSv3!$C$22,(IF(H368=CVSSv3!$D$9,CVSSv3!$D$22,(IF(H368=CVSSv3!$E$9,CVSSv3!$E$22,"")))))))*(1-(IF(H369=CVSSv3!$C$10,CVSSv3!$C$23,(IF(H369=CVSSv3!$D$10,CVSSv3!$D$23,(IF(H369=CVSSv3!$E$10,CVSSv3!$E$23,"")))))))*(1-(IF(H370=CVSSv3!$C$11,CVSSv3!$C$24,(IF(H370=CVSSv3!$D$11,CVSSv3!$D$24,(IF(H370=CVSSv3!$E$11,CVSSv3!$E$24,"")))))))))),((7.52*((1-((1-(IF(H368=CVSSv3!$C$9,CVSSv3!$C$22,(IF(H368=CVSSv3!$D$9,CVSSv3!$D$22,(IF(H368=CVSSv3!$E$9,CVSSv3!$E$22,"")))))))*(1-(IF(H369=CVSSv3!$C$10,CVSSv3!$C$23,(IF(H369=CVSSv3!$D$10,CVSSv3!$D$23,(IF(H369=CVSSv3!$E$10,CVSSv3!$E$23,"")))))))*(1-(IF(H370=CVSSv3!$C$11,CVSSv3!$C$24,(IF(H370=CVSSv3!$D$11,CVSSv3!$D$24,(IF(H370=CVSSv3!$E$11,CVSSv3!$E$24,"")))))))))-0.029))-(3.25*POWER(((1-((1-(IF(H368=CVSSv3!$C$9,CVSSv3!$C$22,(IF(H368=CVSSv3!$D$9,CVSSv3!$D$22,(IF(H368=CVSSv3!$E$9,CVSSv3!$E$22,"")))))))*(1-(IF(H369=CVSSv3!$C$10,CVSSv3!$C$23,(IF(H369=CVSSv3!$D$10,CVSSv3!$D$23,(IF(H369=CVSSv3!$E$10,CVSSv3!$E$23,"")))))))*(1-(IF(H370=CVSSv3!$C$11,CVSSv3!$C$24,(IF(H370=CVSSv3!$D$11,CVSSv3!$D$24,(IF(H370=CVSSv3!$E$11,CVSSv3!$E$24,"")))))))))-0.02),15)))))+(8.22*(IF(H363=CVSSv3!$C$4,CVSSv3!$C$17,(IF(H363=CVSSv3!$D$4,CVSSv3!$D$17,(IF(H363=CVSSv3!$E$4,CVSSv3!$E$17,(IF(H363=CVSSv3!$F$4,CVSSv3!$F$17,""))))))))*(IF(H364=CVSSv3!$C$5,CVSSv3!$C$18,(IF(H364=CVSSv3!$D$5,CVSSv3!$D$18,""))))*(IF(H365=CVSSv3!$C$6,CVSSv3!$C$19,(IF(H365=CVSSv3!$D$6,(IF(H367=CVSSv3!$D$8,0.68,CVSSv3!$D$19)),(IF(H365=CVSSv3!$E$6,(IF(H367=CVSSv3!$D$8,0.5,CVSSv3!$E$19))))))))*(IF(H366=CVSSv3!$C$7,CVSSv3!$C$20,(IF(H366=CVSSv3!$D$7,CVSSv3!$D$20,""))))),10)),1),ROUNDUP((MIN(1.08*((IF(H367=CVSSv3!$C$8,(6.42*(1-((1-(IF(H368=CVSSv3!$C$9,CVSSv3!$C$22,(IF(H368=CVSSv3!$D$9,CVSSv3!$D$22,(IF(H368=CVSSv3!$E$9,CVSSv3!$E$22,"")))))))*(1-(IF(H369=CVSSv3!$C$10,CVSSv3!$C$23,(IF(H369=CVSSv3!$D$10,CVSSv3!$D$23,(IF(H369=CVSSv3!$E$10,CVSSv3!$E$23,"")))))))*(1-(IF(H370=CVSSv3!$C$11,CVSSv3!$C$24,(IF(H370=CVSSv3!$D$11,CVSSv3!$D$24,(IF(H370=CVSSv3!$E$11,CVSSv3!$E$24,"")))))))))),((7.52*((1-((1-(IF(H368=CVSSv3!$C$9,CVSSv3!$C$22,(IF(H368=CVSSv3!$D$9,CVSSv3!$D$22,(IF(H368=CVSSv3!$E$9,CVSSv3!$E$22,"")))))))*(1-(IF(H369=CVSSv3!$C$10,CVSSv3!$C$23,(IF(H369=CVSSv3!$D$10,CVSSv3!$D$23,(IF(H369=CVSSv3!$E$10,CVSSv3!$E$23,"")))))))*(1-(IF(H370=CVSSv3!$C$11,CVSSv3!$C$24,(IF(H370=CVSSv3!$D$11,CVSSv3!$D$24,(IF(H370=CVSSv3!$E$11,CVSSv3!$E$24,"")))))))))-0.029))-(3.25*POWER(((1-((1-(IF(H368=CVSSv3!$C$9,CVSSv3!$C$22,(IF(H368=CVSSv3!$D$9,CVSSv3!$D$22,(IF(H368=CVSSv3!$E$9,CVSSv3!$E$22,"")))))))*(1-(IF(H369=CVSSv3!$C$10,CVSSv3!$C$23,(IF(H369=CVSSv3!$D$10,CVSSv3!$D$23,(IF(H369=CVSSv3!$E$10,CVSSv3!$E$23,"")))))))*(1-(IF(H370=CVSSv3!$C$11,CVSSv3!$C$24,(IF(H370=CVSSv3!$D$11,CVSSv3!$D$24,(IF(H370=CVSSv3!$E$11,CVSSv3!$E$24,"")))))))))-0.02),15)))))+(8.22*(IF(H363=CVSSv3!$C$4,CVSSv3!$C$17,(IF(H363=CVSSv3!$D$4,CVSSv3!$D$17,(IF(H363=CVSSv3!$E$4,CVSSv3!$E$17,(IF(H363=CVSSv3!$F$4,CVSSv3!$F$17,""))))))))*(IF(H364=CVSSv3!$C$5,CVSSv3!$C$18,(IF(H364=CVSSv3!$D$5,CVSSv3!$D$18,""))))*(IF(H365=CVSSv3!$C$6,CVSSv3!$C$19,(IF(H365=CVSSv3!$D$6,(IF(H367=CVSSv3!$D$8,0.68,CVSSv3!$D$19)),(IF(H365=CVSSv3!$E$6,(IF(H367=CVSSv3!$D$8,0.5,CVSSv3!$E$19))))))))*(IF(H366=CVSSv3!$C$7,CVSSv3!$C$20,(IF(H366=CVSSv3!$D$7,CVSSv3!$D$20,"")))))),10)),1))))*(IF(H371=CVSSv3!$C$12,CVSSv3!$C$25,(IF(H371=CVSSv3!$D$12,CVSSv3!$D$25,(IF(H371=CVSSv3!$E$12,CVSSv3!$E$25,(IF(H371=CVSSv3!$F$12,CVSSv3!$F$25,""))))))))*(IF(H372=CVSSv3!$C$13,CVSSv3!$C$26,(IF(H372=CVSSv3!$D$13,CVSSv3!$D$26,(IF(H372=CVSSv3!$E$13,CVSSv3!$E$26,(IF(H372=CVSSv3!$F$13,CVSSv3!$F$26,""))))))))*(IF(H373=CVSSv3!$C$14,CVSSv3!$C$27,(IF(H373=CVSSv3!$D$14,CVSSv3!$D$27,(IF(H373=CVSSv3!$E$14,CVSSv3!$E$27,""))))))),1)</f>
        <v>9</v>
      </c>
      <c r="J363" s="89">
        <v>0</v>
      </c>
      <c r="K363" s="89">
        <v>0</v>
      </c>
      <c r="L363" s="85" t="s">
        <v>17</v>
      </c>
      <c r="M363" s="85" t="s">
        <v>17</v>
      </c>
      <c r="N363" s="85" t="s">
        <v>707</v>
      </c>
      <c r="O363" s="85" t="s">
        <v>708</v>
      </c>
    </row>
    <row r="364" spans="1:15" x14ac:dyDescent="0.25">
      <c r="A364" s="89"/>
      <c r="B364" s="85"/>
      <c r="C364" s="85"/>
      <c r="D364" s="85"/>
      <c r="E364" s="85"/>
      <c r="F364" s="85"/>
      <c r="G364" s="80" t="str">
        <f>CVSSv3!$A$5</f>
        <v>Complejidad de ataque:</v>
      </c>
      <c r="H364" s="81" t="s">
        <v>709</v>
      </c>
      <c r="I364" s="88"/>
      <c r="J364" s="89"/>
      <c r="K364" s="89"/>
      <c r="L364" s="85"/>
      <c r="M364" s="85"/>
      <c r="N364" s="85"/>
      <c r="O364" s="85"/>
    </row>
    <row r="365" spans="1:15" x14ac:dyDescent="0.25">
      <c r="A365" s="89"/>
      <c r="B365" s="85"/>
      <c r="C365" s="85"/>
      <c r="D365" s="85"/>
      <c r="E365" s="85"/>
      <c r="F365" s="85"/>
      <c r="G365" s="80" t="str">
        <f>CVSSv3!$A$6</f>
        <v>Privilegios requeridos:</v>
      </c>
      <c r="H365" s="81" t="s">
        <v>710</v>
      </c>
      <c r="I365" s="88"/>
      <c r="J365" s="89"/>
      <c r="K365" s="89"/>
      <c r="L365" s="85"/>
      <c r="M365" s="85"/>
      <c r="N365" s="85"/>
      <c r="O365" s="85"/>
    </row>
    <row r="366" spans="1:15" x14ac:dyDescent="0.25">
      <c r="A366" s="89"/>
      <c r="B366" s="85"/>
      <c r="C366" s="85"/>
      <c r="D366" s="85"/>
      <c r="E366" s="85"/>
      <c r="F366" s="85"/>
      <c r="G366" s="80" t="str">
        <f>CVSSv3!$A$7</f>
        <v>Interacción del usuario:</v>
      </c>
      <c r="H366" s="81" t="s">
        <v>711</v>
      </c>
      <c r="I366" s="88"/>
      <c r="J366" s="89"/>
      <c r="K366" s="89"/>
      <c r="L366" s="85"/>
      <c r="M366" s="85"/>
      <c r="N366" s="85"/>
      <c r="O366" s="85"/>
    </row>
    <row r="367" spans="1:15" x14ac:dyDescent="0.25">
      <c r="A367" s="89"/>
      <c r="B367" s="85"/>
      <c r="C367" s="85"/>
      <c r="D367" s="85"/>
      <c r="E367" s="85"/>
      <c r="F367" s="85"/>
      <c r="G367" s="80" t="str">
        <f>CVSSv3!$A$8</f>
        <v>Alcance:</v>
      </c>
      <c r="H367" s="81" t="s">
        <v>712</v>
      </c>
      <c r="I367" s="88"/>
      <c r="J367" s="89"/>
      <c r="K367" s="89"/>
      <c r="L367" s="85"/>
      <c r="M367" s="85"/>
      <c r="N367" s="85"/>
      <c r="O367" s="85"/>
    </row>
    <row r="368" spans="1:15" x14ac:dyDescent="0.25">
      <c r="A368" s="89"/>
      <c r="B368" s="85"/>
      <c r="C368" s="85"/>
      <c r="D368" s="85"/>
      <c r="E368" s="85"/>
      <c r="F368" s="85"/>
      <c r="G368" s="80" t="str">
        <f>CVSSv3!$A$9</f>
        <v>Impacto a la confidencialidad:</v>
      </c>
      <c r="H368" s="81" t="s">
        <v>713</v>
      </c>
      <c r="I368" s="88"/>
      <c r="J368" s="89"/>
      <c r="K368" s="89"/>
      <c r="L368" s="85"/>
      <c r="M368" s="85"/>
      <c r="N368" s="85"/>
      <c r="O368" s="85"/>
    </row>
    <row r="369" spans="1:15" x14ac:dyDescent="0.25">
      <c r="A369" s="89"/>
      <c r="B369" s="85"/>
      <c r="C369" s="85"/>
      <c r="D369" s="85"/>
      <c r="E369" s="85"/>
      <c r="F369" s="85"/>
      <c r="G369" s="80" t="str">
        <f>CVSSv3!$A$10</f>
        <v>Impacto a la integridad:</v>
      </c>
      <c r="H369" s="81" t="s">
        <v>713</v>
      </c>
      <c r="I369" s="88"/>
      <c r="J369" s="89"/>
      <c r="K369" s="89"/>
      <c r="L369" s="85"/>
      <c r="M369" s="85"/>
      <c r="N369" s="85"/>
      <c r="O369" s="85"/>
    </row>
    <row r="370" spans="1:15" x14ac:dyDescent="0.25">
      <c r="A370" s="89"/>
      <c r="B370" s="85"/>
      <c r="C370" s="85"/>
      <c r="D370" s="85"/>
      <c r="E370" s="85"/>
      <c r="F370" s="85"/>
      <c r="G370" s="80" t="str">
        <f>CVSSv3!$A$11</f>
        <v>Impacto a la disponibilidad:</v>
      </c>
      <c r="H370" s="81" t="s">
        <v>713</v>
      </c>
      <c r="I370" s="88"/>
      <c r="J370" s="89"/>
      <c r="K370" s="89"/>
      <c r="L370" s="85"/>
      <c r="M370" s="85"/>
      <c r="N370" s="85"/>
      <c r="O370" s="85"/>
    </row>
    <row r="371" spans="1:15" x14ac:dyDescent="0.25">
      <c r="A371" s="89"/>
      <c r="B371" s="85"/>
      <c r="C371" s="85"/>
      <c r="D371" s="85"/>
      <c r="E371" s="85"/>
      <c r="F371" s="85"/>
      <c r="G371" s="80" t="str">
        <f>CVSSv3!$A$12</f>
        <v>Explotabilidad:</v>
      </c>
      <c r="H371" s="81" t="s">
        <v>709</v>
      </c>
      <c r="I371" s="88"/>
      <c r="J371" s="89"/>
      <c r="K371" s="89"/>
      <c r="L371" s="85"/>
      <c r="M371" s="85"/>
      <c r="N371" s="85"/>
      <c r="O371" s="85"/>
    </row>
    <row r="372" spans="1:15" x14ac:dyDescent="0.25">
      <c r="A372" s="89"/>
      <c r="B372" s="85"/>
      <c r="C372" s="85"/>
      <c r="D372" s="85"/>
      <c r="E372" s="85"/>
      <c r="F372" s="85"/>
      <c r="G372" s="80" t="str">
        <f>CVSSv3!$A$13</f>
        <v>Nivel de resolución:</v>
      </c>
      <c r="H372" s="81" t="s">
        <v>714</v>
      </c>
      <c r="I372" s="88"/>
      <c r="J372" s="89"/>
      <c r="K372" s="89"/>
      <c r="L372" s="85"/>
      <c r="M372" s="85"/>
      <c r="N372" s="85"/>
      <c r="O372" s="85"/>
    </row>
    <row r="373" spans="1:15" x14ac:dyDescent="0.25">
      <c r="A373" s="89"/>
      <c r="B373" s="85"/>
      <c r="C373" s="85"/>
      <c r="D373" s="85"/>
      <c r="E373" s="85"/>
      <c r="F373" s="85"/>
      <c r="G373" s="80" t="str">
        <f>CVSSv3!$A$14</f>
        <v>Nivel de confianza</v>
      </c>
      <c r="H373" s="81" t="s">
        <v>715</v>
      </c>
      <c r="I373" s="88"/>
      <c r="J373" s="89"/>
      <c r="K373" s="89"/>
      <c r="L373" s="85"/>
      <c r="M373" s="85"/>
      <c r="N373" s="85"/>
      <c r="O373" s="85"/>
    </row>
    <row r="374" spans="1:15" x14ac:dyDescent="0.25">
      <c r="A374" s="89"/>
      <c r="B374" s="85"/>
      <c r="C374" s="85"/>
      <c r="D374" s="85"/>
      <c r="E374" s="85"/>
      <c r="F374" s="85"/>
      <c r="G374" s="86" t="str">
        <f>"("&amp;CVSSv3!$B$4&amp;":"&amp;IF(H363=CVSSv3!$C$4,CVSSv3!$C$30,IF(H363=CVSSv3!$D$4,CVSSv3!$D$30,IF(H363=CVSSv3!$E$4,CVSSv3!$E$30,IF(H363=CVSSv3!$F$4,CVSSv3!$F$30,""))))&amp;"/"&amp;CVSSv3!$B$5&amp;":"&amp;IF(H364=CVSSv3!$C$5,CVSSv3!$C$31,IF(H364=CVSSv3!$D$5,CVSSv3!$D$31,""))&amp;"/"&amp;CVSSv3!$B$6&amp;":"&amp;IF(H365=CVSSv3!$C$6,CVSSv3!$C$32,IF(H365=CVSSv3!$D$6,CVSSv3!$D$32,IF(H365=CVSSv3!$E$6,CVSSv3!$E$32,"")))&amp;"/"&amp;CVSSv3!$B$7&amp;":"&amp;IF(H366=CVSSv3!$C$7,CVSSv3!$C$33,IF(H366=CVSSv3!$D$7,CVSSv3!$D$33,""))&amp;"/"&amp;CVSSv3!$B$8&amp;":"&amp;IF(H367=CVSSv3!$C$8,CVSSv3!$C$34,IF(H367=CVSSv3!$D$8,CVSSv3!$D$34,""))&amp;"/"&amp;CVSSv3!$B$9&amp;":"&amp;IF(H368=CVSSv3!$C$9,CVSSv3!$C$35,IF(H368=CVSSv3!$D$9,CVSSv3!$D$35,IF(H368=CVSSv3!$E$9,CVSSv3!$E$35,"")))&amp;"/"&amp;CVSSv3!$B$10&amp;":"&amp;IF(H369=CVSSv3!$C$10,CVSSv3!$C$36,IF(H369=CVSSv3!$D$10,CVSSv3!$D$36,IF(H369=CVSSv3!$E$10,CVSSv3!$E$36,"")))&amp;"/"&amp;CVSSv3!$B$11&amp;":"&amp;IF(H370=CVSSv3!$C$11,CVSSv3!$C$37,IF(H370=CVSSv3!$D$11,CVSSv3!$D$37,IF(H370=CVSSv3!$E$11,CVSSv3!$E$37,"")))&amp;"/"&amp;CVSSv3!$B$12&amp;":"&amp;IF(H371=CVSSv3!$C$12,CVSSv3!$C$38,IF(H371=CVSSv3!$D$12,CVSSv3!$D$38,IF(H371=CVSSv3!$E$12,CVSSv3!$E$38,IF(H371=CVSSv3!$F$12,CVSSv3!$F$38,""))))&amp;"/"&amp;CVSSv3!$B$13&amp;":"&amp;IF(H372=CVSSv3!$C$13,CVSSv3!$C$39,IF(H372=CVSSv3!$D$13,CVSSv3!$D$39,IF(H372=CVSSv3!$E$13,CVSSv3!$E$39,IF(H372=CVSSv3!$F$13,CVSSv3!$F$39,""))))&amp;"/"&amp;CVSSv3!$B$14&amp;":"&amp;IF(H373=CVSSv3!$C$14,CVSSv3!$C$40,IF(H373=CVSSv3!$D$14,CVSSv3!$D$40,IF(H373=CVSSv3!$E$14,CVSSv3!$E$40,"")))&amp;")"</f>
        <v>(AV:N/AC:H/PR:N/UI:N/S:C/C:H/I:H/A:H/E:H/RL:U/RC:C)</v>
      </c>
      <c r="H374" s="87"/>
      <c r="I374" s="88"/>
      <c r="J374" s="89"/>
      <c r="K374" s="89"/>
      <c r="L374" s="85"/>
      <c r="M374" s="85"/>
      <c r="N374" s="85"/>
      <c r="O374" s="85"/>
    </row>
    <row r="375" spans="1:15" x14ac:dyDescent="0.25">
      <c r="A375" s="89">
        <v>32</v>
      </c>
      <c r="B375" s="85" t="s">
        <v>745</v>
      </c>
      <c r="C375" s="85" t="s">
        <v>17</v>
      </c>
      <c r="D375" s="85" t="s">
        <v>17</v>
      </c>
      <c r="E375" s="85" t="s">
        <v>17</v>
      </c>
      <c r="F375"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75" s="82" t="str">
        <f>CVSSv3!$A$4</f>
        <v>Vector de ataque:</v>
      </c>
      <c r="H375" s="84" t="s">
        <v>706</v>
      </c>
      <c r="I375" s="88">
        <f>ROUNDUP((IF((IF(H379=CVSSv3!$C$8,(6.42*(1-((1-(IF(H380=CVSSv3!$C$9,CVSSv3!$C$22,(IF(H380=CVSSv3!$D$9,CVSSv3!$D$22,(IF(H380=CVSSv3!$E$9,CVSSv3!$E$22,"")))))))*(1-(IF(H381=CVSSv3!$C$10,CVSSv3!$C$23,(IF(H381=CVSSv3!$D$10,CVSSv3!$D$23,(IF(H381=CVSSv3!$E$10,CVSSv3!$E$23,"")))))))*(1-(IF(H382=CVSSv3!$C$11,CVSSv3!$C$24,(IF(H382=CVSSv3!$D$11,CVSSv3!$D$24,(IF(H382=CVSSv3!$E$11,CVSSv3!$E$24,"")))))))))),((7.52*((1-((1-(IF(H380=CVSSv3!$C$9,CVSSv3!$C$22,(IF(H380=CVSSv3!$D$9,CVSSv3!$D$22,(IF(H380=CVSSv3!$E$9,CVSSv3!$E$22,"")))))))*(1-(IF(H381=CVSSv3!$C$10,CVSSv3!$C$23,(IF(H381=CVSSv3!$D$10,CVSSv3!$D$23,(IF(H381=CVSSv3!$E$10,CVSSv3!$E$23,"")))))))*(1-(IF(H382=CVSSv3!$C$11,CVSSv3!$C$24,(IF(H382=CVSSv3!$D$11,CVSSv3!$D$24,(IF(H382=CVSSv3!$E$11,CVSSv3!$E$24,"")))))))))-0.029))-(3.25*POWER(((1-((1-(IF(H380=CVSSv3!$C$9,CVSSv3!$C$22,(IF(H380=CVSSv3!$D$9,CVSSv3!$D$22,(IF(H380=CVSSv3!$E$9,CVSSv3!$E$22,"")))))))*(1-(IF(H381=CVSSv3!$C$10,CVSSv3!$C$23,(IF(H381=CVSSv3!$D$10,CVSSv3!$D$23,(IF(H381=CVSSv3!$E$10,CVSSv3!$E$23,"")))))))*(1-(IF(H382=CVSSv3!$C$11,CVSSv3!$C$24,(IF(H382=CVSSv3!$D$11,CVSSv3!$D$24,(IF(H382=CVSSv3!$E$11,CVSSv3!$E$24,"")))))))))-0.02),15)))))&lt;=0,0,(IF(H379=CVSSv3!$C$8,ROUNDUP((MIN((IF(H379=CVSSv3!$C$8,(6.42*(1-((1-(IF(H380=CVSSv3!$C$9,CVSSv3!$C$22,(IF(H380=CVSSv3!$D$9,CVSSv3!$D$22,(IF(H380=CVSSv3!$E$9,CVSSv3!$E$22,"")))))))*(1-(IF(H381=CVSSv3!$C$10,CVSSv3!$C$23,(IF(H381=CVSSv3!$D$10,CVSSv3!$D$23,(IF(H381=CVSSv3!$E$10,CVSSv3!$E$23,"")))))))*(1-(IF(H382=CVSSv3!$C$11,CVSSv3!$C$24,(IF(H382=CVSSv3!$D$11,CVSSv3!$D$24,(IF(H382=CVSSv3!$E$11,CVSSv3!$E$24,"")))))))))),((7.52*((1-((1-(IF(H380=CVSSv3!$C$9,CVSSv3!$C$22,(IF(H380=CVSSv3!$D$9,CVSSv3!$D$22,(IF(H380=CVSSv3!$E$9,CVSSv3!$E$22,"")))))))*(1-(IF(H381=CVSSv3!$C$10,CVSSv3!$C$23,(IF(H381=CVSSv3!$D$10,CVSSv3!$D$23,(IF(H381=CVSSv3!$E$10,CVSSv3!$E$23,"")))))))*(1-(IF(H382=CVSSv3!$C$11,CVSSv3!$C$24,(IF(H382=CVSSv3!$D$11,CVSSv3!$D$24,(IF(H382=CVSSv3!$E$11,CVSSv3!$E$24,"")))))))))-0.029))-(3.25*POWER(((1-((1-(IF(H380=CVSSv3!$C$9,CVSSv3!$C$22,(IF(H380=CVSSv3!$D$9,CVSSv3!$D$22,(IF(H380=CVSSv3!$E$9,CVSSv3!$E$22,"")))))))*(1-(IF(H381=CVSSv3!$C$10,CVSSv3!$C$23,(IF(H381=CVSSv3!$D$10,CVSSv3!$D$23,(IF(H381=CVSSv3!$E$10,CVSSv3!$E$23,"")))))))*(1-(IF(H382=CVSSv3!$C$11,CVSSv3!$C$24,(IF(H382=CVSSv3!$D$11,CVSSv3!$D$24,(IF(H382=CVSSv3!$E$11,CVSSv3!$E$24,"")))))))))-0.02),15)))))+(8.22*(IF(H375=CVSSv3!$C$4,CVSSv3!$C$17,(IF(H375=CVSSv3!$D$4,CVSSv3!$D$17,(IF(H375=CVSSv3!$E$4,CVSSv3!$E$17,(IF(H375=CVSSv3!$F$4,CVSSv3!$F$17,""))))))))*(IF(H376=CVSSv3!$C$5,CVSSv3!$C$18,(IF(H376=CVSSv3!$D$5,CVSSv3!$D$18,""))))*(IF(H377=CVSSv3!$C$6,CVSSv3!$C$19,(IF(H377=CVSSv3!$D$6,(IF(H379=CVSSv3!$D$8,0.68,CVSSv3!$D$19)),(IF(H377=CVSSv3!$E$6,(IF(H379=CVSSv3!$D$8,0.5,CVSSv3!$E$19))))))))*(IF(H378=CVSSv3!$C$7,CVSSv3!$C$20,(IF(H378=CVSSv3!$D$7,CVSSv3!$D$20,""))))),10)),1),ROUNDUP((MIN(1.08*((IF(H379=CVSSv3!$C$8,(6.42*(1-((1-(IF(H380=CVSSv3!$C$9,CVSSv3!$C$22,(IF(H380=CVSSv3!$D$9,CVSSv3!$D$22,(IF(H380=CVSSv3!$E$9,CVSSv3!$E$22,"")))))))*(1-(IF(H381=CVSSv3!$C$10,CVSSv3!$C$23,(IF(H381=CVSSv3!$D$10,CVSSv3!$D$23,(IF(H381=CVSSv3!$E$10,CVSSv3!$E$23,"")))))))*(1-(IF(H382=CVSSv3!$C$11,CVSSv3!$C$24,(IF(H382=CVSSv3!$D$11,CVSSv3!$D$24,(IF(H382=CVSSv3!$E$11,CVSSv3!$E$24,"")))))))))),((7.52*((1-((1-(IF(H380=CVSSv3!$C$9,CVSSv3!$C$22,(IF(H380=CVSSv3!$D$9,CVSSv3!$D$22,(IF(H380=CVSSv3!$E$9,CVSSv3!$E$22,"")))))))*(1-(IF(H381=CVSSv3!$C$10,CVSSv3!$C$23,(IF(H381=CVSSv3!$D$10,CVSSv3!$D$23,(IF(H381=CVSSv3!$E$10,CVSSv3!$E$23,"")))))))*(1-(IF(H382=CVSSv3!$C$11,CVSSv3!$C$24,(IF(H382=CVSSv3!$D$11,CVSSv3!$D$24,(IF(H382=CVSSv3!$E$11,CVSSv3!$E$24,"")))))))))-0.029))-(3.25*POWER(((1-((1-(IF(H380=CVSSv3!$C$9,CVSSv3!$C$22,(IF(H380=CVSSv3!$D$9,CVSSv3!$D$22,(IF(H380=CVSSv3!$E$9,CVSSv3!$E$22,"")))))))*(1-(IF(H381=CVSSv3!$C$10,CVSSv3!$C$23,(IF(H381=CVSSv3!$D$10,CVSSv3!$D$23,(IF(H381=CVSSv3!$E$10,CVSSv3!$E$23,"")))))))*(1-(IF(H382=CVSSv3!$C$11,CVSSv3!$C$24,(IF(H382=CVSSv3!$D$11,CVSSv3!$D$24,(IF(H382=CVSSv3!$E$11,CVSSv3!$E$24,"")))))))))-0.02),15)))))+(8.22*(IF(H375=CVSSv3!$C$4,CVSSv3!$C$17,(IF(H375=CVSSv3!$D$4,CVSSv3!$D$17,(IF(H375=CVSSv3!$E$4,CVSSv3!$E$17,(IF(H375=CVSSv3!$F$4,CVSSv3!$F$17,""))))))))*(IF(H376=CVSSv3!$C$5,CVSSv3!$C$18,(IF(H376=CVSSv3!$D$5,CVSSv3!$D$18,""))))*(IF(H377=CVSSv3!$C$6,CVSSv3!$C$19,(IF(H377=CVSSv3!$D$6,(IF(H379=CVSSv3!$D$8,0.68,CVSSv3!$D$19)),(IF(H377=CVSSv3!$E$6,(IF(H379=CVSSv3!$D$8,0.5,CVSSv3!$E$19))))))))*(IF(H378=CVSSv3!$C$7,CVSSv3!$C$20,(IF(H378=CVSSv3!$D$7,CVSSv3!$D$20,"")))))),10)),1))))*(IF(H383=CVSSv3!$C$12,CVSSv3!$C$25,(IF(H383=CVSSv3!$D$12,CVSSv3!$D$25,(IF(H383=CVSSv3!$E$12,CVSSv3!$E$25,(IF(H383=CVSSv3!$F$12,CVSSv3!$F$25,""))))))))*(IF(H384=CVSSv3!$C$13,CVSSv3!$C$26,(IF(H384=CVSSv3!$D$13,CVSSv3!$D$26,(IF(H384=CVSSv3!$E$13,CVSSv3!$E$26,(IF(H384=CVSSv3!$F$13,CVSSv3!$F$26,""))))))))*(IF(H385=CVSSv3!$C$14,CVSSv3!$C$27,(IF(H385=CVSSv3!$D$14,CVSSv3!$D$27,(IF(H385=CVSSv3!$E$14,CVSSv3!$E$27,""))))))),1)</f>
        <v>9</v>
      </c>
      <c r="J375" s="89">
        <v>0</v>
      </c>
      <c r="K375" s="89">
        <v>0</v>
      </c>
      <c r="L375" s="85" t="s">
        <v>17</v>
      </c>
      <c r="M375" s="85" t="s">
        <v>17</v>
      </c>
      <c r="N375" s="85" t="s">
        <v>707</v>
      </c>
      <c r="O375" s="85" t="s">
        <v>708</v>
      </c>
    </row>
    <row r="376" spans="1:15" x14ac:dyDescent="0.25">
      <c r="A376" s="89"/>
      <c r="B376" s="85"/>
      <c r="C376" s="85"/>
      <c r="D376" s="85"/>
      <c r="E376" s="85"/>
      <c r="F376" s="85"/>
      <c r="G376" s="80" t="str">
        <f>CVSSv3!$A$5</f>
        <v>Complejidad de ataque:</v>
      </c>
      <c r="H376" s="81" t="s">
        <v>709</v>
      </c>
      <c r="I376" s="88"/>
      <c r="J376" s="89"/>
      <c r="K376" s="89"/>
      <c r="L376" s="85"/>
      <c r="M376" s="85"/>
      <c r="N376" s="85"/>
      <c r="O376" s="85"/>
    </row>
    <row r="377" spans="1:15" x14ac:dyDescent="0.25">
      <c r="A377" s="89"/>
      <c r="B377" s="85"/>
      <c r="C377" s="85"/>
      <c r="D377" s="85"/>
      <c r="E377" s="85"/>
      <c r="F377" s="85"/>
      <c r="G377" s="80" t="str">
        <f>CVSSv3!$A$6</f>
        <v>Privilegios requeridos:</v>
      </c>
      <c r="H377" s="81" t="s">
        <v>710</v>
      </c>
      <c r="I377" s="88"/>
      <c r="J377" s="89"/>
      <c r="K377" s="89"/>
      <c r="L377" s="85"/>
      <c r="M377" s="85"/>
      <c r="N377" s="85"/>
      <c r="O377" s="85"/>
    </row>
    <row r="378" spans="1:15" x14ac:dyDescent="0.25">
      <c r="A378" s="89"/>
      <c r="B378" s="85"/>
      <c r="C378" s="85"/>
      <c r="D378" s="85"/>
      <c r="E378" s="85"/>
      <c r="F378" s="85"/>
      <c r="G378" s="80" t="str">
        <f>CVSSv3!$A$7</f>
        <v>Interacción del usuario:</v>
      </c>
      <c r="H378" s="81" t="s">
        <v>711</v>
      </c>
      <c r="I378" s="88"/>
      <c r="J378" s="89"/>
      <c r="K378" s="89"/>
      <c r="L378" s="85"/>
      <c r="M378" s="85"/>
      <c r="N378" s="85"/>
      <c r="O378" s="85"/>
    </row>
    <row r="379" spans="1:15" x14ac:dyDescent="0.25">
      <c r="A379" s="89"/>
      <c r="B379" s="85"/>
      <c r="C379" s="85"/>
      <c r="D379" s="85"/>
      <c r="E379" s="85"/>
      <c r="F379" s="85"/>
      <c r="G379" s="80" t="str">
        <f>CVSSv3!$A$8</f>
        <v>Alcance:</v>
      </c>
      <c r="H379" s="81" t="s">
        <v>712</v>
      </c>
      <c r="I379" s="88"/>
      <c r="J379" s="89"/>
      <c r="K379" s="89"/>
      <c r="L379" s="85"/>
      <c r="M379" s="85"/>
      <c r="N379" s="85"/>
      <c r="O379" s="85"/>
    </row>
    <row r="380" spans="1:15" x14ac:dyDescent="0.25">
      <c r="A380" s="89"/>
      <c r="B380" s="85"/>
      <c r="C380" s="85"/>
      <c r="D380" s="85"/>
      <c r="E380" s="85"/>
      <c r="F380" s="85"/>
      <c r="G380" s="80" t="str">
        <f>CVSSv3!$A$9</f>
        <v>Impacto a la confidencialidad:</v>
      </c>
      <c r="H380" s="81" t="s">
        <v>713</v>
      </c>
      <c r="I380" s="88"/>
      <c r="J380" s="89"/>
      <c r="K380" s="89"/>
      <c r="L380" s="85"/>
      <c r="M380" s="85"/>
      <c r="N380" s="85"/>
      <c r="O380" s="85"/>
    </row>
    <row r="381" spans="1:15" x14ac:dyDescent="0.25">
      <c r="A381" s="89"/>
      <c r="B381" s="85"/>
      <c r="C381" s="85"/>
      <c r="D381" s="85"/>
      <c r="E381" s="85"/>
      <c r="F381" s="85"/>
      <c r="G381" s="80" t="str">
        <f>CVSSv3!$A$10</f>
        <v>Impacto a la integridad:</v>
      </c>
      <c r="H381" s="81" t="s">
        <v>713</v>
      </c>
      <c r="I381" s="88"/>
      <c r="J381" s="89"/>
      <c r="K381" s="89"/>
      <c r="L381" s="85"/>
      <c r="M381" s="85"/>
      <c r="N381" s="85"/>
      <c r="O381" s="85"/>
    </row>
    <row r="382" spans="1:15" x14ac:dyDescent="0.25">
      <c r="A382" s="89"/>
      <c r="B382" s="85"/>
      <c r="C382" s="85"/>
      <c r="D382" s="85"/>
      <c r="E382" s="85"/>
      <c r="F382" s="85"/>
      <c r="G382" s="80" t="str">
        <f>CVSSv3!$A$11</f>
        <v>Impacto a la disponibilidad:</v>
      </c>
      <c r="H382" s="81" t="s">
        <v>713</v>
      </c>
      <c r="I382" s="88"/>
      <c r="J382" s="89"/>
      <c r="K382" s="89"/>
      <c r="L382" s="85"/>
      <c r="M382" s="85"/>
      <c r="N382" s="85"/>
      <c r="O382" s="85"/>
    </row>
    <row r="383" spans="1:15" x14ac:dyDescent="0.25">
      <c r="A383" s="89"/>
      <c r="B383" s="85"/>
      <c r="C383" s="85"/>
      <c r="D383" s="85"/>
      <c r="E383" s="85"/>
      <c r="F383" s="85"/>
      <c r="G383" s="80" t="str">
        <f>CVSSv3!$A$12</f>
        <v>Explotabilidad:</v>
      </c>
      <c r="H383" s="81" t="s">
        <v>709</v>
      </c>
      <c r="I383" s="88"/>
      <c r="J383" s="89"/>
      <c r="K383" s="89"/>
      <c r="L383" s="85"/>
      <c r="M383" s="85"/>
      <c r="N383" s="85"/>
      <c r="O383" s="85"/>
    </row>
    <row r="384" spans="1:15" x14ac:dyDescent="0.25">
      <c r="A384" s="89"/>
      <c r="B384" s="85"/>
      <c r="C384" s="85"/>
      <c r="D384" s="85"/>
      <c r="E384" s="85"/>
      <c r="F384" s="85"/>
      <c r="G384" s="80" t="str">
        <f>CVSSv3!$A$13</f>
        <v>Nivel de resolución:</v>
      </c>
      <c r="H384" s="81" t="s">
        <v>714</v>
      </c>
      <c r="I384" s="88"/>
      <c r="J384" s="89"/>
      <c r="K384" s="89"/>
      <c r="L384" s="85"/>
      <c r="M384" s="85"/>
      <c r="N384" s="85"/>
      <c r="O384" s="85"/>
    </row>
    <row r="385" spans="1:15" x14ac:dyDescent="0.25">
      <c r="A385" s="89"/>
      <c r="B385" s="85"/>
      <c r="C385" s="85"/>
      <c r="D385" s="85"/>
      <c r="E385" s="85"/>
      <c r="F385" s="85"/>
      <c r="G385" s="80" t="str">
        <f>CVSSv3!$A$14</f>
        <v>Nivel de confianza</v>
      </c>
      <c r="H385" s="81" t="s">
        <v>715</v>
      </c>
      <c r="I385" s="88"/>
      <c r="J385" s="89"/>
      <c r="K385" s="89"/>
      <c r="L385" s="85"/>
      <c r="M385" s="85"/>
      <c r="N385" s="85"/>
      <c r="O385" s="85"/>
    </row>
    <row r="386" spans="1:15" x14ac:dyDescent="0.25">
      <c r="A386" s="89"/>
      <c r="B386" s="85"/>
      <c r="C386" s="85"/>
      <c r="D386" s="85"/>
      <c r="E386" s="85"/>
      <c r="F386" s="85"/>
      <c r="G386" s="86" t="str">
        <f>"("&amp;CVSSv3!$B$4&amp;":"&amp;IF(H375=CVSSv3!$C$4,CVSSv3!$C$30,IF(H375=CVSSv3!$D$4,CVSSv3!$D$30,IF(H375=CVSSv3!$E$4,CVSSv3!$E$30,IF(H375=CVSSv3!$F$4,CVSSv3!$F$30,""))))&amp;"/"&amp;CVSSv3!$B$5&amp;":"&amp;IF(H376=CVSSv3!$C$5,CVSSv3!$C$31,IF(H376=CVSSv3!$D$5,CVSSv3!$D$31,""))&amp;"/"&amp;CVSSv3!$B$6&amp;":"&amp;IF(H377=CVSSv3!$C$6,CVSSv3!$C$32,IF(H377=CVSSv3!$D$6,CVSSv3!$D$32,IF(H377=CVSSv3!$E$6,CVSSv3!$E$32,"")))&amp;"/"&amp;CVSSv3!$B$7&amp;":"&amp;IF(H378=CVSSv3!$C$7,CVSSv3!$C$33,IF(H378=CVSSv3!$D$7,CVSSv3!$D$33,""))&amp;"/"&amp;CVSSv3!$B$8&amp;":"&amp;IF(H379=CVSSv3!$C$8,CVSSv3!$C$34,IF(H379=CVSSv3!$D$8,CVSSv3!$D$34,""))&amp;"/"&amp;CVSSv3!$B$9&amp;":"&amp;IF(H380=CVSSv3!$C$9,CVSSv3!$C$35,IF(H380=CVSSv3!$D$9,CVSSv3!$D$35,IF(H380=CVSSv3!$E$9,CVSSv3!$E$35,"")))&amp;"/"&amp;CVSSv3!$B$10&amp;":"&amp;IF(H381=CVSSv3!$C$10,CVSSv3!$C$36,IF(H381=CVSSv3!$D$10,CVSSv3!$D$36,IF(H381=CVSSv3!$E$10,CVSSv3!$E$36,"")))&amp;"/"&amp;CVSSv3!$B$11&amp;":"&amp;IF(H382=CVSSv3!$C$11,CVSSv3!$C$37,IF(H382=CVSSv3!$D$11,CVSSv3!$D$37,IF(H382=CVSSv3!$E$11,CVSSv3!$E$37,"")))&amp;"/"&amp;CVSSv3!$B$12&amp;":"&amp;IF(H383=CVSSv3!$C$12,CVSSv3!$C$38,IF(H383=CVSSv3!$D$12,CVSSv3!$D$38,IF(H383=CVSSv3!$E$12,CVSSv3!$E$38,IF(H383=CVSSv3!$F$12,CVSSv3!$F$38,""))))&amp;"/"&amp;CVSSv3!$B$13&amp;":"&amp;IF(H384=CVSSv3!$C$13,CVSSv3!$C$39,IF(H384=CVSSv3!$D$13,CVSSv3!$D$39,IF(H384=CVSSv3!$E$13,CVSSv3!$E$39,IF(H384=CVSSv3!$F$13,CVSSv3!$F$39,""))))&amp;"/"&amp;CVSSv3!$B$14&amp;":"&amp;IF(H385=CVSSv3!$C$14,CVSSv3!$C$40,IF(H385=CVSSv3!$D$14,CVSSv3!$D$40,IF(H385=CVSSv3!$E$14,CVSSv3!$E$40,"")))&amp;")"</f>
        <v>(AV:N/AC:H/PR:N/UI:N/S:C/C:H/I:H/A:H/E:H/RL:U/RC:C)</v>
      </c>
      <c r="H386" s="87"/>
      <c r="I386" s="88"/>
      <c r="J386" s="89"/>
      <c r="K386" s="89"/>
      <c r="L386" s="85"/>
      <c r="M386" s="85"/>
      <c r="N386" s="85"/>
      <c r="O386" s="85"/>
    </row>
    <row r="387" spans="1:15" x14ac:dyDescent="0.25">
      <c r="A387" s="89">
        <v>33</v>
      </c>
      <c r="B387" s="85" t="s">
        <v>746</v>
      </c>
      <c r="C387" s="85" t="s">
        <v>17</v>
      </c>
      <c r="D387" s="85" t="s">
        <v>17</v>
      </c>
      <c r="E387" s="85" t="s">
        <v>17</v>
      </c>
      <c r="F387"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87" s="82" t="str">
        <f>CVSSv3!$A$4</f>
        <v>Vector de ataque:</v>
      </c>
      <c r="H387" s="84" t="s">
        <v>706</v>
      </c>
      <c r="I387" s="88">
        <f>ROUNDUP((IF((IF(H391=CVSSv3!$C$8,(6.42*(1-((1-(IF(H392=CVSSv3!$C$9,CVSSv3!$C$22,(IF(H392=CVSSv3!$D$9,CVSSv3!$D$22,(IF(H392=CVSSv3!$E$9,CVSSv3!$E$22,"")))))))*(1-(IF(H393=CVSSv3!$C$10,CVSSv3!$C$23,(IF(H393=CVSSv3!$D$10,CVSSv3!$D$23,(IF(H393=CVSSv3!$E$10,CVSSv3!$E$23,"")))))))*(1-(IF(H394=CVSSv3!$C$11,CVSSv3!$C$24,(IF(H394=CVSSv3!$D$11,CVSSv3!$D$24,(IF(H394=CVSSv3!$E$11,CVSSv3!$E$24,"")))))))))),((7.52*((1-((1-(IF(H392=CVSSv3!$C$9,CVSSv3!$C$22,(IF(H392=CVSSv3!$D$9,CVSSv3!$D$22,(IF(H392=CVSSv3!$E$9,CVSSv3!$E$22,"")))))))*(1-(IF(H393=CVSSv3!$C$10,CVSSv3!$C$23,(IF(H393=CVSSv3!$D$10,CVSSv3!$D$23,(IF(H393=CVSSv3!$E$10,CVSSv3!$E$23,"")))))))*(1-(IF(H394=CVSSv3!$C$11,CVSSv3!$C$24,(IF(H394=CVSSv3!$D$11,CVSSv3!$D$24,(IF(H394=CVSSv3!$E$11,CVSSv3!$E$24,"")))))))))-0.029))-(3.25*POWER(((1-((1-(IF(H392=CVSSv3!$C$9,CVSSv3!$C$22,(IF(H392=CVSSv3!$D$9,CVSSv3!$D$22,(IF(H392=CVSSv3!$E$9,CVSSv3!$E$22,"")))))))*(1-(IF(H393=CVSSv3!$C$10,CVSSv3!$C$23,(IF(H393=CVSSv3!$D$10,CVSSv3!$D$23,(IF(H393=CVSSv3!$E$10,CVSSv3!$E$23,"")))))))*(1-(IF(H394=CVSSv3!$C$11,CVSSv3!$C$24,(IF(H394=CVSSv3!$D$11,CVSSv3!$D$24,(IF(H394=CVSSv3!$E$11,CVSSv3!$E$24,"")))))))))-0.02),15)))))&lt;=0,0,(IF(H391=CVSSv3!$C$8,ROUNDUP((MIN((IF(H391=CVSSv3!$C$8,(6.42*(1-((1-(IF(H392=CVSSv3!$C$9,CVSSv3!$C$22,(IF(H392=CVSSv3!$D$9,CVSSv3!$D$22,(IF(H392=CVSSv3!$E$9,CVSSv3!$E$22,"")))))))*(1-(IF(H393=CVSSv3!$C$10,CVSSv3!$C$23,(IF(H393=CVSSv3!$D$10,CVSSv3!$D$23,(IF(H393=CVSSv3!$E$10,CVSSv3!$E$23,"")))))))*(1-(IF(H394=CVSSv3!$C$11,CVSSv3!$C$24,(IF(H394=CVSSv3!$D$11,CVSSv3!$D$24,(IF(H394=CVSSv3!$E$11,CVSSv3!$E$24,"")))))))))),((7.52*((1-((1-(IF(H392=CVSSv3!$C$9,CVSSv3!$C$22,(IF(H392=CVSSv3!$D$9,CVSSv3!$D$22,(IF(H392=CVSSv3!$E$9,CVSSv3!$E$22,"")))))))*(1-(IF(H393=CVSSv3!$C$10,CVSSv3!$C$23,(IF(H393=CVSSv3!$D$10,CVSSv3!$D$23,(IF(H393=CVSSv3!$E$10,CVSSv3!$E$23,"")))))))*(1-(IF(H394=CVSSv3!$C$11,CVSSv3!$C$24,(IF(H394=CVSSv3!$D$11,CVSSv3!$D$24,(IF(H394=CVSSv3!$E$11,CVSSv3!$E$24,"")))))))))-0.029))-(3.25*POWER(((1-((1-(IF(H392=CVSSv3!$C$9,CVSSv3!$C$22,(IF(H392=CVSSv3!$D$9,CVSSv3!$D$22,(IF(H392=CVSSv3!$E$9,CVSSv3!$E$22,"")))))))*(1-(IF(H393=CVSSv3!$C$10,CVSSv3!$C$23,(IF(H393=CVSSv3!$D$10,CVSSv3!$D$23,(IF(H393=CVSSv3!$E$10,CVSSv3!$E$23,"")))))))*(1-(IF(H394=CVSSv3!$C$11,CVSSv3!$C$24,(IF(H394=CVSSv3!$D$11,CVSSv3!$D$24,(IF(H394=CVSSv3!$E$11,CVSSv3!$E$24,"")))))))))-0.02),15)))))+(8.22*(IF(H387=CVSSv3!$C$4,CVSSv3!$C$17,(IF(H387=CVSSv3!$D$4,CVSSv3!$D$17,(IF(H387=CVSSv3!$E$4,CVSSv3!$E$17,(IF(H387=CVSSv3!$F$4,CVSSv3!$F$17,""))))))))*(IF(H388=CVSSv3!$C$5,CVSSv3!$C$18,(IF(H388=CVSSv3!$D$5,CVSSv3!$D$18,""))))*(IF(H389=CVSSv3!$C$6,CVSSv3!$C$19,(IF(H389=CVSSv3!$D$6,(IF(H391=CVSSv3!$D$8,0.68,CVSSv3!$D$19)),(IF(H389=CVSSv3!$E$6,(IF(H391=CVSSv3!$D$8,0.5,CVSSv3!$E$19))))))))*(IF(H390=CVSSv3!$C$7,CVSSv3!$C$20,(IF(H390=CVSSv3!$D$7,CVSSv3!$D$20,""))))),10)),1),ROUNDUP((MIN(1.08*((IF(H391=CVSSv3!$C$8,(6.42*(1-((1-(IF(H392=CVSSv3!$C$9,CVSSv3!$C$22,(IF(H392=CVSSv3!$D$9,CVSSv3!$D$22,(IF(H392=CVSSv3!$E$9,CVSSv3!$E$22,"")))))))*(1-(IF(H393=CVSSv3!$C$10,CVSSv3!$C$23,(IF(H393=CVSSv3!$D$10,CVSSv3!$D$23,(IF(H393=CVSSv3!$E$10,CVSSv3!$E$23,"")))))))*(1-(IF(H394=CVSSv3!$C$11,CVSSv3!$C$24,(IF(H394=CVSSv3!$D$11,CVSSv3!$D$24,(IF(H394=CVSSv3!$E$11,CVSSv3!$E$24,"")))))))))),((7.52*((1-((1-(IF(H392=CVSSv3!$C$9,CVSSv3!$C$22,(IF(H392=CVSSv3!$D$9,CVSSv3!$D$22,(IF(H392=CVSSv3!$E$9,CVSSv3!$E$22,"")))))))*(1-(IF(H393=CVSSv3!$C$10,CVSSv3!$C$23,(IF(H393=CVSSv3!$D$10,CVSSv3!$D$23,(IF(H393=CVSSv3!$E$10,CVSSv3!$E$23,"")))))))*(1-(IF(H394=CVSSv3!$C$11,CVSSv3!$C$24,(IF(H394=CVSSv3!$D$11,CVSSv3!$D$24,(IF(H394=CVSSv3!$E$11,CVSSv3!$E$24,"")))))))))-0.029))-(3.25*POWER(((1-((1-(IF(H392=CVSSv3!$C$9,CVSSv3!$C$22,(IF(H392=CVSSv3!$D$9,CVSSv3!$D$22,(IF(H392=CVSSv3!$E$9,CVSSv3!$E$22,"")))))))*(1-(IF(H393=CVSSv3!$C$10,CVSSv3!$C$23,(IF(H393=CVSSv3!$D$10,CVSSv3!$D$23,(IF(H393=CVSSv3!$E$10,CVSSv3!$E$23,"")))))))*(1-(IF(H394=CVSSv3!$C$11,CVSSv3!$C$24,(IF(H394=CVSSv3!$D$11,CVSSv3!$D$24,(IF(H394=CVSSv3!$E$11,CVSSv3!$E$24,"")))))))))-0.02),15)))))+(8.22*(IF(H387=CVSSv3!$C$4,CVSSv3!$C$17,(IF(H387=CVSSv3!$D$4,CVSSv3!$D$17,(IF(H387=CVSSv3!$E$4,CVSSv3!$E$17,(IF(H387=CVSSv3!$F$4,CVSSv3!$F$17,""))))))))*(IF(H388=CVSSv3!$C$5,CVSSv3!$C$18,(IF(H388=CVSSv3!$D$5,CVSSv3!$D$18,""))))*(IF(H389=CVSSv3!$C$6,CVSSv3!$C$19,(IF(H389=CVSSv3!$D$6,(IF(H391=CVSSv3!$D$8,0.68,CVSSv3!$D$19)),(IF(H389=CVSSv3!$E$6,(IF(H391=CVSSv3!$D$8,0.5,CVSSv3!$E$19))))))))*(IF(H390=CVSSv3!$C$7,CVSSv3!$C$20,(IF(H390=CVSSv3!$D$7,CVSSv3!$D$20,"")))))),10)),1))))*(IF(H395=CVSSv3!$C$12,CVSSv3!$C$25,(IF(H395=CVSSv3!$D$12,CVSSv3!$D$25,(IF(H395=CVSSv3!$E$12,CVSSv3!$E$25,(IF(H395=CVSSv3!$F$12,CVSSv3!$F$25,""))))))))*(IF(H396=CVSSv3!$C$13,CVSSv3!$C$26,(IF(H396=CVSSv3!$D$13,CVSSv3!$D$26,(IF(H396=CVSSv3!$E$13,CVSSv3!$E$26,(IF(H396=CVSSv3!$F$13,CVSSv3!$F$26,""))))))))*(IF(H397=CVSSv3!$C$14,CVSSv3!$C$27,(IF(H397=CVSSv3!$D$14,CVSSv3!$D$27,(IF(H397=CVSSv3!$E$14,CVSSv3!$E$27,""))))))),1)</f>
        <v>9</v>
      </c>
      <c r="J387" s="89">
        <v>0</v>
      </c>
      <c r="K387" s="89">
        <v>0</v>
      </c>
      <c r="L387" s="85" t="s">
        <v>17</v>
      </c>
      <c r="M387" s="85" t="s">
        <v>17</v>
      </c>
      <c r="N387" s="85" t="s">
        <v>707</v>
      </c>
      <c r="O387" s="85" t="s">
        <v>708</v>
      </c>
    </row>
    <row r="388" spans="1:15" x14ac:dyDescent="0.25">
      <c r="A388" s="89"/>
      <c r="B388" s="85"/>
      <c r="C388" s="85"/>
      <c r="D388" s="85"/>
      <c r="E388" s="85"/>
      <c r="F388" s="85"/>
      <c r="G388" s="80" t="str">
        <f>CVSSv3!$A$5</f>
        <v>Complejidad de ataque:</v>
      </c>
      <c r="H388" s="81" t="s">
        <v>709</v>
      </c>
      <c r="I388" s="88"/>
      <c r="J388" s="89"/>
      <c r="K388" s="89"/>
      <c r="L388" s="85"/>
      <c r="M388" s="85"/>
      <c r="N388" s="85"/>
      <c r="O388" s="85"/>
    </row>
    <row r="389" spans="1:15" x14ac:dyDescent="0.25">
      <c r="A389" s="89"/>
      <c r="B389" s="85"/>
      <c r="C389" s="85"/>
      <c r="D389" s="85"/>
      <c r="E389" s="85"/>
      <c r="F389" s="85"/>
      <c r="G389" s="80" t="str">
        <f>CVSSv3!$A$6</f>
        <v>Privilegios requeridos:</v>
      </c>
      <c r="H389" s="81" t="s">
        <v>710</v>
      </c>
      <c r="I389" s="88"/>
      <c r="J389" s="89"/>
      <c r="K389" s="89"/>
      <c r="L389" s="85"/>
      <c r="M389" s="85"/>
      <c r="N389" s="85"/>
      <c r="O389" s="85"/>
    </row>
    <row r="390" spans="1:15" x14ac:dyDescent="0.25">
      <c r="A390" s="89"/>
      <c r="B390" s="85"/>
      <c r="C390" s="85"/>
      <c r="D390" s="85"/>
      <c r="E390" s="85"/>
      <c r="F390" s="85"/>
      <c r="G390" s="80" t="str">
        <f>CVSSv3!$A$7</f>
        <v>Interacción del usuario:</v>
      </c>
      <c r="H390" s="81" t="s">
        <v>711</v>
      </c>
      <c r="I390" s="88"/>
      <c r="J390" s="89"/>
      <c r="K390" s="89"/>
      <c r="L390" s="85"/>
      <c r="M390" s="85"/>
      <c r="N390" s="85"/>
      <c r="O390" s="85"/>
    </row>
    <row r="391" spans="1:15" x14ac:dyDescent="0.25">
      <c r="A391" s="89"/>
      <c r="B391" s="85"/>
      <c r="C391" s="85"/>
      <c r="D391" s="85"/>
      <c r="E391" s="85"/>
      <c r="F391" s="85"/>
      <c r="G391" s="80" t="str">
        <f>CVSSv3!$A$8</f>
        <v>Alcance:</v>
      </c>
      <c r="H391" s="81" t="s">
        <v>712</v>
      </c>
      <c r="I391" s="88"/>
      <c r="J391" s="89"/>
      <c r="K391" s="89"/>
      <c r="L391" s="85"/>
      <c r="M391" s="85"/>
      <c r="N391" s="85"/>
      <c r="O391" s="85"/>
    </row>
    <row r="392" spans="1:15" x14ac:dyDescent="0.25">
      <c r="A392" s="89"/>
      <c r="B392" s="85"/>
      <c r="C392" s="85"/>
      <c r="D392" s="85"/>
      <c r="E392" s="85"/>
      <c r="F392" s="85"/>
      <c r="G392" s="80" t="str">
        <f>CVSSv3!$A$9</f>
        <v>Impacto a la confidencialidad:</v>
      </c>
      <c r="H392" s="81" t="s">
        <v>713</v>
      </c>
      <c r="I392" s="88"/>
      <c r="J392" s="89"/>
      <c r="K392" s="89"/>
      <c r="L392" s="85"/>
      <c r="M392" s="85"/>
      <c r="N392" s="85"/>
      <c r="O392" s="85"/>
    </row>
    <row r="393" spans="1:15" x14ac:dyDescent="0.25">
      <c r="A393" s="89"/>
      <c r="B393" s="85"/>
      <c r="C393" s="85"/>
      <c r="D393" s="85"/>
      <c r="E393" s="85"/>
      <c r="F393" s="85"/>
      <c r="G393" s="80" t="str">
        <f>CVSSv3!$A$10</f>
        <v>Impacto a la integridad:</v>
      </c>
      <c r="H393" s="81" t="s">
        <v>713</v>
      </c>
      <c r="I393" s="88"/>
      <c r="J393" s="89"/>
      <c r="K393" s="89"/>
      <c r="L393" s="85"/>
      <c r="M393" s="85"/>
      <c r="N393" s="85"/>
      <c r="O393" s="85"/>
    </row>
    <row r="394" spans="1:15" x14ac:dyDescent="0.25">
      <c r="A394" s="89"/>
      <c r="B394" s="85"/>
      <c r="C394" s="85"/>
      <c r="D394" s="85"/>
      <c r="E394" s="85"/>
      <c r="F394" s="85"/>
      <c r="G394" s="80" t="str">
        <f>CVSSv3!$A$11</f>
        <v>Impacto a la disponibilidad:</v>
      </c>
      <c r="H394" s="81" t="s">
        <v>713</v>
      </c>
      <c r="I394" s="88"/>
      <c r="J394" s="89"/>
      <c r="K394" s="89"/>
      <c r="L394" s="85"/>
      <c r="M394" s="85"/>
      <c r="N394" s="85"/>
      <c r="O394" s="85"/>
    </row>
    <row r="395" spans="1:15" x14ac:dyDescent="0.25">
      <c r="A395" s="89"/>
      <c r="B395" s="85"/>
      <c r="C395" s="85"/>
      <c r="D395" s="85"/>
      <c r="E395" s="85"/>
      <c r="F395" s="85"/>
      <c r="G395" s="80" t="str">
        <f>CVSSv3!$A$12</f>
        <v>Explotabilidad:</v>
      </c>
      <c r="H395" s="81" t="s">
        <v>709</v>
      </c>
      <c r="I395" s="88"/>
      <c r="J395" s="89"/>
      <c r="K395" s="89"/>
      <c r="L395" s="85"/>
      <c r="M395" s="85"/>
      <c r="N395" s="85"/>
      <c r="O395" s="85"/>
    </row>
    <row r="396" spans="1:15" x14ac:dyDescent="0.25">
      <c r="A396" s="89"/>
      <c r="B396" s="85"/>
      <c r="C396" s="85"/>
      <c r="D396" s="85"/>
      <c r="E396" s="85"/>
      <c r="F396" s="85"/>
      <c r="G396" s="80" t="str">
        <f>CVSSv3!$A$13</f>
        <v>Nivel de resolución:</v>
      </c>
      <c r="H396" s="81" t="s">
        <v>714</v>
      </c>
      <c r="I396" s="88"/>
      <c r="J396" s="89"/>
      <c r="K396" s="89"/>
      <c r="L396" s="85"/>
      <c r="M396" s="85"/>
      <c r="N396" s="85"/>
      <c r="O396" s="85"/>
    </row>
    <row r="397" spans="1:15" x14ac:dyDescent="0.25">
      <c r="A397" s="89"/>
      <c r="B397" s="85"/>
      <c r="C397" s="85"/>
      <c r="D397" s="85"/>
      <c r="E397" s="85"/>
      <c r="F397" s="85"/>
      <c r="G397" s="80" t="str">
        <f>CVSSv3!$A$14</f>
        <v>Nivel de confianza</v>
      </c>
      <c r="H397" s="81" t="s">
        <v>715</v>
      </c>
      <c r="I397" s="88"/>
      <c r="J397" s="89"/>
      <c r="K397" s="89"/>
      <c r="L397" s="85"/>
      <c r="M397" s="85"/>
      <c r="N397" s="85"/>
      <c r="O397" s="85"/>
    </row>
    <row r="398" spans="1:15" x14ac:dyDescent="0.25">
      <c r="A398" s="89"/>
      <c r="B398" s="85"/>
      <c r="C398" s="85"/>
      <c r="D398" s="85"/>
      <c r="E398" s="85"/>
      <c r="F398" s="85"/>
      <c r="G398" s="86" t="str">
        <f>"("&amp;CVSSv3!$B$4&amp;":"&amp;IF(H387=CVSSv3!$C$4,CVSSv3!$C$30,IF(H387=CVSSv3!$D$4,CVSSv3!$D$30,IF(H387=CVSSv3!$E$4,CVSSv3!$E$30,IF(H387=CVSSv3!$F$4,CVSSv3!$F$30,""))))&amp;"/"&amp;CVSSv3!$B$5&amp;":"&amp;IF(H388=CVSSv3!$C$5,CVSSv3!$C$31,IF(H388=CVSSv3!$D$5,CVSSv3!$D$31,""))&amp;"/"&amp;CVSSv3!$B$6&amp;":"&amp;IF(H389=CVSSv3!$C$6,CVSSv3!$C$32,IF(H389=CVSSv3!$D$6,CVSSv3!$D$32,IF(H389=CVSSv3!$E$6,CVSSv3!$E$32,"")))&amp;"/"&amp;CVSSv3!$B$7&amp;":"&amp;IF(H390=CVSSv3!$C$7,CVSSv3!$C$33,IF(H390=CVSSv3!$D$7,CVSSv3!$D$33,""))&amp;"/"&amp;CVSSv3!$B$8&amp;":"&amp;IF(H391=CVSSv3!$C$8,CVSSv3!$C$34,IF(H391=CVSSv3!$D$8,CVSSv3!$D$34,""))&amp;"/"&amp;CVSSv3!$B$9&amp;":"&amp;IF(H392=CVSSv3!$C$9,CVSSv3!$C$35,IF(H392=CVSSv3!$D$9,CVSSv3!$D$35,IF(H392=CVSSv3!$E$9,CVSSv3!$E$35,"")))&amp;"/"&amp;CVSSv3!$B$10&amp;":"&amp;IF(H393=CVSSv3!$C$10,CVSSv3!$C$36,IF(H393=CVSSv3!$D$10,CVSSv3!$D$36,IF(H393=CVSSv3!$E$10,CVSSv3!$E$36,"")))&amp;"/"&amp;CVSSv3!$B$11&amp;":"&amp;IF(H394=CVSSv3!$C$11,CVSSv3!$C$37,IF(H394=CVSSv3!$D$11,CVSSv3!$D$37,IF(H394=CVSSv3!$E$11,CVSSv3!$E$37,"")))&amp;"/"&amp;CVSSv3!$B$12&amp;":"&amp;IF(H395=CVSSv3!$C$12,CVSSv3!$C$38,IF(H395=CVSSv3!$D$12,CVSSv3!$D$38,IF(H395=CVSSv3!$E$12,CVSSv3!$E$38,IF(H395=CVSSv3!$F$12,CVSSv3!$F$38,""))))&amp;"/"&amp;CVSSv3!$B$13&amp;":"&amp;IF(H396=CVSSv3!$C$13,CVSSv3!$C$39,IF(H396=CVSSv3!$D$13,CVSSv3!$D$39,IF(H396=CVSSv3!$E$13,CVSSv3!$E$39,IF(H396=CVSSv3!$F$13,CVSSv3!$F$39,""))))&amp;"/"&amp;CVSSv3!$B$14&amp;":"&amp;IF(H397=CVSSv3!$C$14,CVSSv3!$C$40,IF(H397=CVSSv3!$D$14,CVSSv3!$D$40,IF(H397=CVSSv3!$E$14,CVSSv3!$E$40,"")))&amp;")"</f>
        <v>(AV:N/AC:H/PR:N/UI:N/S:C/C:H/I:H/A:H/E:H/RL:U/RC:C)</v>
      </c>
      <c r="H398" s="87"/>
      <c r="I398" s="88"/>
      <c r="J398" s="89"/>
      <c r="K398" s="89"/>
      <c r="L398" s="85"/>
      <c r="M398" s="85"/>
      <c r="N398" s="85"/>
      <c r="O398" s="85"/>
    </row>
    <row r="399" spans="1:15" x14ac:dyDescent="0.25">
      <c r="A399" s="89">
        <v>34</v>
      </c>
      <c r="B399" s="85" t="s">
        <v>747</v>
      </c>
      <c r="C399" s="85" t="s">
        <v>17</v>
      </c>
      <c r="D399" s="85" t="s">
        <v>17</v>
      </c>
      <c r="E399" s="85" t="s">
        <v>17</v>
      </c>
      <c r="F399"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99" s="82" t="str">
        <f>CVSSv3!$A$4</f>
        <v>Vector de ataque:</v>
      </c>
      <c r="H399" s="84" t="s">
        <v>706</v>
      </c>
      <c r="I399" s="88">
        <f>ROUNDUP((IF((IF(H403=CVSSv3!$C$8,(6.42*(1-((1-(IF(H404=CVSSv3!$C$9,CVSSv3!$C$22,(IF(H404=CVSSv3!$D$9,CVSSv3!$D$22,(IF(H404=CVSSv3!$E$9,CVSSv3!$E$22,"")))))))*(1-(IF(H405=CVSSv3!$C$10,CVSSv3!$C$23,(IF(H405=CVSSv3!$D$10,CVSSv3!$D$23,(IF(H405=CVSSv3!$E$10,CVSSv3!$E$23,"")))))))*(1-(IF(H406=CVSSv3!$C$11,CVSSv3!$C$24,(IF(H406=CVSSv3!$D$11,CVSSv3!$D$24,(IF(H406=CVSSv3!$E$11,CVSSv3!$E$24,"")))))))))),((7.52*((1-((1-(IF(H404=CVSSv3!$C$9,CVSSv3!$C$22,(IF(H404=CVSSv3!$D$9,CVSSv3!$D$22,(IF(H404=CVSSv3!$E$9,CVSSv3!$E$22,"")))))))*(1-(IF(H405=CVSSv3!$C$10,CVSSv3!$C$23,(IF(H405=CVSSv3!$D$10,CVSSv3!$D$23,(IF(H405=CVSSv3!$E$10,CVSSv3!$E$23,"")))))))*(1-(IF(H406=CVSSv3!$C$11,CVSSv3!$C$24,(IF(H406=CVSSv3!$D$11,CVSSv3!$D$24,(IF(H406=CVSSv3!$E$11,CVSSv3!$E$24,"")))))))))-0.029))-(3.25*POWER(((1-((1-(IF(H404=CVSSv3!$C$9,CVSSv3!$C$22,(IF(H404=CVSSv3!$D$9,CVSSv3!$D$22,(IF(H404=CVSSv3!$E$9,CVSSv3!$E$22,"")))))))*(1-(IF(H405=CVSSv3!$C$10,CVSSv3!$C$23,(IF(H405=CVSSv3!$D$10,CVSSv3!$D$23,(IF(H405=CVSSv3!$E$10,CVSSv3!$E$23,"")))))))*(1-(IF(H406=CVSSv3!$C$11,CVSSv3!$C$24,(IF(H406=CVSSv3!$D$11,CVSSv3!$D$24,(IF(H406=CVSSv3!$E$11,CVSSv3!$E$24,"")))))))))-0.02),15)))))&lt;=0,0,(IF(H403=CVSSv3!$C$8,ROUNDUP((MIN((IF(H403=CVSSv3!$C$8,(6.42*(1-((1-(IF(H404=CVSSv3!$C$9,CVSSv3!$C$22,(IF(H404=CVSSv3!$D$9,CVSSv3!$D$22,(IF(H404=CVSSv3!$E$9,CVSSv3!$E$22,"")))))))*(1-(IF(H405=CVSSv3!$C$10,CVSSv3!$C$23,(IF(H405=CVSSv3!$D$10,CVSSv3!$D$23,(IF(H405=CVSSv3!$E$10,CVSSv3!$E$23,"")))))))*(1-(IF(H406=CVSSv3!$C$11,CVSSv3!$C$24,(IF(H406=CVSSv3!$D$11,CVSSv3!$D$24,(IF(H406=CVSSv3!$E$11,CVSSv3!$E$24,"")))))))))),((7.52*((1-((1-(IF(H404=CVSSv3!$C$9,CVSSv3!$C$22,(IF(H404=CVSSv3!$D$9,CVSSv3!$D$22,(IF(H404=CVSSv3!$E$9,CVSSv3!$E$22,"")))))))*(1-(IF(H405=CVSSv3!$C$10,CVSSv3!$C$23,(IF(H405=CVSSv3!$D$10,CVSSv3!$D$23,(IF(H405=CVSSv3!$E$10,CVSSv3!$E$23,"")))))))*(1-(IF(H406=CVSSv3!$C$11,CVSSv3!$C$24,(IF(H406=CVSSv3!$D$11,CVSSv3!$D$24,(IF(H406=CVSSv3!$E$11,CVSSv3!$E$24,"")))))))))-0.029))-(3.25*POWER(((1-((1-(IF(H404=CVSSv3!$C$9,CVSSv3!$C$22,(IF(H404=CVSSv3!$D$9,CVSSv3!$D$22,(IF(H404=CVSSv3!$E$9,CVSSv3!$E$22,"")))))))*(1-(IF(H405=CVSSv3!$C$10,CVSSv3!$C$23,(IF(H405=CVSSv3!$D$10,CVSSv3!$D$23,(IF(H405=CVSSv3!$E$10,CVSSv3!$E$23,"")))))))*(1-(IF(H406=CVSSv3!$C$11,CVSSv3!$C$24,(IF(H406=CVSSv3!$D$11,CVSSv3!$D$24,(IF(H406=CVSSv3!$E$11,CVSSv3!$E$24,"")))))))))-0.02),15)))))+(8.22*(IF(H399=CVSSv3!$C$4,CVSSv3!$C$17,(IF(H399=CVSSv3!$D$4,CVSSv3!$D$17,(IF(H399=CVSSv3!$E$4,CVSSv3!$E$17,(IF(H399=CVSSv3!$F$4,CVSSv3!$F$17,""))))))))*(IF(H400=CVSSv3!$C$5,CVSSv3!$C$18,(IF(H400=CVSSv3!$D$5,CVSSv3!$D$18,""))))*(IF(H401=CVSSv3!$C$6,CVSSv3!$C$19,(IF(H401=CVSSv3!$D$6,(IF(H403=CVSSv3!$D$8,0.68,CVSSv3!$D$19)),(IF(H401=CVSSv3!$E$6,(IF(H403=CVSSv3!$D$8,0.5,CVSSv3!$E$19))))))))*(IF(H402=CVSSv3!$C$7,CVSSv3!$C$20,(IF(H402=CVSSv3!$D$7,CVSSv3!$D$20,""))))),10)),1),ROUNDUP((MIN(1.08*((IF(H403=CVSSv3!$C$8,(6.42*(1-((1-(IF(H404=CVSSv3!$C$9,CVSSv3!$C$22,(IF(H404=CVSSv3!$D$9,CVSSv3!$D$22,(IF(H404=CVSSv3!$E$9,CVSSv3!$E$22,"")))))))*(1-(IF(H405=CVSSv3!$C$10,CVSSv3!$C$23,(IF(H405=CVSSv3!$D$10,CVSSv3!$D$23,(IF(H405=CVSSv3!$E$10,CVSSv3!$E$23,"")))))))*(1-(IF(H406=CVSSv3!$C$11,CVSSv3!$C$24,(IF(H406=CVSSv3!$D$11,CVSSv3!$D$24,(IF(H406=CVSSv3!$E$11,CVSSv3!$E$24,"")))))))))),((7.52*((1-((1-(IF(H404=CVSSv3!$C$9,CVSSv3!$C$22,(IF(H404=CVSSv3!$D$9,CVSSv3!$D$22,(IF(H404=CVSSv3!$E$9,CVSSv3!$E$22,"")))))))*(1-(IF(H405=CVSSv3!$C$10,CVSSv3!$C$23,(IF(H405=CVSSv3!$D$10,CVSSv3!$D$23,(IF(H405=CVSSv3!$E$10,CVSSv3!$E$23,"")))))))*(1-(IF(H406=CVSSv3!$C$11,CVSSv3!$C$24,(IF(H406=CVSSv3!$D$11,CVSSv3!$D$24,(IF(H406=CVSSv3!$E$11,CVSSv3!$E$24,"")))))))))-0.029))-(3.25*POWER(((1-((1-(IF(H404=CVSSv3!$C$9,CVSSv3!$C$22,(IF(H404=CVSSv3!$D$9,CVSSv3!$D$22,(IF(H404=CVSSv3!$E$9,CVSSv3!$E$22,"")))))))*(1-(IF(H405=CVSSv3!$C$10,CVSSv3!$C$23,(IF(H405=CVSSv3!$D$10,CVSSv3!$D$23,(IF(H405=CVSSv3!$E$10,CVSSv3!$E$23,"")))))))*(1-(IF(H406=CVSSv3!$C$11,CVSSv3!$C$24,(IF(H406=CVSSv3!$D$11,CVSSv3!$D$24,(IF(H406=CVSSv3!$E$11,CVSSv3!$E$24,"")))))))))-0.02),15)))))+(8.22*(IF(H399=CVSSv3!$C$4,CVSSv3!$C$17,(IF(H399=CVSSv3!$D$4,CVSSv3!$D$17,(IF(H399=CVSSv3!$E$4,CVSSv3!$E$17,(IF(H399=CVSSv3!$F$4,CVSSv3!$F$17,""))))))))*(IF(H400=CVSSv3!$C$5,CVSSv3!$C$18,(IF(H400=CVSSv3!$D$5,CVSSv3!$D$18,""))))*(IF(H401=CVSSv3!$C$6,CVSSv3!$C$19,(IF(H401=CVSSv3!$D$6,(IF(H403=CVSSv3!$D$8,0.68,CVSSv3!$D$19)),(IF(H401=CVSSv3!$E$6,(IF(H403=CVSSv3!$D$8,0.5,CVSSv3!$E$19))))))))*(IF(H402=CVSSv3!$C$7,CVSSv3!$C$20,(IF(H402=CVSSv3!$D$7,CVSSv3!$D$20,"")))))),10)),1))))*(IF(H407=CVSSv3!$C$12,CVSSv3!$C$25,(IF(H407=CVSSv3!$D$12,CVSSv3!$D$25,(IF(H407=CVSSv3!$E$12,CVSSv3!$E$25,(IF(H407=CVSSv3!$F$12,CVSSv3!$F$25,""))))))))*(IF(H408=CVSSv3!$C$13,CVSSv3!$C$26,(IF(H408=CVSSv3!$D$13,CVSSv3!$D$26,(IF(H408=CVSSv3!$E$13,CVSSv3!$E$26,(IF(H408=CVSSv3!$F$13,CVSSv3!$F$26,""))))))))*(IF(H409=CVSSv3!$C$14,CVSSv3!$C$27,(IF(H409=CVSSv3!$D$14,CVSSv3!$D$27,(IF(H409=CVSSv3!$E$14,CVSSv3!$E$27,""))))))),1)</f>
        <v>9</v>
      </c>
      <c r="J399" s="89">
        <v>0</v>
      </c>
      <c r="K399" s="89">
        <v>0</v>
      </c>
      <c r="L399" s="85" t="s">
        <v>17</v>
      </c>
      <c r="M399" s="85" t="s">
        <v>17</v>
      </c>
      <c r="N399" s="85" t="s">
        <v>707</v>
      </c>
      <c r="O399" s="85" t="s">
        <v>708</v>
      </c>
    </row>
    <row r="400" spans="1:15" x14ac:dyDescent="0.25">
      <c r="A400" s="89"/>
      <c r="B400" s="85"/>
      <c r="C400" s="85"/>
      <c r="D400" s="85"/>
      <c r="E400" s="85"/>
      <c r="F400" s="85"/>
      <c r="G400" s="80" t="str">
        <f>CVSSv3!$A$5</f>
        <v>Complejidad de ataque:</v>
      </c>
      <c r="H400" s="81" t="s">
        <v>709</v>
      </c>
      <c r="I400" s="88"/>
      <c r="J400" s="89"/>
      <c r="K400" s="89"/>
      <c r="L400" s="85"/>
      <c r="M400" s="85"/>
      <c r="N400" s="85"/>
      <c r="O400" s="85"/>
    </row>
    <row r="401" spans="1:15" x14ac:dyDescent="0.25">
      <c r="A401" s="89"/>
      <c r="B401" s="85"/>
      <c r="C401" s="85"/>
      <c r="D401" s="85"/>
      <c r="E401" s="85"/>
      <c r="F401" s="85"/>
      <c r="G401" s="80" t="str">
        <f>CVSSv3!$A$6</f>
        <v>Privilegios requeridos:</v>
      </c>
      <c r="H401" s="81" t="s">
        <v>710</v>
      </c>
      <c r="I401" s="88"/>
      <c r="J401" s="89"/>
      <c r="K401" s="89"/>
      <c r="L401" s="85"/>
      <c r="M401" s="85"/>
      <c r="N401" s="85"/>
      <c r="O401" s="85"/>
    </row>
    <row r="402" spans="1:15" x14ac:dyDescent="0.25">
      <c r="A402" s="89"/>
      <c r="B402" s="85"/>
      <c r="C402" s="85"/>
      <c r="D402" s="85"/>
      <c r="E402" s="85"/>
      <c r="F402" s="85"/>
      <c r="G402" s="80" t="str">
        <f>CVSSv3!$A$7</f>
        <v>Interacción del usuario:</v>
      </c>
      <c r="H402" s="81" t="s">
        <v>711</v>
      </c>
      <c r="I402" s="88"/>
      <c r="J402" s="89"/>
      <c r="K402" s="89"/>
      <c r="L402" s="85"/>
      <c r="M402" s="85"/>
      <c r="N402" s="85"/>
      <c r="O402" s="85"/>
    </row>
    <row r="403" spans="1:15" x14ac:dyDescent="0.25">
      <c r="A403" s="89"/>
      <c r="B403" s="85"/>
      <c r="C403" s="85"/>
      <c r="D403" s="85"/>
      <c r="E403" s="85"/>
      <c r="F403" s="85"/>
      <c r="G403" s="80" t="str">
        <f>CVSSv3!$A$8</f>
        <v>Alcance:</v>
      </c>
      <c r="H403" s="81" t="s">
        <v>712</v>
      </c>
      <c r="I403" s="88"/>
      <c r="J403" s="89"/>
      <c r="K403" s="89"/>
      <c r="L403" s="85"/>
      <c r="M403" s="85"/>
      <c r="N403" s="85"/>
      <c r="O403" s="85"/>
    </row>
    <row r="404" spans="1:15" x14ac:dyDescent="0.25">
      <c r="A404" s="89"/>
      <c r="B404" s="85"/>
      <c r="C404" s="85"/>
      <c r="D404" s="85"/>
      <c r="E404" s="85"/>
      <c r="F404" s="85"/>
      <c r="G404" s="80" t="str">
        <f>CVSSv3!$A$9</f>
        <v>Impacto a la confidencialidad:</v>
      </c>
      <c r="H404" s="81" t="s">
        <v>713</v>
      </c>
      <c r="I404" s="88"/>
      <c r="J404" s="89"/>
      <c r="K404" s="89"/>
      <c r="L404" s="85"/>
      <c r="M404" s="85"/>
      <c r="N404" s="85"/>
      <c r="O404" s="85"/>
    </row>
    <row r="405" spans="1:15" x14ac:dyDescent="0.25">
      <c r="A405" s="89"/>
      <c r="B405" s="85"/>
      <c r="C405" s="85"/>
      <c r="D405" s="85"/>
      <c r="E405" s="85"/>
      <c r="F405" s="85"/>
      <c r="G405" s="80" t="str">
        <f>CVSSv3!$A$10</f>
        <v>Impacto a la integridad:</v>
      </c>
      <c r="H405" s="81" t="s">
        <v>713</v>
      </c>
      <c r="I405" s="88"/>
      <c r="J405" s="89"/>
      <c r="K405" s="89"/>
      <c r="L405" s="85"/>
      <c r="M405" s="85"/>
      <c r="N405" s="85"/>
      <c r="O405" s="85"/>
    </row>
    <row r="406" spans="1:15" x14ac:dyDescent="0.25">
      <c r="A406" s="89"/>
      <c r="B406" s="85"/>
      <c r="C406" s="85"/>
      <c r="D406" s="85"/>
      <c r="E406" s="85"/>
      <c r="F406" s="85"/>
      <c r="G406" s="80" t="str">
        <f>CVSSv3!$A$11</f>
        <v>Impacto a la disponibilidad:</v>
      </c>
      <c r="H406" s="81" t="s">
        <v>713</v>
      </c>
      <c r="I406" s="88"/>
      <c r="J406" s="89"/>
      <c r="K406" s="89"/>
      <c r="L406" s="85"/>
      <c r="M406" s="85"/>
      <c r="N406" s="85"/>
      <c r="O406" s="85"/>
    </row>
    <row r="407" spans="1:15" x14ac:dyDescent="0.25">
      <c r="A407" s="89"/>
      <c r="B407" s="85"/>
      <c r="C407" s="85"/>
      <c r="D407" s="85"/>
      <c r="E407" s="85"/>
      <c r="F407" s="85"/>
      <c r="G407" s="80" t="str">
        <f>CVSSv3!$A$12</f>
        <v>Explotabilidad:</v>
      </c>
      <c r="H407" s="81" t="s">
        <v>709</v>
      </c>
      <c r="I407" s="88"/>
      <c r="J407" s="89"/>
      <c r="K407" s="89"/>
      <c r="L407" s="85"/>
      <c r="M407" s="85"/>
      <c r="N407" s="85"/>
      <c r="O407" s="85"/>
    </row>
    <row r="408" spans="1:15" x14ac:dyDescent="0.25">
      <c r="A408" s="89"/>
      <c r="B408" s="85"/>
      <c r="C408" s="85"/>
      <c r="D408" s="85"/>
      <c r="E408" s="85"/>
      <c r="F408" s="85"/>
      <c r="G408" s="80" t="str">
        <f>CVSSv3!$A$13</f>
        <v>Nivel de resolución:</v>
      </c>
      <c r="H408" s="81" t="s">
        <v>714</v>
      </c>
      <c r="I408" s="88"/>
      <c r="J408" s="89"/>
      <c r="K408" s="89"/>
      <c r="L408" s="85"/>
      <c r="M408" s="85"/>
      <c r="N408" s="85"/>
      <c r="O408" s="85"/>
    </row>
    <row r="409" spans="1:15" x14ac:dyDescent="0.25">
      <c r="A409" s="89"/>
      <c r="B409" s="85"/>
      <c r="C409" s="85"/>
      <c r="D409" s="85"/>
      <c r="E409" s="85"/>
      <c r="F409" s="85"/>
      <c r="G409" s="80" t="str">
        <f>CVSSv3!$A$14</f>
        <v>Nivel de confianza</v>
      </c>
      <c r="H409" s="81" t="s">
        <v>715</v>
      </c>
      <c r="I409" s="88"/>
      <c r="J409" s="89"/>
      <c r="K409" s="89"/>
      <c r="L409" s="85"/>
      <c r="M409" s="85"/>
      <c r="N409" s="85"/>
      <c r="O409" s="85"/>
    </row>
    <row r="410" spans="1:15" x14ac:dyDescent="0.25">
      <c r="A410" s="89"/>
      <c r="B410" s="85"/>
      <c r="C410" s="85"/>
      <c r="D410" s="85"/>
      <c r="E410" s="85"/>
      <c r="F410" s="85"/>
      <c r="G410" s="86" t="str">
        <f>"("&amp;CVSSv3!$B$4&amp;":"&amp;IF(H399=CVSSv3!$C$4,CVSSv3!$C$30,IF(H399=CVSSv3!$D$4,CVSSv3!$D$30,IF(H399=CVSSv3!$E$4,CVSSv3!$E$30,IF(H399=CVSSv3!$F$4,CVSSv3!$F$30,""))))&amp;"/"&amp;CVSSv3!$B$5&amp;":"&amp;IF(H400=CVSSv3!$C$5,CVSSv3!$C$31,IF(H400=CVSSv3!$D$5,CVSSv3!$D$31,""))&amp;"/"&amp;CVSSv3!$B$6&amp;":"&amp;IF(H401=CVSSv3!$C$6,CVSSv3!$C$32,IF(H401=CVSSv3!$D$6,CVSSv3!$D$32,IF(H401=CVSSv3!$E$6,CVSSv3!$E$32,"")))&amp;"/"&amp;CVSSv3!$B$7&amp;":"&amp;IF(H402=CVSSv3!$C$7,CVSSv3!$C$33,IF(H402=CVSSv3!$D$7,CVSSv3!$D$33,""))&amp;"/"&amp;CVSSv3!$B$8&amp;":"&amp;IF(H403=CVSSv3!$C$8,CVSSv3!$C$34,IF(H403=CVSSv3!$D$8,CVSSv3!$D$34,""))&amp;"/"&amp;CVSSv3!$B$9&amp;":"&amp;IF(H404=CVSSv3!$C$9,CVSSv3!$C$35,IF(H404=CVSSv3!$D$9,CVSSv3!$D$35,IF(H404=CVSSv3!$E$9,CVSSv3!$E$35,"")))&amp;"/"&amp;CVSSv3!$B$10&amp;":"&amp;IF(H405=CVSSv3!$C$10,CVSSv3!$C$36,IF(H405=CVSSv3!$D$10,CVSSv3!$D$36,IF(H405=CVSSv3!$E$10,CVSSv3!$E$36,"")))&amp;"/"&amp;CVSSv3!$B$11&amp;":"&amp;IF(H406=CVSSv3!$C$11,CVSSv3!$C$37,IF(H406=CVSSv3!$D$11,CVSSv3!$D$37,IF(H406=CVSSv3!$E$11,CVSSv3!$E$37,"")))&amp;"/"&amp;CVSSv3!$B$12&amp;":"&amp;IF(H407=CVSSv3!$C$12,CVSSv3!$C$38,IF(H407=CVSSv3!$D$12,CVSSv3!$D$38,IF(H407=CVSSv3!$E$12,CVSSv3!$E$38,IF(H407=CVSSv3!$F$12,CVSSv3!$F$38,""))))&amp;"/"&amp;CVSSv3!$B$13&amp;":"&amp;IF(H408=CVSSv3!$C$13,CVSSv3!$C$39,IF(H408=CVSSv3!$D$13,CVSSv3!$D$39,IF(H408=CVSSv3!$E$13,CVSSv3!$E$39,IF(H408=CVSSv3!$F$13,CVSSv3!$F$39,""))))&amp;"/"&amp;CVSSv3!$B$14&amp;":"&amp;IF(H409=CVSSv3!$C$14,CVSSv3!$C$40,IF(H409=CVSSv3!$D$14,CVSSv3!$D$40,IF(H409=CVSSv3!$E$14,CVSSv3!$E$40,"")))&amp;")"</f>
        <v>(AV:N/AC:H/PR:N/UI:N/S:C/C:H/I:H/A:H/E:H/RL:U/RC:C)</v>
      </c>
      <c r="H410" s="87"/>
      <c r="I410" s="88"/>
      <c r="J410" s="89"/>
      <c r="K410" s="89"/>
      <c r="L410" s="85"/>
      <c r="M410" s="85"/>
      <c r="N410" s="85"/>
      <c r="O410" s="85"/>
    </row>
    <row r="411" spans="1:15" x14ac:dyDescent="0.25">
      <c r="A411" s="89">
        <v>35</v>
      </c>
      <c r="B411" s="85" t="s">
        <v>748</v>
      </c>
      <c r="C411" s="85" t="s">
        <v>17</v>
      </c>
      <c r="D411" s="85" t="s">
        <v>17</v>
      </c>
      <c r="E411" s="85" t="s">
        <v>17</v>
      </c>
      <c r="F411"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11" s="82" t="str">
        <f>CVSSv3!$A$4</f>
        <v>Vector de ataque:</v>
      </c>
      <c r="H411" s="84" t="s">
        <v>706</v>
      </c>
      <c r="I411" s="88">
        <f>ROUNDUP((IF((IF(H415=CVSSv3!$C$8,(6.42*(1-((1-(IF(H416=CVSSv3!$C$9,CVSSv3!$C$22,(IF(H416=CVSSv3!$D$9,CVSSv3!$D$22,(IF(H416=CVSSv3!$E$9,CVSSv3!$E$22,"")))))))*(1-(IF(H417=CVSSv3!$C$10,CVSSv3!$C$23,(IF(H417=CVSSv3!$D$10,CVSSv3!$D$23,(IF(H417=CVSSv3!$E$10,CVSSv3!$E$23,"")))))))*(1-(IF(H418=CVSSv3!$C$11,CVSSv3!$C$24,(IF(H418=CVSSv3!$D$11,CVSSv3!$D$24,(IF(H418=CVSSv3!$E$11,CVSSv3!$E$24,"")))))))))),((7.52*((1-((1-(IF(H416=CVSSv3!$C$9,CVSSv3!$C$22,(IF(H416=CVSSv3!$D$9,CVSSv3!$D$22,(IF(H416=CVSSv3!$E$9,CVSSv3!$E$22,"")))))))*(1-(IF(H417=CVSSv3!$C$10,CVSSv3!$C$23,(IF(H417=CVSSv3!$D$10,CVSSv3!$D$23,(IF(H417=CVSSv3!$E$10,CVSSv3!$E$23,"")))))))*(1-(IF(H418=CVSSv3!$C$11,CVSSv3!$C$24,(IF(H418=CVSSv3!$D$11,CVSSv3!$D$24,(IF(H418=CVSSv3!$E$11,CVSSv3!$E$24,"")))))))))-0.029))-(3.25*POWER(((1-((1-(IF(H416=CVSSv3!$C$9,CVSSv3!$C$22,(IF(H416=CVSSv3!$D$9,CVSSv3!$D$22,(IF(H416=CVSSv3!$E$9,CVSSv3!$E$22,"")))))))*(1-(IF(H417=CVSSv3!$C$10,CVSSv3!$C$23,(IF(H417=CVSSv3!$D$10,CVSSv3!$D$23,(IF(H417=CVSSv3!$E$10,CVSSv3!$E$23,"")))))))*(1-(IF(H418=CVSSv3!$C$11,CVSSv3!$C$24,(IF(H418=CVSSv3!$D$11,CVSSv3!$D$24,(IF(H418=CVSSv3!$E$11,CVSSv3!$E$24,"")))))))))-0.02),15)))))&lt;=0,0,(IF(H415=CVSSv3!$C$8,ROUNDUP((MIN((IF(H415=CVSSv3!$C$8,(6.42*(1-((1-(IF(H416=CVSSv3!$C$9,CVSSv3!$C$22,(IF(H416=CVSSv3!$D$9,CVSSv3!$D$22,(IF(H416=CVSSv3!$E$9,CVSSv3!$E$22,"")))))))*(1-(IF(H417=CVSSv3!$C$10,CVSSv3!$C$23,(IF(H417=CVSSv3!$D$10,CVSSv3!$D$23,(IF(H417=CVSSv3!$E$10,CVSSv3!$E$23,"")))))))*(1-(IF(H418=CVSSv3!$C$11,CVSSv3!$C$24,(IF(H418=CVSSv3!$D$11,CVSSv3!$D$24,(IF(H418=CVSSv3!$E$11,CVSSv3!$E$24,"")))))))))),((7.52*((1-((1-(IF(H416=CVSSv3!$C$9,CVSSv3!$C$22,(IF(H416=CVSSv3!$D$9,CVSSv3!$D$22,(IF(H416=CVSSv3!$E$9,CVSSv3!$E$22,"")))))))*(1-(IF(H417=CVSSv3!$C$10,CVSSv3!$C$23,(IF(H417=CVSSv3!$D$10,CVSSv3!$D$23,(IF(H417=CVSSv3!$E$10,CVSSv3!$E$23,"")))))))*(1-(IF(H418=CVSSv3!$C$11,CVSSv3!$C$24,(IF(H418=CVSSv3!$D$11,CVSSv3!$D$24,(IF(H418=CVSSv3!$E$11,CVSSv3!$E$24,"")))))))))-0.029))-(3.25*POWER(((1-((1-(IF(H416=CVSSv3!$C$9,CVSSv3!$C$22,(IF(H416=CVSSv3!$D$9,CVSSv3!$D$22,(IF(H416=CVSSv3!$E$9,CVSSv3!$E$22,"")))))))*(1-(IF(H417=CVSSv3!$C$10,CVSSv3!$C$23,(IF(H417=CVSSv3!$D$10,CVSSv3!$D$23,(IF(H417=CVSSv3!$E$10,CVSSv3!$E$23,"")))))))*(1-(IF(H418=CVSSv3!$C$11,CVSSv3!$C$24,(IF(H418=CVSSv3!$D$11,CVSSv3!$D$24,(IF(H418=CVSSv3!$E$11,CVSSv3!$E$24,"")))))))))-0.02),15)))))+(8.22*(IF(H411=CVSSv3!$C$4,CVSSv3!$C$17,(IF(H411=CVSSv3!$D$4,CVSSv3!$D$17,(IF(H411=CVSSv3!$E$4,CVSSv3!$E$17,(IF(H411=CVSSv3!$F$4,CVSSv3!$F$17,""))))))))*(IF(H412=CVSSv3!$C$5,CVSSv3!$C$18,(IF(H412=CVSSv3!$D$5,CVSSv3!$D$18,""))))*(IF(H413=CVSSv3!$C$6,CVSSv3!$C$19,(IF(H413=CVSSv3!$D$6,(IF(H415=CVSSv3!$D$8,0.68,CVSSv3!$D$19)),(IF(H413=CVSSv3!$E$6,(IF(H415=CVSSv3!$D$8,0.5,CVSSv3!$E$19))))))))*(IF(H414=CVSSv3!$C$7,CVSSv3!$C$20,(IF(H414=CVSSv3!$D$7,CVSSv3!$D$20,""))))),10)),1),ROUNDUP((MIN(1.08*((IF(H415=CVSSv3!$C$8,(6.42*(1-((1-(IF(H416=CVSSv3!$C$9,CVSSv3!$C$22,(IF(H416=CVSSv3!$D$9,CVSSv3!$D$22,(IF(H416=CVSSv3!$E$9,CVSSv3!$E$22,"")))))))*(1-(IF(H417=CVSSv3!$C$10,CVSSv3!$C$23,(IF(H417=CVSSv3!$D$10,CVSSv3!$D$23,(IF(H417=CVSSv3!$E$10,CVSSv3!$E$23,"")))))))*(1-(IF(H418=CVSSv3!$C$11,CVSSv3!$C$24,(IF(H418=CVSSv3!$D$11,CVSSv3!$D$24,(IF(H418=CVSSv3!$E$11,CVSSv3!$E$24,"")))))))))),((7.52*((1-((1-(IF(H416=CVSSv3!$C$9,CVSSv3!$C$22,(IF(H416=CVSSv3!$D$9,CVSSv3!$D$22,(IF(H416=CVSSv3!$E$9,CVSSv3!$E$22,"")))))))*(1-(IF(H417=CVSSv3!$C$10,CVSSv3!$C$23,(IF(H417=CVSSv3!$D$10,CVSSv3!$D$23,(IF(H417=CVSSv3!$E$10,CVSSv3!$E$23,"")))))))*(1-(IF(H418=CVSSv3!$C$11,CVSSv3!$C$24,(IF(H418=CVSSv3!$D$11,CVSSv3!$D$24,(IF(H418=CVSSv3!$E$11,CVSSv3!$E$24,"")))))))))-0.029))-(3.25*POWER(((1-((1-(IF(H416=CVSSv3!$C$9,CVSSv3!$C$22,(IF(H416=CVSSv3!$D$9,CVSSv3!$D$22,(IF(H416=CVSSv3!$E$9,CVSSv3!$E$22,"")))))))*(1-(IF(H417=CVSSv3!$C$10,CVSSv3!$C$23,(IF(H417=CVSSv3!$D$10,CVSSv3!$D$23,(IF(H417=CVSSv3!$E$10,CVSSv3!$E$23,"")))))))*(1-(IF(H418=CVSSv3!$C$11,CVSSv3!$C$24,(IF(H418=CVSSv3!$D$11,CVSSv3!$D$24,(IF(H418=CVSSv3!$E$11,CVSSv3!$E$24,"")))))))))-0.02),15)))))+(8.22*(IF(H411=CVSSv3!$C$4,CVSSv3!$C$17,(IF(H411=CVSSv3!$D$4,CVSSv3!$D$17,(IF(H411=CVSSv3!$E$4,CVSSv3!$E$17,(IF(H411=CVSSv3!$F$4,CVSSv3!$F$17,""))))))))*(IF(H412=CVSSv3!$C$5,CVSSv3!$C$18,(IF(H412=CVSSv3!$D$5,CVSSv3!$D$18,""))))*(IF(H413=CVSSv3!$C$6,CVSSv3!$C$19,(IF(H413=CVSSv3!$D$6,(IF(H415=CVSSv3!$D$8,0.68,CVSSv3!$D$19)),(IF(H413=CVSSv3!$E$6,(IF(H415=CVSSv3!$D$8,0.5,CVSSv3!$E$19))))))))*(IF(H414=CVSSv3!$C$7,CVSSv3!$C$20,(IF(H414=CVSSv3!$D$7,CVSSv3!$D$20,"")))))),10)),1))))*(IF(H419=CVSSv3!$C$12,CVSSv3!$C$25,(IF(H419=CVSSv3!$D$12,CVSSv3!$D$25,(IF(H419=CVSSv3!$E$12,CVSSv3!$E$25,(IF(H419=CVSSv3!$F$12,CVSSv3!$F$25,""))))))))*(IF(H420=CVSSv3!$C$13,CVSSv3!$C$26,(IF(H420=CVSSv3!$D$13,CVSSv3!$D$26,(IF(H420=CVSSv3!$E$13,CVSSv3!$E$26,(IF(H420=CVSSv3!$F$13,CVSSv3!$F$26,""))))))))*(IF(H421=CVSSv3!$C$14,CVSSv3!$C$27,(IF(H421=CVSSv3!$D$14,CVSSv3!$D$27,(IF(H421=CVSSv3!$E$14,CVSSv3!$E$27,""))))))),1)</f>
        <v>9</v>
      </c>
      <c r="J411" s="89">
        <v>0</v>
      </c>
      <c r="K411" s="89">
        <v>0</v>
      </c>
      <c r="L411" s="85" t="s">
        <v>17</v>
      </c>
      <c r="M411" s="85" t="s">
        <v>17</v>
      </c>
      <c r="N411" s="85" t="s">
        <v>707</v>
      </c>
      <c r="O411" s="85" t="s">
        <v>708</v>
      </c>
    </row>
    <row r="412" spans="1:15" x14ac:dyDescent="0.25">
      <c r="A412" s="89"/>
      <c r="B412" s="85"/>
      <c r="C412" s="85"/>
      <c r="D412" s="85"/>
      <c r="E412" s="85"/>
      <c r="F412" s="85"/>
      <c r="G412" s="80" t="str">
        <f>CVSSv3!$A$5</f>
        <v>Complejidad de ataque:</v>
      </c>
      <c r="H412" s="81" t="s">
        <v>709</v>
      </c>
      <c r="I412" s="88"/>
      <c r="J412" s="89"/>
      <c r="K412" s="89"/>
      <c r="L412" s="85"/>
      <c r="M412" s="85"/>
      <c r="N412" s="85"/>
      <c r="O412" s="85"/>
    </row>
    <row r="413" spans="1:15" x14ac:dyDescent="0.25">
      <c r="A413" s="89"/>
      <c r="B413" s="85"/>
      <c r="C413" s="85"/>
      <c r="D413" s="85"/>
      <c r="E413" s="85"/>
      <c r="F413" s="85"/>
      <c r="G413" s="80" t="str">
        <f>CVSSv3!$A$6</f>
        <v>Privilegios requeridos:</v>
      </c>
      <c r="H413" s="81" t="s">
        <v>710</v>
      </c>
      <c r="I413" s="88"/>
      <c r="J413" s="89"/>
      <c r="K413" s="89"/>
      <c r="L413" s="85"/>
      <c r="M413" s="85"/>
      <c r="N413" s="85"/>
      <c r="O413" s="85"/>
    </row>
    <row r="414" spans="1:15" x14ac:dyDescent="0.25">
      <c r="A414" s="89"/>
      <c r="B414" s="85"/>
      <c r="C414" s="85"/>
      <c r="D414" s="85"/>
      <c r="E414" s="85"/>
      <c r="F414" s="85"/>
      <c r="G414" s="80" t="str">
        <f>CVSSv3!$A$7</f>
        <v>Interacción del usuario:</v>
      </c>
      <c r="H414" s="81" t="s">
        <v>711</v>
      </c>
      <c r="I414" s="88"/>
      <c r="J414" s="89"/>
      <c r="K414" s="89"/>
      <c r="L414" s="85"/>
      <c r="M414" s="85"/>
      <c r="N414" s="85"/>
      <c r="O414" s="85"/>
    </row>
    <row r="415" spans="1:15" x14ac:dyDescent="0.25">
      <c r="A415" s="89"/>
      <c r="B415" s="85"/>
      <c r="C415" s="85"/>
      <c r="D415" s="85"/>
      <c r="E415" s="85"/>
      <c r="F415" s="85"/>
      <c r="G415" s="80" t="str">
        <f>CVSSv3!$A$8</f>
        <v>Alcance:</v>
      </c>
      <c r="H415" s="81" t="s">
        <v>712</v>
      </c>
      <c r="I415" s="88"/>
      <c r="J415" s="89"/>
      <c r="K415" s="89"/>
      <c r="L415" s="85"/>
      <c r="M415" s="85"/>
      <c r="N415" s="85"/>
      <c r="O415" s="85"/>
    </row>
    <row r="416" spans="1:15" x14ac:dyDescent="0.25">
      <c r="A416" s="89"/>
      <c r="B416" s="85"/>
      <c r="C416" s="85"/>
      <c r="D416" s="85"/>
      <c r="E416" s="85"/>
      <c r="F416" s="85"/>
      <c r="G416" s="80" t="str">
        <f>CVSSv3!$A$9</f>
        <v>Impacto a la confidencialidad:</v>
      </c>
      <c r="H416" s="81" t="s">
        <v>713</v>
      </c>
      <c r="I416" s="88"/>
      <c r="J416" s="89"/>
      <c r="K416" s="89"/>
      <c r="L416" s="85"/>
      <c r="M416" s="85"/>
      <c r="N416" s="85"/>
      <c r="O416" s="85"/>
    </row>
    <row r="417" spans="1:15" x14ac:dyDescent="0.25">
      <c r="A417" s="89"/>
      <c r="B417" s="85"/>
      <c r="C417" s="85"/>
      <c r="D417" s="85"/>
      <c r="E417" s="85"/>
      <c r="F417" s="85"/>
      <c r="G417" s="80" t="str">
        <f>CVSSv3!$A$10</f>
        <v>Impacto a la integridad:</v>
      </c>
      <c r="H417" s="81" t="s">
        <v>713</v>
      </c>
      <c r="I417" s="88"/>
      <c r="J417" s="89"/>
      <c r="K417" s="89"/>
      <c r="L417" s="85"/>
      <c r="M417" s="85"/>
      <c r="N417" s="85"/>
      <c r="O417" s="85"/>
    </row>
    <row r="418" spans="1:15" x14ac:dyDescent="0.25">
      <c r="A418" s="89"/>
      <c r="B418" s="85"/>
      <c r="C418" s="85"/>
      <c r="D418" s="85"/>
      <c r="E418" s="85"/>
      <c r="F418" s="85"/>
      <c r="G418" s="80" t="str">
        <f>CVSSv3!$A$11</f>
        <v>Impacto a la disponibilidad:</v>
      </c>
      <c r="H418" s="81" t="s">
        <v>713</v>
      </c>
      <c r="I418" s="88"/>
      <c r="J418" s="89"/>
      <c r="K418" s="89"/>
      <c r="L418" s="85"/>
      <c r="M418" s="85"/>
      <c r="N418" s="85"/>
      <c r="O418" s="85"/>
    </row>
    <row r="419" spans="1:15" x14ac:dyDescent="0.25">
      <c r="A419" s="89"/>
      <c r="B419" s="85"/>
      <c r="C419" s="85"/>
      <c r="D419" s="85"/>
      <c r="E419" s="85"/>
      <c r="F419" s="85"/>
      <c r="G419" s="80" t="str">
        <f>CVSSv3!$A$12</f>
        <v>Explotabilidad:</v>
      </c>
      <c r="H419" s="81" t="s">
        <v>709</v>
      </c>
      <c r="I419" s="88"/>
      <c r="J419" s="89"/>
      <c r="K419" s="89"/>
      <c r="L419" s="85"/>
      <c r="M419" s="85"/>
      <c r="N419" s="85"/>
      <c r="O419" s="85"/>
    </row>
    <row r="420" spans="1:15" x14ac:dyDescent="0.25">
      <c r="A420" s="89"/>
      <c r="B420" s="85"/>
      <c r="C420" s="85"/>
      <c r="D420" s="85"/>
      <c r="E420" s="85"/>
      <c r="F420" s="85"/>
      <c r="G420" s="80" t="str">
        <f>CVSSv3!$A$13</f>
        <v>Nivel de resolución:</v>
      </c>
      <c r="H420" s="81" t="s">
        <v>714</v>
      </c>
      <c r="I420" s="88"/>
      <c r="J420" s="89"/>
      <c r="K420" s="89"/>
      <c r="L420" s="85"/>
      <c r="M420" s="85"/>
      <c r="N420" s="85"/>
      <c r="O420" s="85"/>
    </row>
    <row r="421" spans="1:15" x14ac:dyDescent="0.25">
      <c r="A421" s="89"/>
      <c r="B421" s="85"/>
      <c r="C421" s="85"/>
      <c r="D421" s="85"/>
      <c r="E421" s="85"/>
      <c r="F421" s="85"/>
      <c r="G421" s="80" t="str">
        <f>CVSSv3!$A$14</f>
        <v>Nivel de confianza</v>
      </c>
      <c r="H421" s="81" t="s">
        <v>715</v>
      </c>
      <c r="I421" s="88"/>
      <c r="J421" s="89"/>
      <c r="K421" s="89"/>
      <c r="L421" s="85"/>
      <c r="M421" s="85"/>
      <c r="N421" s="85"/>
      <c r="O421" s="85"/>
    </row>
    <row r="422" spans="1:15" x14ac:dyDescent="0.25">
      <c r="A422" s="89"/>
      <c r="B422" s="85"/>
      <c r="C422" s="85"/>
      <c r="D422" s="85"/>
      <c r="E422" s="85"/>
      <c r="F422" s="85"/>
      <c r="G422" s="86" t="str">
        <f>"("&amp;CVSSv3!$B$4&amp;":"&amp;IF(H411=CVSSv3!$C$4,CVSSv3!$C$30,IF(H411=CVSSv3!$D$4,CVSSv3!$D$30,IF(H411=CVSSv3!$E$4,CVSSv3!$E$30,IF(H411=CVSSv3!$F$4,CVSSv3!$F$30,""))))&amp;"/"&amp;CVSSv3!$B$5&amp;":"&amp;IF(H412=CVSSv3!$C$5,CVSSv3!$C$31,IF(H412=CVSSv3!$D$5,CVSSv3!$D$31,""))&amp;"/"&amp;CVSSv3!$B$6&amp;":"&amp;IF(H413=CVSSv3!$C$6,CVSSv3!$C$32,IF(H413=CVSSv3!$D$6,CVSSv3!$D$32,IF(H413=CVSSv3!$E$6,CVSSv3!$E$32,"")))&amp;"/"&amp;CVSSv3!$B$7&amp;":"&amp;IF(H414=CVSSv3!$C$7,CVSSv3!$C$33,IF(H414=CVSSv3!$D$7,CVSSv3!$D$33,""))&amp;"/"&amp;CVSSv3!$B$8&amp;":"&amp;IF(H415=CVSSv3!$C$8,CVSSv3!$C$34,IF(H415=CVSSv3!$D$8,CVSSv3!$D$34,""))&amp;"/"&amp;CVSSv3!$B$9&amp;":"&amp;IF(H416=CVSSv3!$C$9,CVSSv3!$C$35,IF(H416=CVSSv3!$D$9,CVSSv3!$D$35,IF(H416=CVSSv3!$E$9,CVSSv3!$E$35,"")))&amp;"/"&amp;CVSSv3!$B$10&amp;":"&amp;IF(H417=CVSSv3!$C$10,CVSSv3!$C$36,IF(H417=CVSSv3!$D$10,CVSSv3!$D$36,IF(H417=CVSSv3!$E$10,CVSSv3!$E$36,"")))&amp;"/"&amp;CVSSv3!$B$11&amp;":"&amp;IF(H418=CVSSv3!$C$11,CVSSv3!$C$37,IF(H418=CVSSv3!$D$11,CVSSv3!$D$37,IF(H418=CVSSv3!$E$11,CVSSv3!$E$37,"")))&amp;"/"&amp;CVSSv3!$B$12&amp;":"&amp;IF(H419=CVSSv3!$C$12,CVSSv3!$C$38,IF(H419=CVSSv3!$D$12,CVSSv3!$D$38,IF(H419=CVSSv3!$E$12,CVSSv3!$E$38,IF(H419=CVSSv3!$F$12,CVSSv3!$F$38,""))))&amp;"/"&amp;CVSSv3!$B$13&amp;":"&amp;IF(H420=CVSSv3!$C$13,CVSSv3!$C$39,IF(H420=CVSSv3!$D$13,CVSSv3!$D$39,IF(H420=CVSSv3!$E$13,CVSSv3!$E$39,IF(H420=CVSSv3!$F$13,CVSSv3!$F$39,""))))&amp;"/"&amp;CVSSv3!$B$14&amp;":"&amp;IF(H421=CVSSv3!$C$14,CVSSv3!$C$40,IF(H421=CVSSv3!$D$14,CVSSv3!$D$40,IF(H421=CVSSv3!$E$14,CVSSv3!$E$40,"")))&amp;")"</f>
        <v>(AV:N/AC:H/PR:N/UI:N/S:C/C:H/I:H/A:H/E:H/RL:U/RC:C)</v>
      </c>
      <c r="H422" s="87"/>
      <c r="I422" s="88"/>
      <c r="J422" s="89"/>
      <c r="K422" s="89"/>
      <c r="L422" s="85"/>
      <c r="M422" s="85"/>
      <c r="N422" s="85"/>
      <c r="O422" s="85"/>
    </row>
    <row r="423" spans="1:15" x14ac:dyDescent="0.25">
      <c r="A423" s="89">
        <v>36</v>
      </c>
      <c r="B423" s="85" t="s">
        <v>749</v>
      </c>
      <c r="C423" s="85" t="s">
        <v>17</v>
      </c>
      <c r="D423" s="85" t="s">
        <v>17</v>
      </c>
      <c r="E423" s="85" t="s">
        <v>17</v>
      </c>
      <c r="F423"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23" s="82" t="str">
        <f>CVSSv3!$A$4</f>
        <v>Vector de ataque:</v>
      </c>
      <c r="H423" s="84" t="s">
        <v>706</v>
      </c>
      <c r="I423" s="88">
        <f>ROUNDUP((IF((IF(H427=CVSSv3!$C$8,(6.42*(1-((1-(IF(H428=CVSSv3!$C$9,CVSSv3!$C$22,(IF(H428=CVSSv3!$D$9,CVSSv3!$D$22,(IF(H428=CVSSv3!$E$9,CVSSv3!$E$22,"")))))))*(1-(IF(H429=CVSSv3!$C$10,CVSSv3!$C$23,(IF(H429=CVSSv3!$D$10,CVSSv3!$D$23,(IF(H429=CVSSv3!$E$10,CVSSv3!$E$23,"")))))))*(1-(IF(H430=CVSSv3!$C$11,CVSSv3!$C$24,(IF(H430=CVSSv3!$D$11,CVSSv3!$D$24,(IF(H430=CVSSv3!$E$11,CVSSv3!$E$24,"")))))))))),((7.52*((1-((1-(IF(H428=CVSSv3!$C$9,CVSSv3!$C$22,(IF(H428=CVSSv3!$D$9,CVSSv3!$D$22,(IF(H428=CVSSv3!$E$9,CVSSv3!$E$22,"")))))))*(1-(IF(H429=CVSSv3!$C$10,CVSSv3!$C$23,(IF(H429=CVSSv3!$D$10,CVSSv3!$D$23,(IF(H429=CVSSv3!$E$10,CVSSv3!$E$23,"")))))))*(1-(IF(H430=CVSSv3!$C$11,CVSSv3!$C$24,(IF(H430=CVSSv3!$D$11,CVSSv3!$D$24,(IF(H430=CVSSv3!$E$11,CVSSv3!$E$24,"")))))))))-0.029))-(3.25*POWER(((1-((1-(IF(H428=CVSSv3!$C$9,CVSSv3!$C$22,(IF(H428=CVSSv3!$D$9,CVSSv3!$D$22,(IF(H428=CVSSv3!$E$9,CVSSv3!$E$22,"")))))))*(1-(IF(H429=CVSSv3!$C$10,CVSSv3!$C$23,(IF(H429=CVSSv3!$D$10,CVSSv3!$D$23,(IF(H429=CVSSv3!$E$10,CVSSv3!$E$23,"")))))))*(1-(IF(H430=CVSSv3!$C$11,CVSSv3!$C$24,(IF(H430=CVSSv3!$D$11,CVSSv3!$D$24,(IF(H430=CVSSv3!$E$11,CVSSv3!$E$24,"")))))))))-0.02),15)))))&lt;=0,0,(IF(H427=CVSSv3!$C$8,ROUNDUP((MIN((IF(H427=CVSSv3!$C$8,(6.42*(1-((1-(IF(H428=CVSSv3!$C$9,CVSSv3!$C$22,(IF(H428=CVSSv3!$D$9,CVSSv3!$D$22,(IF(H428=CVSSv3!$E$9,CVSSv3!$E$22,"")))))))*(1-(IF(H429=CVSSv3!$C$10,CVSSv3!$C$23,(IF(H429=CVSSv3!$D$10,CVSSv3!$D$23,(IF(H429=CVSSv3!$E$10,CVSSv3!$E$23,"")))))))*(1-(IF(H430=CVSSv3!$C$11,CVSSv3!$C$24,(IF(H430=CVSSv3!$D$11,CVSSv3!$D$24,(IF(H430=CVSSv3!$E$11,CVSSv3!$E$24,"")))))))))),((7.52*((1-((1-(IF(H428=CVSSv3!$C$9,CVSSv3!$C$22,(IF(H428=CVSSv3!$D$9,CVSSv3!$D$22,(IF(H428=CVSSv3!$E$9,CVSSv3!$E$22,"")))))))*(1-(IF(H429=CVSSv3!$C$10,CVSSv3!$C$23,(IF(H429=CVSSv3!$D$10,CVSSv3!$D$23,(IF(H429=CVSSv3!$E$10,CVSSv3!$E$23,"")))))))*(1-(IF(H430=CVSSv3!$C$11,CVSSv3!$C$24,(IF(H430=CVSSv3!$D$11,CVSSv3!$D$24,(IF(H430=CVSSv3!$E$11,CVSSv3!$E$24,"")))))))))-0.029))-(3.25*POWER(((1-((1-(IF(H428=CVSSv3!$C$9,CVSSv3!$C$22,(IF(H428=CVSSv3!$D$9,CVSSv3!$D$22,(IF(H428=CVSSv3!$E$9,CVSSv3!$E$22,"")))))))*(1-(IF(H429=CVSSv3!$C$10,CVSSv3!$C$23,(IF(H429=CVSSv3!$D$10,CVSSv3!$D$23,(IF(H429=CVSSv3!$E$10,CVSSv3!$E$23,"")))))))*(1-(IF(H430=CVSSv3!$C$11,CVSSv3!$C$24,(IF(H430=CVSSv3!$D$11,CVSSv3!$D$24,(IF(H430=CVSSv3!$E$11,CVSSv3!$E$24,"")))))))))-0.02),15)))))+(8.22*(IF(H423=CVSSv3!$C$4,CVSSv3!$C$17,(IF(H423=CVSSv3!$D$4,CVSSv3!$D$17,(IF(H423=CVSSv3!$E$4,CVSSv3!$E$17,(IF(H423=CVSSv3!$F$4,CVSSv3!$F$17,""))))))))*(IF(H424=CVSSv3!$C$5,CVSSv3!$C$18,(IF(H424=CVSSv3!$D$5,CVSSv3!$D$18,""))))*(IF(H425=CVSSv3!$C$6,CVSSv3!$C$19,(IF(H425=CVSSv3!$D$6,(IF(H427=CVSSv3!$D$8,0.68,CVSSv3!$D$19)),(IF(H425=CVSSv3!$E$6,(IF(H427=CVSSv3!$D$8,0.5,CVSSv3!$E$19))))))))*(IF(H426=CVSSv3!$C$7,CVSSv3!$C$20,(IF(H426=CVSSv3!$D$7,CVSSv3!$D$20,""))))),10)),1),ROUNDUP((MIN(1.08*((IF(H427=CVSSv3!$C$8,(6.42*(1-((1-(IF(H428=CVSSv3!$C$9,CVSSv3!$C$22,(IF(H428=CVSSv3!$D$9,CVSSv3!$D$22,(IF(H428=CVSSv3!$E$9,CVSSv3!$E$22,"")))))))*(1-(IF(H429=CVSSv3!$C$10,CVSSv3!$C$23,(IF(H429=CVSSv3!$D$10,CVSSv3!$D$23,(IF(H429=CVSSv3!$E$10,CVSSv3!$E$23,"")))))))*(1-(IF(H430=CVSSv3!$C$11,CVSSv3!$C$24,(IF(H430=CVSSv3!$D$11,CVSSv3!$D$24,(IF(H430=CVSSv3!$E$11,CVSSv3!$E$24,"")))))))))),((7.52*((1-((1-(IF(H428=CVSSv3!$C$9,CVSSv3!$C$22,(IF(H428=CVSSv3!$D$9,CVSSv3!$D$22,(IF(H428=CVSSv3!$E$9,CVSSv3!$E$22,"")))))))*(1-(IF(H429=CVSSv3!$C$10,CVSSv3!$C$23,(IF(H429=CVSSv3!$D$10,CVSSv3!$D$23,(IF(H429=CVSSv3!$E$10,CVSSv3!$E$23,"")))))))*(1-(IF(H430=CVSSv3!$C$11,CVSSv3!$C$24,(IF(H430=CVSSv3!$D$11,CVSSv3!$D$24,(IF(H430=CVSSv3!$E$11,CVSSv3!$E$24,"")))))))))-0.029))-(3.25*POWER(((1-((1-(IF(H428=CVSSv3!$C$9,CVSSv3!$C$22,(IF(H428=CVSSv3!$D$9,CVSSv3!$D$22,(IF(H428=CVSSv3!$E$9,CVSSv3!$E$22,"")))))))*(1-(IF(H429=CVSSv3!$C$10,CVSSv3!$C$23,(IF(H429=CVSSv3!$D$10,CVSSv3!$D$23,(IF(H429=CVSSv3!$E$10,CVSSv3!$E$23,"")))))))*(1-(IF(H430=CVSSv3!$C$11,CVSSv3!$C$24,(IF(H430=CVSSv3!$D$11,CVSSv3!$D$24,(IF(H430=CVSSv3!$E$11,CVSSv3!$E$24,"")))))))))-0.02),15)))))+(8.22*(IF(H423=CVSSv3!$C$4,CVSSv3!$C$17,(IF(H423=CVSSv3!$D$4,CVSSv3!$D$17,(IF(H423=CVSSv3!$E$4,CVSSv3!$E$17,(IF(H423=CVSSv3!$F$4,CVSSv3!$F$17,""))))))))*(IF(H424=CVSSv3!$C$5,CVSSv3!$C$18,(IF(H424=CVSSv3!$D$5,CVSSv3!$D$18,""))))*(IF(H425=CVSSv3!$C$6,CVSSv3!$C$19,(IF(H425=CVSSv3!$D$6,(IF(H427=CVSSv3!$D$8,0.68,CVSSv3!$D$19)),(IF(H425=CVSSv3!$E$6,(IF(H427=CVSSv3!$D$8,0.5,CVSSv3!$E$19))))))))*(IF(H426=CVSSv3!$C$7,CVSSv3!$C$20,(IF(H426=CVSSv3!$D$7,CVSSv3!$D$20,"")))))),10)),1))))*(IF(H431=CVSSv3!$C$12,CVSSv3!$C$25,(IF(H431=CVSSv3!$D$12,CVSSv3!$D$25,(IF(H431=CVSSv3!$E$12,CVSSv3!$E$25,(IF(H431=CVSSv3!$F$12,CVSSv3!$F$25,""))))))))*(IF(H432=CVSSv3!$C$13,CVSSv3!$C$26,(IF(H432=CVSSv3!$D$13,CVSSv3!$D$26,(IF(H432=CVSSv3!$E$13,CVSSv3!$E$26,(IF(H432=CVSSv3!$F$13,CVSSv3!$F$26,""))))))))*(IF(H433=CVSSv3!$C$14,CVSSv3!$C$27,(IF(H433=CVSSv3!$D$14,CVSSv3!$D$27,(IF(H433=CVSSv3!$E$14,CVSSv3!$E$27,""))))))),1)</f>
        <v>9</v>
      </c>
      <c r="J423" s="89">
        <v>0</v>
      </c>
      <c r="K423" s="89">
        <v>0</v>
      </c>
      <c r="L423" s="85" t="s">
        <v>17</v>
      </c>
      <c r="M423" s="85" t="s">
        <v>17</v>
      </c>
      <c r="N423" s="85" t="s">
        <v>707</v>
      </c>
      <c r="O423" s="85" t="s">
        <v>708</v>
      </c>
    </row>
    <row r="424" spans="1:15" x14ac:dyDescent="0.25">
      <c r="A424" s="89"/>
      <c r="B424" s="85"/>
      <c r="C424" s="85"/>
      <c r="D424" s="85"/>
      <c r="E424" s="85"/>
      <c r="F424" s="85"/>
      <c r="G424" s="80" t="str">
        <f>CVSSv3!$A$5</f>
        <v>Complejidad de ataque:</v>
      </c>
      <c r="H424" s="81" t="s">
        <v>709</v>
      </c>
      <c r="I424" s="88"/>
      <c r="J424" s="89"/>
      <c r="K424" s="89"/>
      <c r="L424" s="85"/>
      <c r="M424" s="85"/>
      <c r="N424" s="85"/>
      <c r="O424" s="85"/>
    </row>
    <row r="425" spans="1:15" x14ac:dyDescent="0.25">
      <c r="A425" s="89"/>
      <c r="B425" s="85"/>
      <c r="C425" s="85"/>
      <c r="D425" s="85"/>
      <c r="E425" s="85"/>
      <c r="F425" s="85"/>
      <c r="G425" s="80" t="str">
        <f>CVSSv3!$A$6</f>
        <v>Privilegios requeridos:</v>
      </c>
      <c r="H425" s="81" t="s">
        <v>710</v>
      </c>
      <c r="I425" s="88"/>
      <c r="J425" s="89"/>
      <c r="K425" s="89"/>
      <c r="L425" s="85"/>
      <c r="M425" s="85"/>
      <c r="N425" s="85"/>
      <c r="O425" s="85"/>
    </row>
    <row r="426" spans="1:15" x14ac:dyDescent="0.25">
      <c r="A426" s="89"/>
      <c r="B426" s="85"/>
      <c r="C426" s="85"/>
      <c r="D426" s="85"/>
      <c r="E426" s="85"/>
      <c r="F426" s="85"/>
      <c r="G426" s="80" t="str">
        <f>CVSSv3!$A$7</f>
        <v>Interacción del usuario:</v>
      </c>
      <c r="H426" s="81" t="s">
        <v>711</v>
      </c>
      <c r="I426" s="88"/>
      <c r="J426" s="89"/>
      <c r="K426" s="89"/>
      <c r="L426" s="85"/>
      <c r="M426" s="85"/>
      <c r="N426" s="85"/>
      <c r="O426" s="85"/>
    </row>
    <row r="427" spans="1:15" x14ac:dyDescent="0.25">
      <c r="A427" s="89"/>
      <c r="B427" s="85"/>
      <c r="C427" s="85"/>
      <c r="D427" s="85"/>
      <c r="E427" s="85"/>
      <c r="F427" s="85"/>
      <c r="G427" s="80" t="str">
        <f>CVSSv3!$A$8</f>
        <v>Alcance:</v>
      </c>
      <c r="H427" s="81" t="s">
        <v>712</v>
      </c>
      <c r="I427" s="88"/>
      <c r="J427" s="89"/>
      <c r="K427" s="89"/>
      <c r="L427" s="85"/>
      <c r="M427" s="85"/>
      <c r="N427" s="85"/>
      <c r="O427" s="85"/>
    </row>
    <row r="428" spans="1:15" x14ac:dyDescent="0.25">
      <c r="A428" s="89"/>
      <c r="B428" s="85"/>
      <c r="C428" s="85"/>
      <c r="D428" s="85"/>
      <c r="E428" s="85"/>
      <c r="F428" s="85"/>
      <c r="G428" s="80" t="str">
        <f>CVSSv3!$A$9</f>
        <v>Impacto a la confidencialidad:</v>
      </c>
      <c r="H428" s="81" t="s">
        <v>713</v>
      </c>
      <c r="I428" s="88"/>
      <c r="J428" s="89"/>
      <c r="K428" s="89"/>
      <c r="L428" s="85"/>
      <c r="M428" s="85"/>
      <c r="N428" s="85"/>
      <c r="O428" s="85"/>
    </row>
    <row r="429" spans="1:15" x14ac:dyDescent="0.25">
      <c r="A429" s="89"/>
      <c r="B429" s="85"/>
      <c r="C429" s="85"/>
      <c r="D429" s="85"/>
      <c r="E429" s="85"/>
      <c r="F429" s="85"/>
      <c r="G429" s="80" t="str">
        <f>CVSSv3!$A$10</f>
        <v>Impacto a la integridad:</v>
      </c>
      <c r="H429" s="81" t="s">
        <v>713</v>
      </c>
      <c r="I429" s="88"/>
      <c r="J429" s="89"/>
      <c r="K429" s="89"/>
      <c r="L429" s="85"/>
      <c r="M429" s="85"/>
      <c r="N429" s="85"/>
      <c r="O429" s="85"/>
    </row>
    <row r="430" spans="1:15" x14ac:dyDescent="0.25">
      <c r="A430" s="89"/>
      <c r="B430" s="85"/>
      <c r="C430" s="85"/>
      <c r="D430" s="85"/>
      <c r="E430" s="85"/>
      <c r="F430" s="85"/>
      <c r="G430" s="80" t="str">
        <f>CVSSv3!$A$11</f>
        <v>Impacto a la disponibilidad:</v>
      </c>
      <c r="H430" s="81" t="s">
        <v>713</v>
      </c>
      <c r="I430" s="88"/>
      <c r="J430" s="89"/>
      <c r="K430" s="89"/>
      <c r="L430" s="85"/>
      <c r="M430" s="85"/>
      <c r="N430" s="85"/>
      <c r="O430" s="85"/>
    </row>
    <row r="431" spans="1:15" x14ac:dyDescent="0.25">
      <c r="A431" s="89"/>
      <c r="B431" s="85"/>
      <c r="C431" s="85"/>
      <c r="D431" s="85"/>
      <c r="E431" s="85"/>
      <c r="F431" s="85"/>
      <c r="G431" s="80" t="str">
        <f>CVSSv3!$A$12</f>
        <v>Explotabilidad:</v>
      </c>
      <c r="H431" s="81" t="s">
        <v>709</v>
      </c>
      <c r="I431" s="88"/>
      <c r="J431" s="89"/>
      <c r="K431" s="89"/>
      <c r="L431" s="85"/>
      <c r="M431" s="85"/>
      <c r="N431" s="85"/>
      <c r="O431" s="85"/>
    </row>
    <row r="432" spans="1:15" x14ac:dyDescent="0.25">
      <c r="A432" s="89"/>
      <c r="B432" s="85"/>
      <c r="C432" s="85"/>
      <c r="D432" s="85"/>
      <c r="E432" s="85"/>
      <c r="F432" s="85"/>
      <c r="G432" s="80" t="str">
        <f>CVSSv3!$A$13</f>
        <v>Nivel de resolución:</v>
      </c>
      <c r="H432" s="81" t="s">
        <v>714</v>
      </c>
      <c r="I432" s="88"/>
      <c r="J432" s="89"/>
      <c r="K432" s="89"/>
      <c r="L432" s="85"/>
      <c r="M432" s="85"/>
      <c r="N432" s="85"/>
      <c r="O432" s="85"/>
    </row>
    <row r="433" spans="1:15" x14ac:dyDescent="0.25">
      <c r="A433" s="89"/>
      <c r="B433" s="85"/>
      <c r="C433" s="85"/>
      <c r="D433" s="85"/>
      <c r="E433" s="85"/>
      <c r="F433" s="85"/>
      <c r="G433" s="80" t="str">
        <f>CVSSv3!$A$14</f>
        <v>Nivel de confianza</v>
      </c>
      <c r="H433" s="81" t="s">
        <v>715</v>
      </c>
      <c r="I433" s="88"/>
      <c r="J433" s="89"/>
      <c r="K433" s="89"/>
      <c r="L433" s="85"/>
      <c r="M433" s="85"/>
      <c r="N433" s="85"/>
      <c r="O433" s="85"/>
    </row>
    <row r="434" spans="1:15" x14ac:dyDescent="0.25">
      <c r="A434" s="89"/>
      <c r="B434" s="85"/>
      <c r="C434" s="85"/>
      <c r="D434" s="85"/>
      <c r="E434" s="85"/>
      <c r="F434" s="85"/>
      <c r="G434" s="86" t="str">
        <f>"("&amp;CVSSv3!$B$4&amp;":"&amp;IF(H423=CVSSv3!$C$4,CVSSv3!$C$30,IF(H423=CVSSv3!$D$4,CVSSv3!$D$30,IF(H423=CVSSv3!$E$4,CVSSv3!$E$30,IF(H423=CVSSv3!$F$4,CVSSv3!$F$30,""))))&amp;"/"&amp;CVSSv3!$B$5&amp;":"&amp;IF(H424=CVSSv3!$C$5,CVSSv3!$C$31,IF(H424=CVSSv3!$D$5,CVSSv3!$D$31,""))&amp;"/"&amp;CVSSv3!$B$6&amp;":"&amp;IF(H425=CVSSv3!$C$6,CVSSv3!$C$32,IF(H425=CVSSv3!$D$6,CVSSv3!$D$32,IF(H425=CVSSv3!$E$6,CVSSv3!$E$32,"")))&amp;"/"&amp;CVSSv3!$B$7&amp;":"&amp;IF(H426=CVSSv3!$C$7,CVSSv3!$C$33,IF(H426=CVSSv3!$D$7,CVSSv3!$D$33,""))&amp;"/"&amp;CVSSv3!$B$8&amp;":"&amp;IF(H427=CVSSv3!$C$8,CVSSv3!$C$34,IF(H427=CVSSv3!$D$8,CVSSv3!$D$34,""))&amp;"/"&amp;CVSSv3!$B$9&amp;":"&amp;IF(H428=CVSSv3!$C$9,CVSSv3!$C$35,IF(H428=CVSSv3!$D$9,CVSSv3!$D$35,IF(H428=CVSSv3!$E$9,CVSSv3!$E$35,"")))&amp;"/"&amp;CVSSv3!$B$10&amp;":"&amp;IF(H429=CVSSv3!$C$10,CVSSv3!$C$36,IF(H429=CVSSv3!$D$10,CVSSv3!$D$36,IF(H429=CVSSv3!$E$10,CVSSv3!$E$36,"")))&amp;"/"&amp;CVSSv3!$B$11&amp;":"&amp;IF(H430=CVSSv3!$C$11,CVSSv3!$C$37,IF(H430=CVSSv3!$D$11,CVSSv3!$D$37,IF(H430=CVSSv3!$E$11,CVSSv3!$E$37,"")))&amp;"/"&amp;CVSSv3!$B$12&amp;":"&amp;IF(H431=CVSSv3!$C$12,CVSSv3!$C$38,IF(H431=CVSSv3!$D$12,CVSSv3!$D$38,IF(H431=CVSSv3!$E$12,CVSSv3!$E$38,IF(H431=CVSSv3!$F$12,CVSSv3!$F$38,""))))&amp;"/"&amp;CVSSv3!$B$13&amp;":"&amp;IF(H432=CVSSv3!$C$13,CVSSv3!$C$39,IF(H432=CVSSv3!$D$13,CVSSv3!$D$39,IF(H432=CVSSv3!$E$13,CVSSv3!$E$39,IF(H432=CVSSv3!$F$13,CVSSv3!$F$39,""))))&amp;"/"&amp;CVSSv3!$B$14&amp;":"&amp;IF(H433=CVSSv3!$C$14,CVSSv3!$C$40,IF(H433=CVSSv3!$D$14,CVSSv3!$D$40,IF(H433=CVSSv3!$E$14,CVSSv3!$E$40,"")))&amp;")"</f>
        <v>(AV:N/AC:H/PR:N/UI:N/S:C/C:H/I:H/A:H/E:H/RL:U/RC:C)</v>
      </c>
      <c r="H434" s="87"/>
      <c r="I434" s="88"/>
      <c r="J434" s="89"/>
      <c r="K434" s="89"/>
      <c r="L434" s="85"/>
      <c r="M434" s="85"/>
      <c r="N434" s="85"/>
      <c r="O434" s="85"/>
    </row>
    <row r="435" spans="1:15" x14ac:dyDescent="0.25">
      <c r="A435" s="89">
        <v>37</v>
      </c>
      <c r="B435" s="85" t="s">
        <v>750</v>
      </c>
      <c r="C435" s="85" t="s">
        <v>17</v>
      </c>
      <c r="D435" s="85" t="s">
        <v>17</v>
      </c>
      <c r="E435" s="85" t="s">
        <v>17</v>
      </c>
      <c r="F435"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35" s="82" t="str">
        <f>CVSSv3!$A$4</f>
        <v>Vector de ataque:</v>
      </c>
      <c r="H435" s="84" t="s">
        <v>706</v>
      </c>
      <c r="I435" s="88">
        <f>ROUNDUP((IF((IF(H439=CVSSv3!$C$8,(6.42*(1-((1-(IF(H440=CVSSv3!$C$9,CVSSv3!$C$22,(IF(H440=CVSSv3!$D$9,CVSSv3!$D$22,(IF(H440=CVSSv3!$E$9,CVSSv3!$E$22,"")))))))*(1-(IF(H441=CVSSv3!$C$10,CVSSv3!$C$23,(IF(H441=CVSSv3!$D$10,CVSSv3!$D$23,(IF(H441=CVSSv3!$E$10,CVSSv3!$E$23,"")))))))*(1-(IF(H442=CVSSv3!$C$11,CVSSv3!$C$24,(IF(H442=CVSSv3!$D$11,CVSSv3!$D$24,(IF(H442=CVSSv3!$E$11,CVSSv3!$E$24,"")))))))))),((7.52*((1-((1-(IF(H440=CVSSv3!$C$9,CVSSv3!$C$22,(IF(H440=CVSSv3!$D$9,CVSSv3!$D$22,(IF(H440=CVSSv3!$E$9,CVSSv3!$E$22,"")))))))*(1-(IF(H441=CVSSv3!$C$10,CVSSv3!$C$23,(IF(H441=CVSSv3!$D$10,CVSSv3!$D$23,(IF(H441=CVSSv3!$E$10,CVSSv3!$E$23,"")))))))*(1-(IF(H442=CVSSv3!$C$11,CVSSv3!$C$24,(IF(H442=CVSSv3!$D$11,CVSSv3!$D$24,(IF(H442=CVSSv3!$E$11,CVSSv3!$E$24,"")))))))))-0.029))-(3.25*POWER(((1-((1-(IF(H440=CVSSv3!$C$9,CVSSv3!$C$22,(IF(H440=CVSSv3!$D$9,CVSSv3!$D$22,(IF(H440=CVSSv3!$E$9,CVSSv3!$E$22,"")))))))*(1-(IF(H441=CVSSv3!$C$10,CVSSv3!$C$23,(IF(H441=CVSSv3!$D$10,CVSSv3!$D$23,(IF(H441=CVSSv3!$E$10,CVSSv3!$E$23,"")))))))*(1-(IF(H442=CVSSv3!$C$11,CVSSv3!$C$24,(IF(H442=CVSSv3!$D$11,CVSSv3!$D$24,(IF(H442=CVSSv3!$E$11,CVSSv3!$E$24,"")))))))))-0.02),15)))))&lt;=0,0,(IF(H439=CVSSv3!$C$8,ROUNDUP((MIN((IF(H439=CVSSv3!$C$8,(6.42*(1-((1-(IF(H440=CVSSv3!$C$9,CVSSv3!$C$22,(IF(H440=CVSSv3!$D$9,CVSSv3!$D$22,(IF(H440=CVSSv3!$E$9,CVSSv3!$E$22,"")))))))*(1-(IF(H441=CVSSv3!$C$10,CVSSv3!$C$23,(IF(H441=CVSSv3!$D$10,CVSSv3!$D$23,(IF(H441=CVSSv3!$E$10,CVSSv3!$E$23,"")))))))*(1-(IF(H442=CVSSv3!$C$11,CVSSv3!$C$24,(IF(H442=CVSSv3!$D$11,CVSSv3!$D$24,(IF(H442=CVSSv3!$E$11,CVSSv3!$E$24,"")))))))))),((7.52*((1-((1-(IF(H440=CVSSv3!$C$9,CVSSv3!$C$22,(IF(H440=CVSSv3!$D$9,CVSSv3!$D$22,(IF(H440=CVSSv3!$E$9,CVSSv3!$E$22,"")))))))*(1-(IF(H441=CVSSv3!$C$10,CVSSv3!$C$23,(IF(H441=CVSSv3!$D$10,CVSSv3!$D$23,(IF(H441=CVSSv3!$E$10,CVSSv3!$E$23,"")))))))*(1-(IF(H442=CVSSv3!$C$11,CVSSv3!$C$24,(IF(H442=CVSSv3!$D$11,CVSSv3!$D$24,(IF(H442=CVSSv3!$E$11,CVSSv3!$E$24,"")))))))))-0.029))-(3.25*POWER(((1-((1-(IF(H440=CVSSv3!$C$9,CVSSv3!$C$22,(IF(H440=CVSSv3!$D$9,CVSSv3!$D$22,(IF(H440=CVSSv3!$E$9,CVSSv3!$E$22,"")))))))*(1-(IF(H441=CVSSv3!$C$10,CVSSv3!$C$23,(IF(H441=CVSSv3!$D$10,CVSSv3!$D$23,(IF(H441=CVSSv3!$E$10,CVSSv3!$E$23,"")))))))*(1-(IF(H442=CVSSv3!$C$11,CVSSv3!$C$24,(IF(H442=CVSSv3!$D$11,CVSSv3!$D$24,(IF(H442=CVSSv3!$E$11,CVSSv3!$E$24,"")))))))))-0.02),15)))))+(8.22*(IF(H435=CVSSv3!$C$4,CVSSv3!$C$17,(IF(H435=CVSSv3!$D$4,CVSSv3!$D$17,(IF(H435=CVSSv3!$E$4,CVSSv3!$E$17,(IF(H435=CVSSv3!$F$4,CVSSv3!$F$17,""))))))))*(IF(H436=CVSSv3!$C$5,CVSSv3!$C$18,(IF(H436=CVSSv3!$D$5,CVSSv3!$D$18,""))))*(IF(H437=CVSSv3!$C$6,CVSSv3!$C$19,(IF(H437=CVSSv3!$D$6,(IF(H439=CVSSv3!$D$8,0.68,CVSSv3!$D$19)),(IF(H437=CVSSv3!$E$6,(IF(H439=CVSSv3!$D$8,0.5,CVSSv3!$E$19))))))))*(IF(H438=CVSSv3!$C$7,CVSSv3!$C$20,(IF(H438=CVSSv3!$D$7,CVSSv3!$D$20,""))))),10)),1),ROUNDUP((MIN(1.08*((IF(H439=CVSSv3!$C$8,(6.42*(1-((1-(IF(H440=CVSSv3!$C$9,CVSSv3!$C$22,(IF(H440=CVSSv3!$D$9,CVSSv3!$D$22,(IF(H440=CVSSv3!$E$9,CVSSv3!$E$22,"")))))))*(1-(IF(H441=CVSSv3!$C$10,CVSSv3!$C$23,(IF(H441=CVSSv3!$D$10,CVSSv3!$D$23,(IF(H441=CVSSv3!$E$10,CVSSv3!$E$23,"")))))))*(1-(IF(H442=CVSSv3!$C$11,CVSSv3!$C$24,(IF(H442=CVSSv3!$D$11,CVSSv3!$D$24,(IF(H442=CVSSv3!$E$11,CVSSv3!$E$24,"")))))))))),((7.52*((1-((1-(IF(H440=CVSSv3!$C$9,CVSSv3!$C$22,(IF(H440=CVSSv3!$D$9,CVSSv3!$D$22,(IF(H440=CVSSv3!$E$9,CVSSv3!$E$22,"")))))))*(1-(IF(H441=CVSSv3!$C$10,CVSSv3!$C$23,(IF(H441=CVSSv3!$D$10,CVSSv3!$D$23,(IF(H441=CVSSv3!$E$10,CVSSv3!$E$23,"")))))))*(1-(IF(H442=CVSSv3!$C$11,CVSSv3!$C$24,(IF(H442=CVSSv3!$D$11,CVSSv3!$D$24,(IF(H442=CVSSv3!$E$11,CVSSv3!$E$24,"")))))))))-0.029))-(3.25*POWER(((1-((1-(IF(H440=CVSSv3!$C$9,CVSSv3!$C$22,(IF(H440=CVSSv3!$D$9,CVSSv3!$D$22,(IF(H440=CVSSv3!$E$9,CVSSv3!$E$22,"")))))))*(1-(IF(H441=CVSSv3!$C$10,CVSSv3!$C$23,(IF(H441=CVSSv3!$D$10,CVSSv3!$D$23,(IF(H441=CVSSv3!$E$10,CVSSv3!$E$23,"")))))))*(1-(IF(H442=CVSSv3!$C$11,CVSSv3!$C$24,(IF(H442=CVSSv3!$D$11,CVSSv3!$D$24,(IF(H442=CVSSv3!$E$11,CVSSv3!$E$24,"")))))))))-0.02),15)))))+(8.22*(IF(H435=CVSSv3!$C$4,CVSSv3!$C$17,(IF(H435=CVSSv3!$D$4,CVSSv3!$D$17,(IF(H435=CVSSv3!$E$4,CVSSv3!$E$17,(IF(H435=CVSSv3!$F$4,CVSSv3!$F$17,""))))))))*(IF(H436=CVSSv3!$C$5,CVSSv3!$C$18,(IF(H436=CVSSv3!$D$5,CVSSv3!$D$18,""))))*(IF(H437=CVSSv3!$C$6,CVSSv3!$C$19,(IF(H437=CVSSv3!$D$6,(IF(H439=CVSSv3!$D$8,0.68,CVSSv3!$D$19)),(IF(H437=CVSSv3!$E$6,(IF(H439=CVSSv3!$D$8,0.5,CVSSv3!$E$19))))))))*(IF(H438=CVSSv3!$C$7,CVSSv3!$C$20,(IF(H438=CVSSv3!$D$7,CVSSv3!$D$20,"")))))),10)),1))))*(IF(H443=CVSSv3!$C$12,CVSSv3!$C$25,(IF(H443=CVSSv3!$D$12,CVSSv3!$D$25,(IF(H443=CVSSv3!$E$12,CVSSv3!$E$25,(IF(H443=CVSSv3!$F$12,CVSSv3!$F$25,""))))))))*(IF(H444=CVSSv3!$C$13,CVSSv3!$C$26,(IF(H444=CVSSv3!$D$13,CVSSv3!$D$26,(IF(H444=CVSSv3!$E$13,CVSSv3!$E$26,(IF(H444=CVSSv3!$F$13,CVSSv3!$F$26,""))))))))*(IF(H445=CVSSv3!$C$14,CVSSv3!$C$27,(IF(H445=CVSSv3!$D$14,CVSSv3!$D$27,(IF(H445=CVSSv3!$E$14,CVSSv3!$E$27,""))))))),1)</f>
        <v>9</v>
      </c>
      <c r="J435" s="89">
        <v>0</v>
      </c>
      <c r="K435" s="89">
        <v>0</v>
      </c>
      <c r="L435" s="85" t="s">
        <v>17</v>
      </c>
      <c r="M435" s="85" t="s">
        <v>17</v>
      </c>
      <c r="N435" s="85" t="s">
        <v>707</v>
      </c>
      <c r="O435" s="85" t="s">
        <v>708</v>
      </c>
    </row>
    <row r="436" spans="1:15" x14ac:dyDescent="0.25">
      <c r="A436" s="89"/>
      <c r="B436" s="85"/>
      <c r="C436" s="85"/>
      <c r="D436" s="85"/>
      <c r="E436" s="85"/>
      <c r="F436" s="85"/>
      <c r="G436" s="80" t="str">
        <f>CVSSv3!$A$5</f>
        <v>Complejidad de ataque:</v>
      </c>
      <c r="H436" s="81" t="s">
        <v>709</v>
      </c>
      <c r="I436" s="88"/>
      <c r="J436" s="89"/>
      <c r="K436" s="89"/>
      <c r="L436" s="85"/>
      <c r="M436" s="85"/>
      <c r="N436" s="85"/>
      <c r="O436" s="85"/>
    </row>
    <row r="437" spans="1:15" x14ac:dyDescent="0.25">
      <c r="A437" s="89"/>
      <c r="B437" s="85"/>
      <c r="C437" s="85"/>
      <c r="D437" s="85"/>
      <c r="E437" s="85"/>
      <c r="F437" s="85"/>
      <c r="G437" s="80" t="str">
        <f>CVSSv3!$A$6</f>
        <v>Privilegios requeridos:</v>
      </c>
      <c r="H437" s="81" t="s">
        <v>710</v>
      </c>
      <c r="I437" s="88"/>
      <c r="J437" s="89"/>
      <c r="K437" s="89"/>
      <c r="L437" s="85"/>
      <c r="M437" s="85"/>
      <c r="N437" s="85"/>
      <c r="O437" s="85"/>
    </row>
    <row r="438" spans="1:15" x14ac:dyDescent="0.25">
      <c r="A438" s="89"/>
      <c r="B438" s="85"/>
      <c r="C438" s="85"/>
      <c r="D438" s="85"/>
      <c r="E438" s="85"/>
      <c r="F438" s="85"/>
      <c r="G438" s="80" t="str">
        <f>CVSSv3!$A$7</f>
        <v>Interacción del usuario:</v>
      </c>
      <c r="H438" s="81" t="s">
        <v>711</v>
      </c>
      <c r="I438" s="88"/>
      <c r="J438" s="89"/>
      <c r="K438" s="89"/>
      <c r="L438" s="85"/>
      <c r="M438" s="85"/>
      <c r="N438" s="85"/>
      <c r="O438" s="85"/>
    </row>
    <row r="439" spans="1:15" x14ac:dyDescent="0.25">
      <c r="A439" s="89"/>
      <c r="B439" s="85"/>
      <c r="C439" s="85"/>
      <c r="D439" s="85"/>
      <c r="E439" s="85"/>
      <c r="F439" s="85"/>
      <c r="G439" s="80" t="str">
        <f>CVSSv3!$A$8</f>
        <v>Alcance:</v>
      </c>
      <c r="H439" s="81" t="s">
        <v>712</v>
      </c>
      <c r="I439" s="88"/>
      <c r="J439" s="89"/>
      <c r="K439" s="89"/>
      <c r="L439" s="85"/>
      <c r="M439" s="85"/>
      <c r="N439" s="85"/>
      <c r="O439" s="85"/>
    </row>
    <row r="440" spans="1:15" x14ac:dyDescent="0.25">
      <c r="A440" s="89"/>
      <c r="B440" s="85"/>
      <c r="C440" s="85"/>
      <c r="D440" s="85"/>
      <c r="E440" s="85"/>
      <c r="F440" s="85"/>
      <c r="G440" s="80" t="str">
        <f>CVSSv3!$A$9</f>
        <v>Impacto a la confidencialidad:</v>
      </c>
      <c r="H440" s="81" t="s">
        <v>713</v>
      </c>
      <c r="I440" s="88"/>
      <c r="J440" s="89"/>
      <c r="K440" s="89"/>
      <c r="L440" s="85"/>
      <c r="M440" s="85"/>
      <c r="N440" s="85"/>
      <c r="O440" s="85"/>
    </row>
    <row r="441" spans="1:15" x14ac:dyDescent="0.25">
      <c r="A441" s="89"/>
      <c r="B441" s="85"/>
      <c r="C441" s="85"/>
      <c r="D441" s="85"/>
      <c r="E441" s="85"/>
      <c r="F441" s="85"/>
      <c r="G441" s="80" t="str">
        <f>CVSSv3!$A$10</f>
        <v>Impacto a la integridad:</v>
      </c>
      <c r="H441" s="81" t="s">
        <v>713</v>
      </c>
      <c r="I441" s="88"/>
      <c r="J441" s="89"/>
      <c r="K441" s="89"/>
      <c r="L441" s="85"/>
      <c r="M441" s="85"/>
      <c r="N441" s="85"/>
      <c r="O441" s="85"/>
    </row>
    <row r="442" spans="1:15" x14ac:dyDescent="0.25">
      <c r="A442" s="89"/>
      <c r="B442" s="85"/>
      <c r="C442" s="85"/>
      <c r="D442" s="85"/>
      <c r="E442" s="85"/>
      <c r="F442" s="85"/>
      <c r="G442" s="80" t="str">
        <f>CVSSv3!$A$11</f>
        <v>Impacto a la disponibilidad:</v>
      </c>
      <c r="H442" s="81" t="s">
        <v>713</v>
      </c>
      <c r="I442" s="88"/>
      <c r="J442" s="89"/>
      <c r="K442" s="89"/>
      <c r="L442" s="85"/>
      <c r="M442" s="85"/>
      <c r="N442" s="85"/>
      <c r="O442" s="85"/>
    </row>
    <row r="443" spans="1:15" x14ac:dyDescent="0.25">
      <c r="A443" s="89"/>
      <c r="B443" s="85"/>
      <c r="C443" s="85"/>
      <c r="D443" s="85"/>
      <c r="E443" s="85"/>
      <c r="F443" s="85"/>
      <c r="G443" s="80" t="str">
        <f>CVSSv3!$A$12</f>
        <v>Explotabilidad:</v>
      </c>
      <c r="H443" s="81" t="s">
        <v>709</v>
      </c>
      <c r="I443" s="88"/>
      <c r="J443" s="89"/>
      <c r="K443" s="89"/>
      <c r="L443" s="85"/>
      <c r="M443" s="85"/>
      <c r="N443" s="85"/>
      <c r="O443" s="85"/>
    </row>
    <row r="444" spans="1:15" x14ac:dyDescent="0.25">
      <c r="A444" s="89"/>
      <c r="B444" s="85"/>
      <c r="C444" s="85"/>
      <c r="D444" s="85"/>
      <c r="E444" s="85"/>
      <c r="F444" s="85"/>
      <c r="G444" s="80" t="str">
        <f>CVSSv3!$A$13</f>
        <v>Nivel de resolución:</v>
      </c>
      <c r="H444" s="81" t="s">
        <v>714</v>
      </c>
      <c r="I444" s="88"/>
      <c r="J444" s="89"/>
      <c r="K444" s="89"/>
      <c r="L444" s="85"/>
      <c r="M444" s="85"/>
      <c r="N444" s="85"/>
      <c r="O444" s="85"/>
    </row>
    <row r="445" spans="1:15" x14ac:dyDescent="0.25">
      <c r="A445" s="89"/>
      <c r="B445" s="85"/>
      <c r="C445" s="85"/>
      <c r="D445" s="85"/>
      <c r="E445" s="85"/>
      <c r="F445" s="85"/>
      <c r="G445" s="80" t="str">
        <f>CVSSv3!$A$14</f>
        <v>Nivel de confianza</v>
      </c>
      <c r="H445" s="81" t="s">
        <v>715</v>
      </c>
      <c r="I445" s="88"/>
      <c r="J445" s="89"/>
      <c r="K445" s="89"/>
      <c r="L445" s="85"/>
      <c r="M445" s="85"/>
      <c r="N445" s="85"/>
      <c r="O445" s="85"/>
    </row>
    <row r="446" spans="1:15" x14ac:dyDescent="0.25">
      <c r="A446" s="89"/>
      <c r="B446" s="85"/>
      <c r="C446" s="85"/>
      <c r="D446" s="85"/>
      <c r="E446" s="85"/>
      <c r="F446" s="85"/>
      <c r="G446" s="86" t="str">
        <f>"("&amp;CVSSv3!$B$4&amp;":"&amp;IF(H435=CVSSv3!$C$4,CVSSv3!$C$30,IF(H435=CVSSv3!$D$4,CVSSv3!$D$30,IF(H435=CVSSv3!$E$4,CVSSv3!$E$30,IF(H435=CVSSv3!$F$4,CVSSv3!$F$30,""))))&amp;"/"&amp;CVSSv3!$B$5&amp;":"&amp;IF(H436=CVSSv3!$C$5,CVSSv3!$C$31,IF(H436=CVSSv3!$D$5,CVSSv3!$D$31,""))&amp;"/"&amp;CVSSv3!$B$6&amp;":"&amp;IF(H437=CVSSv3!$C$6,CVSSv3!$C$32,IF(H437=CVSSv3!$D$6,CVSSv3!$D$32,IF(H437=CVSSv3!$E$6,CVSSv3!$E$32,"")))&amp;"/"&amp;CVSSv3!$B$7&amp;":"&amp;IF(H438=CVSSv3!$C$7,CVSSv3!$C$33,IF(H438=CVSSv3!$D$7,CVSSv3!$D$33,""))&amp;"/"&amp;CVSSv3!$B$8&amp;":"&amp;IF(H439=CVSSv3!$C$8,CVSSv3!$C$34,IF(H439=CVSSv3!$D$8,CVSSv3!$D$34,""))&amp;"/"&amp;CVSSv3!$B$9&amp;":"&amp;IF(H440=CVSSv3!$C$9,CVSSv3!$C$35,IF(H440=CVSSv3!$D$9,CVSSv3!$D$35,IF(H440=CVSSv3!$E$9,CVSSv3!$E$35,"")))&amp;"/"&amp;CVSSv3!$B$10&amp;":"&amp;IF(H441=CVSSv3!$C$10,CVSSv3!$C$36,IF(H441=CVSSv3!$D$10,CVSSv3!$D$36,IF(H441=CVSSv3!$E$10,CVSSv3!$E$36,"")))&amp;"/"&amp;CVSSv3!$B$11&amp;":"&amp;IF(H442=CVSSv3!$C$11,CVSSv3!$C$37,IF(H442=CVSSv3!$D$11,CVSSv3!$D$37,IF(H442=CVSSv3!$E$11,CVSSv3!$E$37,"")))&amp;"/"&amp;CVSSv3!$B$12&amp;":"&amp;IF(H443=CVSSv3!$C$12,CVSSv3!$C$38,IF(H443=CVSSv3!$D$12,CVSSv3!$D$38,IF(H443=CVSSv3!$E$12,CVSSv3!$E$38,IF(H443=CVSSv3!$F$12,CVSSv3!$F$38,""))))&amp;"/"&amp;CVSSv3!$B$13&amp;":"&amp;IF(H444=CVSSv3!$C$13,CVSSv3!$C$39,IF(H444=CVSSv3!$D$13,CVSSv3!$D$39,IF(H444=CVSSv3!$E$13,CVSSv3!$E$39,IF(H444=CVSSv3!$F$13,CVSSv3!$F$39,""))))&amp;"/"&amp;CVSSv3!$B$14&amp;":"&amp;IF(H445=CVSSv3!$C$14,CVSSv3!$C$40,IF(H445=CVSSv3!$D$14,CVSSv3!$D$40,IF(H445=CVSSv3!$E$14,CVSSv3!$E$40,"")))&amp;")"</f>
        <v>(AV:N/AC:H/PR:N/UI:N/S:C/C:H/I:H/A:H/E:H/RL:U/RC:C)</v>
      </c>
      <c r="H446" s="87"/>
      <c r="I446" s="88"/>
      <c r="J446" s="89"/>
      <c r="K446" s="89"/>
      <c r="L446" s="85"/>
      <c r="M446" s="85"/>
      <c r="N446" s="85"/>
      <c r="O446" s="85"/>
    </row>
    <row r="447" spans="1:15" x14ac:dyDescent="0.25">
      <c r="A447" s="89">
        <v>38</v>
      </c>
      <c r="B447" s="85" t="s">
        <v>751</v>
      </c>
      <c r="C447" s="85" t="s">
        <v>17</v>
      </c>
      <c r="D447" s="85" t="s">
        <v>17</v>
      </c>
      <c r="E447" s="85" t="s">
        <v>17</v>
      </c>
      <c r="F447"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47" s="82" t="str">
        <f>CVSSv3!$A$4</f>
        <v>Vector de ataque:</v>
      </c>
      <c r="H447" s="84" t="s">
        <v>706</v>
      </c>
      <c r="I447" s="88">
        <f>ROUNDUP((IF((IF(H451=CVSSv3!$C$8,(6.42*(1-((1-(IF(H452=CVSSv3!$C$9,CVSSv3!$C$22,(IF(H452=CVSSv3!$D$9,CVSSv3!$D$22,(IF(H452=CVSSv3!$E$9,CVSSv3!$E$22,"")))))))*(1-(IF(H453=CVSSv3!$C$10,CVSSv3!$C$23,(IF(H453=CVSSv3!$D$10,CVSSv3!$D$23,(IF(H453=CVSSv3!$E$10,CVSSv3!$E$23,"")))))))*(1-(IF(H454=CVSSv3!$C$11,CVSSv3!$C$24,(IF(H454=CVSSv3!$D$11,CVSSv3!$D$24,(IF(H454=CVSSv3!$E$11,CVSSv3!$E$24,"")))))))))),((7.52*((1-((1-(IF(H452=CVSSv3!$C$9,CVSSv3!$C$22,(IF(H452=CVSSv3!$D$9,CVSSv3!$D$22,(IF(H452=CVSSv3!$E$9,CVSSv3!$E$22,"")))))))*(1-(IF(H453=CVSSv3!$C$10,CVSSv3!$C$23,(IF(H453=CVSSv3!$D$10,CVSSv3!$D$23,(IF(H453=CVSSv3!$E$10,CVSSv3!$E$23,"")))))))*(1-(IF(H454=CVSSv3!$C$11,CVSSv3!$C$24,(IF(H454=CVSSv3!$D$11,CVSSv3!$D$24,(IF(H454=CVSSv3!$E$11,CVSSv3!$E$24,"")))))))))-0.029))-(3.25*POWER(((1-((1-(IF(H452=CVSSv3!$C$9,CVSSv3!$C$22,(IF(H452=CVSSv3!$D$9,CVSSv3!$D$22,(IF(H452=CVSSv3!$E$9,CVSSv3!$E$22,"")))))))*(1-(IF(H453=CVSSv3!$C$10,CVSSv3!$C$23,(IF(H453=CVSSv3!$D$10,CVSSv3!$D$23,(IF(H453=CVSSv3!$E$10,CVSSv3!$E$23,"")))))))*(1-(IF(H454=CVSSv3!$C$11,CVSSv3!$C$24,(IF(H454=CVSSv3!$D$11,CVSSv3!$D$24,(IF(H454=CVSSv3!$E$11,CVSSv3!$E$24,"")))))))))-0.02),15)))))&lt;=0,0,(IF(H451=CVSSv3!$C$8,ROUNDUP((MIN((IF(H451=CVSSv3!$C$8,(6.42*(1-((1-(IF(H452=CVSSv3!$C$9,CVSSv3!$C$22,(IF(H452=CVSSv3!$D$9,CVSSv3!$D$22,(IF(H452=CVSSv3!$E$9,CVSSv3!$E$22,"")))))))*(1-(IF(H453=CVSSv3!$C$10,CVSSv3!$C$23,(IF(H453=CVSSv3!$D$10,CVSSv3!$D$23,(IF(H453=CVSSv3!$E$10,CVSSv3!$E$23,"")))))))*(1-(IF(H454=CVSSv3!$C$11,CVSSv3!$C$24,(IF(H454=CVSSv3!$D$11,CVSSv3!$D$24,(IF(H454=CVSSv3!$E$11,CVSSv3!$E$24,"")))))))))),((7.52*((1-((1-(IF(H452=CVSSv3!$C$9,CVSSv3!$C$22,(IF(H452=CVSSv3!$D$9,CVSSv3!$D$22,(IF(H452=CVSSv3!$E$9,CVSSv3!$E$22,"")))))))*(1-(IF(H453=CVSSv3!$C$10,CVSSv3!$C$23,(IF(H453=CVSSv3!$D$10,CVSSv3!$D$23,(IF(H453=CVSSv3!$E$10,CVSSv3!$E$23,"")))))))*(1-(IF(H454=CVSSv3!$C$11,CVSSv3!$C$24,(IF(H454=CVSSv3!$D$11,CVSSv3!$D$24,(IF(H454=CVSSv3!$E$11,CVSSv3!$E$24,"")))))))))-0.029))-(3.25*POWER(((1-((1-(IF(H452=CVSSv3!$C$9,CVSSv3!$C$22,(IF(H452=CVSSv3!$D$9,CVSSv3!$D$22,(IF(H452=CVSSv3!$E$9,CVSSv3!$E$22,"")))))))*(1-(IF(H453=CVSSv3!$C$10,CVSSv3!$C$23,(IF(H453=CVSSv3!$D$10,CVSSv3!$D$23,(IF(H453=CVSSv3!$E$10,CVSSv3!$E$23,"")))))))*(1-(IF(H454=CVSSv3!$C$11,CVSSv3!$C$24,(IF(H454=CVSSv3!$D$11,CVSSv3!$D$24,(IF(H454=CVSSv3!$E$11,CVSSv3!$E$24,"")))))))))-0.02),15)))))+(8.22*(IF(H447=CVSSv3!$C$4,CVSSv3!$C$17,(IF(H447=CVSSv3!$D$4,CVSSv3!$D$17,(IF(H447=CVSSv3!$E$4,CVSSv3!$E$17,(IF(H447=CVSSv3!$F$4,CVSSv3!$F$17,""))))))))*(IF(H448=CVSSv3!$C$5,CVSSv3!$C$18,(IF(H448=CVSSv3!$D$5,CVSSv3!$D$18,""))))*(IF(H449=CVSSv3!$C$6,CVSSv3!$C$19,(IF(H449=CVSSv3!$D$6,(IF(H451=CVSSv3!$D$8,0.68,CVSSv3!$D$19)),(IF(H449=CVSSv3!$E$6,(IF(H451=CVSSv3!$D$8,0.5,CVSSv3!$E$19))))))))*(IF(H450=CVSSv3!$C$7,CVSSv3!$C$20,(IF(H450=CVSSv3!$D$7,CVSSv3!$D$20,""))))),10)),1),ROUNDUP((MIN(1.08*((IF(H451=CVSSv3!$C$8,(6.42*(1-((1-(IF(H452=CVSSv3!$C$9,CVSSv3!$C$22,(IF(H452=CVSSv3!$D$9,CVSSv3!$D$22,(IF(H452=CVSSv3!$E$9,CVSSv3!$E$22,"")))))))*(1-(IF(H453=CVSSv3!$C$10,CVSSv3!$C$23,(IF(H453=CVSSv3!$D$10,CVSSv3!$D$23,(IF(H453=CVSSv3!$E$10,CVSSv3!$E$23,"")))))))*(1-(IF(H454=CVSSv3!$C$11,CVSSv3!$C$24,(IF(H454=CVSSv3!$D$11,CVSSv3!$D$24,(IF(H454=CVSSv3!$E$11,CVSSv3!$E$24,"")))))))))),((7.52*((1-((1-(IF(H452=CVSSv3!$C$9,CVSSv3!$C$22,(IF(H452=CVSSv3!$D$9,CVSSv3!$D$22,(IF(H452=CVSSv3!$E$9,CVSSv3!$E$22,"")))))))*(1-(IF(H453=CVSSv3!$C$10,CVSSv3!$C$23,(IF(H453=CVSSv3!$D$10,CVSSv3!$D$23,(IF(H453=CVSSv3!$E$10,CVSSv3!$E$23,"")))))))*(1-(IF(H454=CVSSv3!$C$11,CVSSv3!$C$24,(IF(H454=CVSSv3!$D$11,CVSSv3!$D$24,(IF(H454=CVSSv3!$E$11,CVSSv3!$E$24,"")))))))))-0.029))-(3.25*POWER(((1-((1-(IF(H452=CVSSv3!$C$9,CVSSv3!$C$22,(IF(H452=CVSSv3!$D$9,CVSSv3!$D$22,(IF(H452=CVSSv3!$E$9,CVSSv3!$E$22,"")))))))*(1-(IF(H453=CVSSv3!$C$10,CVSSv3!$C$23,(IF(H453=CVSSv3!$D$10,CVSSv3!$D$23,(IF(H453=CVSSv3!$E$10,CVSSv3!$E$23,"")))))))*(1-(IF(H454=CVSSv3!$C$11,CVSSv3!$C$24,(IF(H454=CVSSv3!$D$11,CVSSv3!$D$24,(IF(H454=CVSSv3!$E$11,CVSSv3!$E$24,"")))))))))-0.02),15)))))+(8.22*(IF(H447=CVSSv3!$C$4,CVSSv3!$C$17,(IF(H447=CVSSv3!$D$4,CVSSv3!$D$17,(IF(H447=CVSSv3!$E$4,CVSSv3!$E$17,(IF(H447=CVSSv3!$F$4,CVSSv3!$F$17,""))))))))*(IF(H448=CVSSv3!$C$5,CVSSv3!$C$18,(IF(H448=CVSSv3!$D$5,CVSSv3!$D$18,""))))*(IF(H449=CVSSv3!$C$6,CVSSv3!$C$19,(IF(H449=CVSSv3!$D$6,(IF(H451=CVSSv3!$D$8,0.68,CVSSv3!$D$19)),(IF(H449=CVSSv3!$E$6,(IF(H451=CVSSv3!$D$8,0.5,CVSSv3!$E$19))))))))*(IF(H450=CVSSv3!$C$7,CVSSv3!$C$20,(IF(H450=CVSSv3!$D$7,CVSSv3!$D$20,"")))))),10)),1))))*(IF(H455=CVSSv3!$C$12,CVSSv3!$C$25,(IF(H455=CVSSv3!$D$12,CVSSv3!$D$25,(IF(H455=CVSSv3!$E$12,CVSSv3!$E$25,(IF(H455=CVSSv3!$F$12,CVSSv3!$F$25,""))))))))*(IF(H456=CVSSv3!$C$13,CVSSv3!$C$26,(IF(H456=CVSSv3!$D$13,CVSSv3!$D$26,(IF(H456=CVSSv3!$E$13,CVSSv3!$E$26,(IF(H456=CVSSv3!$F$13,CVSSv3!$F$26,""))))))))*(IF(H457=CVSSv3!$C$14,CVSSv3!$C$27,(IF(H457=CVSSv3!$D$14,CVSSv3!$D$27,(IF(H457=CVSSv3!$E$14,CVSSv3!$E$27,""))))))),1)</f>
        <v>9</v>
      </c>
      <c r="J447" s="89">
        <v>0</v>
      </c>
      <c r="K447" s="89">
        <v>0</v>
      </c>
      <c r="L447" s="85" t="s">
        <v>17</v>
      </c>
      <c r="M447" s="85" t="s">
        <v>17</v>
      </c>
      <c r="N447" s="85" t="s">
        <v>707</v>
      </c>
      <c r="O447" s="85" t="s">
        <v>708</v>
      </c>
    </row>
    <row r="448" spans="1:15" x14ac:dyDescent="0.25">
      <c r="A448" s="89"/>
      <c r="B448" s="85"/>
      <c r="C448" s="85"/>
      <c r="D448" s="85"/>
      <c r="E448" s="85"/>
      <c r="F448" s="85"/>
      <c r="G448" s="80" t="str">
        <f>CVSSv3!$A$5</f>
        <v>Complejidad de ataque:</v>
      </c>
      <c r="H448" s="81" t="s">
        <v>709</v>
      </c>
      <c r="I448" s="88"/>
      <c r="J448" s="89"/>
      <c r="K448" s="89"/>
      <c r="L448" s="85"/>
      <c r="M448" s="85"/>
      <c r="N448" s="85"/>
      <c r="O448" s="85"/>
    </row>
    <row r="449" spans="1:15" x14ac:dyDescent="0.25">
      <c r="A449" s="89"/>
      <c r="B449" s="85"/>
      <c r="C449" s="85"/>
      <c r="D449" s="85"/>
      <c r="E449" s="85"/>
      <c r="F449" s="85"/>
      <c r="G449" s="80" t="str">
        <f>CVSSv3!$A$6</f>
        <v>Privilegios requeridos:</v>
      </c>
      <c r="H449" s="81" t="s">
        <v>710</v>
      </c>
      <c r="I449" s="88"/>
      <c r="J449" s="89"/>
      <c r="K449" s="89"/>
      <c r="L449" s="85"/>
      <c r="M449" s="85"/>
      <c r="N449" s="85"/>
      <c r="O449" s="85"/>
    </row>
    <row r="450" spans="1:15" x14ac:dyDescent="0.25">
      <c r="A450" s="89"/>
      <c r="B450" s="85"/>
      <c r="C450" s="85"/>
      <c r="D450" s="85"/>
      <c r="E450" s="85"/>
      <c r="F450" s="85"/>
      <c r="G450" s="80" t="str">
        <f>CVSSv3!$A$7</f>
        <v>Interacción del usuario:</v>
      </c>
      <c r="H450" s="81" t="s">
        <v>711</v>
      </c>
      <c r="I450" s="88"/>
      <c r="J450" s="89"/>
      <c r="K450" s="89"/>
      <c r="L450" s="85"/>
      <c r="M450" s="85"/>
      <c r="N450" s="85"/>
      <c r="O450" s="85"/>
    </row>
    <row r="451" spans="1:15" x14ac:dyDescent="0.25">
      <c r="A451" s="89"/>
      <c r="B451" s="85"/>
      <c r="C451" s="85"/>
      <c r="D451" s="85"/>
      <c r="E451" s="85"/>
      <c r="F451" s="85"/>
      <c r="G451" s="80" t="str">
        <f>CVSSv3!$A$8</f>
        <v>Alcance:</v>
      </c>
      <c r="H451" s="81" t="s">
        <v>712</v>
      </c>
      <c r="I451" s="88"/>
      <c r="J451" s="89"/>
      <c r="K451" s="89"/>
      <c r="L451" s="85"/>
      <c r="M451" s="85"/>
      <c r="N451" s="85"/>
      <c r="O451" s="85"/>
    </row>
    <row r="452" spans="1:15" x14ac:dyDescent="0.25">
      <c r="A452" s="89"/>
      <c r="B452" s="85"/>
      <c r="C452" s="85"/>
      <c r="D452" s="85"/>
      <c r="E452" s="85"/>
      <c r="F452" s="85"/>
      <c r="G452" s="80" t="str">
        <f>CVSSv3!$A$9</f>
        <v>Impacto a la confidencialidad:</v>
      </c>
      <c r="H452" s="81" t="s">
        <v>713</v>
      </c>
      <c r="I452" s="88"/>
      <c r="J452" s="89"/>
      <c r="K452" s="89"/>
      <c r="L452" s="85"/>
      <c r="M452" s="85"/>
      <c r="N452" s="85"/>
      <c r="O452" s="85"/>
    </row>
    <row r="453" spans="1:15" x14ac:dyDescent="0.25">
      <c r="A453" s="89"/>
      <c r="B453" s="85"/>
      <c r="C453" s="85"/>
      <c r="D453" s="85"/>
      <c r="E453" s="85"/>
      <c r="F453" s="85"/>
      <c r="G453" s="80" t="str">
        <f>CVSSv3!$A$10</f>
        <v>Impacto a la integridad:</v>
      </c>
      <c r="H453" s="81" t="s">
        <v>713</v>
      </c>
      <c r="I453" s="88"/>
      <c r="J453" s="89"/>
      <c r="K453" s="89"/>
      <c r="L453" s="85"/>
      <c r="M453" s="85"/>
      <c r="N453" s="85"/>
      <c r="O453" s="85"/>
    </row>
    <row r="454" spans="1:15" x14ac:dyDescent="0.25">
      <c r="A454" s="89"/>
      <c r="B454" s="85"/>
      <c r="C454" s="85"/>
      <c r="D454" s="85"/>
      <c r="E454" s="85"/>
      <c r="F454" s="85"/>
      <c r="G454" s="80" t="str">
        <f>CVSSv3!$A$11</f>
        <v>Impacto a la disponibilidad:</v>
      </c>
      <c r="H454" s="81" t="s">
        <v>713</v>
      </c>
      <c r="I454" s="88"/>
      <c r="J454" s="89"/>
      <c r="K454" s="89"/>
      <c r="L454" s="85"/>
      <c r="M454" s="85"/>
      <c r="N454" s="85"/>
      <c r="O454" s="85"/>
    </row>
    <row r="455" spans="1:15" x14ac:dyDescent="0.25">
      <c r="A455" s="89"/>
      <c r="B455" s="85"/>
      <c r="C455" s="85"/>
      <c r="D455" s="85"/>
      <c r="E455" s="85"/>
      <c r="F455" s="85"/>
      <c r="G455" s="80" t="str">
        <f>CVSSv3!$A$12</f>
        <v>Explotabilidad:</v>
      </c>
      <c r="H455" s="81" t="s">
        <v>709</v>
      </c>
      <c r="I455" s="88"/>
      <c r="J455" s="89"/>
      <c r="K455" s="89"/>
      <c r="L455" s="85"/>
      <c r="M455" s="85"/>
      <c r="N455" s="85"/>
      <c r="O455" s="85"/>
    </row>
    <row r="456" spans="1:15" x14ac:dyDescent="0.25">
      <c r="A456" s="89"/>
      <c r="B456" s="85"/>
      <c r="C456" s="85"/>
      <c r="D456" s="85"/>
      <c r="E456" s="85"/>
      <c r="F456" s="85"/>
      <c r="G456" s="80" t="str">
        <f>CVSSv3!$A$13</f>
        <v>Nivel de resolución:</v>
      </c>
      <c r="H456" s="81" t="s">
        <v>714</v>
      </c>
      <c r="I456" s="88"/>
      <c r="J456" s="89"/>
      <c r="K456" s="89"/>
      <c r="L456" s="85"/>
      <c r="M456" s="85"/>
      <c r="N456" s="85"/>
      <c r="O456" s="85"/>
    </row>
    <row r="457" spans="1:15" x14ac:dyDescent="0.25">
      <c r="A457" s="89"/>
      <c r="B457" s="85"/>
      <c r="C457" s="85"/>
      <c r="D457" s="85"/>
      <c r="E457" s="85"/>
      <c r="F457" s="85"/>
      <c r="G457" s="80" t="str">
        <f>CVSSv3!$A$14</f>
        <v>Nivel de confianza</v>
      </c>
      <c r="H457" s="81" t="s">
        <v>715</v>
      </c>
      <c r="I457" s="88"/>
      <c r="J457" s="89"/>
      <c r="K457" s="89"/>
      <c r="L457" s="85"/>
      <c r="M457" s="85"/>
      <c r="N457" s="85"/>
      <c r="O457" s="85"/>
    </row>
    <row r="458" spans="1:15" x14ac:dyDescent="0.25">
      <c r="A458" s="89"/>
      <c r="B458" s="85"/>
      <c r="C458" s="85"/>
      <c r="D458" s="85"/>
      <c r="E458" s="85"/>
      <c r="F458" s="85"/>
      <c r="G458" s="86" t="str">
        <f>"("&amp;CVSSv3!$B$4&amp;":"&amp;IF(H447=CVSSv3!$C$4,CVSSv3!$C$30,IF(H447=CVSSv3!$D$4,CVSSv3!$D$30,IF(H447=CVSSv3!$E$4,CVSSv3!$E$30,IF(H447=CVSSv3!$F$4,CVSSv3!$F$30,""))))&amp;"/"&amp;CVSSv3!$B$5&amp;":"&amp;IF(H448=CVSSv3!$C$5,CVSSv3!$C$31,IF(H448=CVSSv3!$D$5,CVSSv3!$D$31,""))&amp;"/"&amp;CVSSv3!$B$6&amp;":"&amp;IF(H449=CVSSv3!$C$6,CVSSv3!$C$32,IF(H449=CVSSv3!$D$6,CVSSv3!$D$32,IF(H449=CVSSv3!$E$6,CVSSv3!$E$32,"")))&amp;"/"&amp;CVSSv3!$B$7&amp;":"&amp;IF(H450=CVSSv3!$C$7,CVSSv3!$C$33,IF(H450=CVSSv3!$D$7,CVSSv3!$D$33,""))&amp;"/"&amp;CVSSv3!$B$8&amp;":"&amp;IF(H451=CVSSv3!$C$8,CVSSv3!$C$34,IF(H451=CVSSv3!$D$8,CVSSv3!$D$34,""))&amp;"/"&amp;CVSSv3!$B$9&amp;":"&amp;IF(H452=CVSSv3!$C$9,CVSSv3!$C$35,IF(H452=CVSSv3!$D$9,CVSSv3!$D$35,IF(H452=CVSSv3!$E$9,CVSSv3!$E$35,"")))&amp;"/"&amp;CVSSv3!$B$10&amp;":"&amp;IF(H453=CVSSv3!$C$10,CVSSv3!$C$36,IF(H453=CVSSv3!$D$10,CVSSv3!$D$36,IF(H453=CVSSv3!$E$10,CVSSv3!$E$36,"")))&amp;"/"&amp;CVSSv3!$B$11&amp;":"&amp;IF(H454=CVSSv3!$C$11,CVSSv3!$C$37,IF(H454=CVSSv3!$D$11,CVSSv3!$D$37,IF(H454=CVSSv3!$E$11,CVSSv3!$E$37,"")))&amp;"/"&amp;CVSSv3!$B$12&amp;":"&amp;IF(H455=CVSSv3!$C$12,CVSSv3!$C$38,IF(H455=CVSSv3!$D$12,CVSSv3!$D$38,IF(H455=CVSSv3!$E$12,CVSSv3!$E$38,IF(H455=CVSSv3!$F$12,CVSSv3!$F$38,""))))&amp;"/"&amp;CVSSv3!$B$13&amp;":"&amp;IF(H456=CVSSv3!$C$13,CVSSv3!$C$39,IF(H456=CVSSv3!$D$13,CVSSv3!$D$39,IF(H456=CVSSv3!$E$13,CVSSv3!$E$39,IF(H456=CVSSv3!$F$13,CVSSv3!$F$39,""))))&amp;"/"&amp;CVSSv3!$B$14&amp;":"&amp;IF(H457=CVSSv3!$C$14,CVSSv3!$C$40,IF(H457=CVSSv3!$D$14,CVSSv3!$D$40,IF(H457=CVSSv3!$E$14,CVSSv3!$E$40,"")))&amp;")"</f>
        <v>(AV:N/AC:H/PR:N/UI:N/S:C/C:H/I:H/A:H/E:H/RL:U/RC:C)</v>
      </c>
      <c r="H458" s="87"/>
      <c r="I458" s="88"/>
      <c r="J458" s="89"/>
      <c r="K458" s="89"/>
      <c r="L458" s="85"/>
      <c r="M458" s="85"/>
      <c r="N458" s="85"/>
      <c r="O458" s="85"/>
    </row>
    <row r="459" spans="1:15" x14ac:dyDescent="0.25">
      <c r="A459" s="89">
        <v>39</v>
      </c>
      <c r="B459" s="85" t="s">
        <v>752</v>
      </c>
      <c r="C459" s="85" t="s">
        <v>17</v>
      </c>
      <c r="D459" s="85" t="s">
        <v>17</v>
      </c>
      <c r="E459" s="85" t="s">
        <v>17</v>
      </c>
      <c r="F459"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59" s="82" t="str">
        <f>CVSSv3!$A$4</f>
        <v>Vector de ataque:</v>
      </c>
      <c r="H459" s="84" t="s">
        <v>706</v>
      </c>
      <c r="I459" s="88">
        <f>ROUNDUP((IF((IF(H463=CVSSv3!$C$8,(6.42*(1-((1-(IF(H464=CVSSv3!$C$9,CVSSv3!$C$22,(IF(H464=CVSSv3!$D$9,CVSSv3!$D$22,(IF(H464=CVSSv3!$E$9,CVSSv3!$E$22,"")))))))*(1-(IF(H465=CVSSv3!$C$10,CVSSv3!$C$23,(IF(H465=CVSSv3!$D$10,CVSSv3!$D$23,(IF(H465=CVSSv3!$E$10,CVSSv3!$E$23,"")))))))*(1-(IF(H466=CVSSv3!$C$11,CVSSv3!$C$24,(IF(H466=CVSSv3!$D$11,CVSSv3!$D$24,(IF(H466=CVSSv3!$E$11,CVSSv3!$E$24,"")))))))))),((7.52*((1-((1-(IF(H464=CVSSv3!$C$9,CVSSv3!$C$22,(IF(H464=CVSSv3!$D$9,CVSSv3!$D$22,(IF(H464=CVSSv3!$E$9,CVSSv3!$E$22,"")))))))*(1-(IF(H465=CVSSv3!$C$10,CVSSv3!$C$23,(IF(H465=CVSSv3!$D$10,CVSSv3!$D$23,(IF(H465=CVSSv3!$E$10,CVSSv3!$E$23,"")))))))*(1-(IF(H466=CVSSv3!$C$11,CVSSv3!$C$24,(IF(H466=CVSSv3!$D$11,CVSSv3!$D$24,(IF(H466=CVSSv3!$E$11,CVSSv3!$E$24,"")))))))))-0.029))-(3.25*POWER(((1-((1-(IF(H464=CVSSv3!$C$9,CVSSv3!$C$22,(IF(H464=CVSSv3!$D$9,CVSSv3!$D$22,(IF(H464=CVSSv3!$E$9,CVSSv3!$E$22,"")))))))*(1-(IF(H465=CVSSv3!$C$10,CVSSv3!$C$23,(IF(H465=CVSSv3!$D$10,CVSSv3!$D$23,(IF(H465=CVSSv3!$E$10,CVSSv3!$E$23,"")))))))*(1-(IF(H466=CVSSv3!$C$11,CVSSv3!$C$24,(IF(H466=CVSSv3!$D$11,CVSSv3!$D$24,(IF(H466=CVSSv3!$E$11,CVSSv3!$E$24,"")))))))))-0.02),15)))))&lt;=0,0,(IF(H463=CVSSv3!$C$8,ROUNDUP((MIN((IF(H463=CVSSv3!$C$8,(6.42*(1-((1-(IF(H464=CVSSv3!$C$9,CVSSv3!$C$22,(IF(H464=CVSSv3!$D$9,CVSSv3!$D$22,(IF(H464=CVSSv3!$E$9,CVSSv3!$E$22,"")))))))*(1-(IF(H465=CVSSv3!$C$10,CVSSv3!$C$23,(IF(H465=CVSSv3!$D$10,CVSSv3!$D$23,(IF(H465=CVSSv3!$E$10,CVSSv3!$E$23,"")))))))*(1-(IF(H466=CVSSv3!$C$11,CVSSv3!$C$24,(IF(H466=CVSSv3!$D$11,CVSSv3!$D$24,(IF(H466=CVSSv3!$E$11,CVSSv3!$E$24,"")))))))))),((7.52*((1-((1-(IF(H464=CVSSv3!$C$9,CVSSv3!$C$22,(IF(H464=CVSSv3!$D$9,CVSSv3!$D$22,(IF(H464=CVSSv3!$E$9,CVSSv3!$E$22,"")))))))*(1-(IF(H465=CVSSv3!$C$10,CVSSv3!$C$23,(IF(H465=CVSSv3!$D$10,CVSSv3!$D$23,(IF(H465=CVSSv3!$E$10,CVSSv3!$E$23,"")))))))*(1-(IF(H466=CVSSv3!$C$11,CVSSv3!$C$24,(IF(H466=CVSSv3!$D$11,CVSSv3!$D$24,(IF(H466=CVSSv3!$E$11,CVSSv3!$E$24,"")))))))))-0.029))-(3.25*POWER(((1-((1-(IF(H464=CVSSv3!$C$9,CVSSv3!$C$22,(IF(H464=CVSSv3!$D$9,CVSSv3!$D$22,(IF(H464=CVSSv3!$E$9,CVSSv3!$E$22,"")))))))*(1-(IF(H465=CVSSv3!$C$10,CVSSv3!$C$23,(IF(H465=CVSSv3!$D$10,CVSSv3!$D$23,(IF(H465=CVSSv3!$E$10,CVSSv3!$E$23,"")))))))*(1-(IF(H466=CVSSv3!$C$11,CVSSv3!$C$24,(IF(H466=CVSSv3!$D$11,CVSSv3!$D$24,(IF(H466=CVSSv3!$E$11,CVSSv3!$E$24,"")))))))))-0.02),15)))))+(8.22*(IF(H459=CVSSv3!$C$4,CVSSv3!$C$17,(IF(H459=CVSSv3!$D$4,CVSSv3!$D$17,(IF(H459=CVSSv3!$E$4,CVSSv3!$E$17,(IF(H459=CVSSv3!$F$4,CVSSv3!$F$17,""))))))))*(IF(H460=CVSSv3!$C$5,CVSSv3!$C$18,(IF(H460=CVSSv3!$D$5,CVSSv3!$D$18,""))))*(IF(H461=CVSSv3!$C$6,CVSSv3!$C$19,(IF(H461=CVSSv3!$D$6,(IF(H463=CVSSv3!$D$8,0.68,CVSSv3!$D$19)),(IF(H461=CVSSv3!$E$6,(IF(H463=CVSSv3!$D$8,0.5,CVSSv3!$E$19))))))))*(IF(H462=CVSSv3!$C$7,CVSSv3!$C$20,(IF(H462=CVSSv3!$D$7,CVSSv3!$D$20,""))))),10)),1),ROUNDUP((MIN(1.08*((IF(H463=CVSSv3!$C$8,(6.42*(1-((1-(IF(H464=CVSSv3!$C$9,CVSSv3!$C$22,(IF(H464=CVSSv3!$D$9,CVSSv3!$D$22,(IF(H464=CVSSv3!$E$9,CVSSv3!$E$22,"")))))))*(1-(IF(H465=CVSSv3!$C$10,CVSSv3!$C$23,(IF(H465=CVSSv3!$D$10,CVSSv3!$D$23,(IF(H465=CVSSv3!$E$10,CVSSv3!$E$23,"")))))))*(1-(IF(H466=CVSSv3!$C$11,CVSSv3!$C$24,(IF(H466=CVSSv3!$D$11,CVSSv3!$D$24,(IF(H466=CVSSv3!$E$11,CVSSv3!$E$24,"")))))))))),((7.52*((1-((1-(IF(H464=CVSSv3!$C$9,CVSSv3!$C$22,(IF(H464=CVSSv3!$D$9,CVSSv3!$D$22,(IF(H464=CVSSv3!$E$9,CVSSv3!$E$22,"")))))))*(1-(IF(H465=CVSSv3!$C$10,CVSSv3!$C$23,(IF(H465=CVSSv3!$D$10,CVSSv3!$D$23,(IF(H465=CVSSv3!$E$10,CVSSv3!$E$23,"")))))))*(1-(IF(H466=CVSSv3!$C$11,CVSSv3!$C$24,(IF(H466=CVSSv3!$D$11,CVSSv3!$D$24,(IF(H466=CVSSv3!$E$11,CVSSv3!$E$24,"")))))))))-0.029))-(3.25*POWER(((1-((1-(IF(H464=CVSSv3!$C$9,CVSSv3!$C$22,(IF(H464=CVSSv3!$D$9,CVSSv3!$D$22,(IF(H464=CVSSv3!$E$9,CVSSv3!$E$22,"")))))))*(1-(IF(H465=CVSSv3!$C$10,CVSSv3!$C$23,(IF(H465=CVSSv3!$D$10,CVSSv3!$D$23,(IF(H465=CVSSv3!$E$10,CVSSv3!$E$23,"")))))))*(1-(IF(H466=CVSSv3!$C$11,CVSSv3!$C$24,(IF(H466=CVSSv3!$D$11,CVSSv3!$D$24,(IF(H466=CVSSv3!$E$11,CVSSv3!$E$24,"")))))))))-0.02),15)))))+(8.22*(IF(H459=CVSSv3!$C$4,CVSSv3!$C$17,(IF(H459=CVSSv3!$D$4,CVSSv3!$D$17,(IF(H459=CVSSv3!$E$4,CVSSv3!$E$17,(IF(H459=CVSSv3!$F$4,CVSSv3!$F$17,""))))))))*(IF(H460=CVSSv3!$C$5,CVSSv3!$C$18,(IF(H460=CVSSv3!$D$5,CVSSv3!$D$18,""))))*(IF(H461=CVSSv3!$C$6,CVSSv3!$C$19,(IF(H461=CVSSv3!$D$6,(IF(H463=CVSSv3!$D$8,0.68,CVSSv3!$D$19)),(IF(H461=CVSSv3!$E$6,(IF(H463=CVSSv3!$D$8,0.5,CVSSv3!$E$19))))))))*(IF(H462=CVSSv3!$C$7,CVSSv3!$C$20,(IF(H462=CVSSv3!$D$7,CVSSv3!$D$20,"")))))),10)),1))))*(IF(H467=CVSSv3!$C$12,CVSSv3!$C$25,(IF(H467=CVSSv3!$D$12,CVSSv3!$D$25,(IF(H467=CVSSv3!$E$12,CVSSv3!$E$25,(IF(H467=CVSSv3!$F$12,CVSSv3!$F$25,""))))))))*(IF(H468=CVSSv3!$C$13,CVSSv3!$C$26,(IF(H468=CVSSv3!$D$13,CVSSv3!$D$26,(IF(H468=CVSSv3!$E$13,CVSSv3!$E$26,(IF(H468=CVSSv3!$F$13,CVSSv3!$F$26,""))))))))*(IF(H469=CVSSv3!$C$14,CVSSv3!$C$27,(IF(H469=CVSSv3!$D$14,CVSSv3!$D$27,(IF(H469=CVSSv3!$E$14,CVSSv3!$E$27,""))))))),1)</f>
        <v>9</v>
      </c>
      <c r="J459" s="89">
        <v>0</v>
      </c>
      <c r="K459" s="89">
        <v>0</v>
      </c>
      <c r="L459" s="85" t="s">
        <v>17</v>
      </c>
      <c r="M459" s="85" t="s">
        <v>17</v>
      </c>
      <c r="N459" s="85" t="s">
        <v>707</v>
      </c>
      <c r="O459" s="85" t="s">
        <v>708</v>
      </c>
    </row>
    <row r="460" spans="1:15" x14ac:dyDescent="0.25">
      <c r="A460" s="89"/>
      <c r="B460" s="85"/>
      <c r="C460" s="85"/>
      <c r="D460" s="85"/>
      <c r="E460" s="85"/>
      <c r="F460" s="85"/>
      <c r="G460" s="80" t="str">
        <f>CVSSv3!$A$5</f>
        <v>Complejidad de ataque:</v>
      </c>
      <c r="H460" s="81" t="s">
        <v>709</v>
      </c>
      <c r="I460" s="88"/>
      <c r="J460" s="89"/>
      <c r="K460" s="89"/>
      <c r="L460" s="85"/>
      <c r="M460" s="85"/>
      <c r="N460" s="85"/>
      <c r="O460" s="85"/>
    </row>
    <row r="461" spans="1:15" x14ac:dyDescent="0.25">
      <c r="A461" s="89"/>
      <c r="B461" s="85"/>
      <c r="C461" s="85"/>
      <c r="D461" s="85"/>
      <c r="E461" s="85"/>
      <c r="F461" s="85"/>
      <c r="G461" s="80" t="str">
        <f>CVSSv3!$A$6</f>
        <v>Privilegios requeridos:</v>
      </c>
      <c r="H461" s="81" t="s">
        <v>710</v>
      </c>
      <c r="I461" s="88"/>
      <c r="J461" s="89"/>
      <c r="K461" s="89"/>
      <c r="L461" s="85"/>
      <c r="M461" s="85"/>
      <c r="N461" s="85"/>
      <c r="O461" s="85"/>
    </row>
    <row r="462" spans="1:15" x14ac:dyDescent="0.25">
      <c r="A462" s="89"/>
      <c r="B462" s="85"/>
      <c r="C462" s="85"/>
      <c r="D462" s="85"/>
      <c r="E462" s="85"/>
      <c r="F462" s="85"/>
      <c r="G462" s="80" t="str">
        <f>CVSSv3!$A$7</f>
        <v>Interacción del usuario:</v>
      </c>
      <c r="H462" s="81" t="s">
        <v>711</v>
      </c>
      <c r="I462" s="88"/>
      <c r="J462" s="89"/>
      <c r="K462" s="89"/>
      <c r="L462" s="85"/>
      <c r="M462" s="85"/>
      <c r="N462" s="85"/>
      <c r="O462" s="85"/>
    </row>
    <row r="463" spans="1:15" x14ac:dyDescent="0.25">
      <c r="A463" s="89"/>
      <c r="B463" s="85"/>
      <c r="C463" s="85"/>
      <c r="D463" s="85"/>
      <c r="E463" s="85"/>
      <c r="F463" s="85"/>
      <c r="G463" s="80" t="str">
        <f>CVSSv3!$A$8</f>
        <v>Alcance:</v>
      </c>
      <c r="H463" s="81" t="s">
        <v>712</v>
      </c>
      <c r="I463" s="88"/>
      <c r="J463" s="89"/>
      <c r="K463" s="89"/>
      <c r="L463" s="85"/>
      <c r="M463" s="85"/>
      <c r="N463" s="85"/>
      <c r="O463" s="85"/>
    </row>
    <row r="464" spans="1:15" x14ac:dyDescent="0.25">
      <c r="A464" s="89"/>
      <c r="B464" s="85"/>
      <c r="C464" s="85"/>
      <c r="D464" s="85"/>
      <c r="E464" s="85"/>
      <c r="F464" s="85"/>
      <c r="G464" s="80" t="str">
        <f>CVSSv3!$A$9</f>
        <v>Impacto a la confidencialidad:</v>
      </c>
      <c r="H464" s="81" t="s">
        <v>713</v>
      </c>
      <c r="I464" s="88"/>
      <c r="J464" s="89"/>
      <c r="K464" s="89"/>
      <c r="L464" s="85"/>
      <c r="M464" s="85"/>
      <c r="N464" s="85"/>
      <c r="O464" s="85"/>
    </row>
    <row r="465" spans="1:15" x14ac:dyDescent="0.25">
      <c r="A465" s="89"/>
      <c r="B465" s="85"/>
      <c r="C465" s="85"/>
      <c r="D465" s="85"/>
      <c r="E465" s="85"/>
      <c r="F465" s="85"/>
      <c r="G465" s="80" t="str">
        <f>CVSSv3!$A$10</f>
        <v>Impacto a la integridad:</v>
      </c>
      <c r="H465" s="81" t="s">
        <v>713</v>
      </c>
      <c r="I465" s="88"/>
      <c r="J465" s="89"/>
      <c r="K465" s="89"/>
      <c r="L465" s="85"/>
      <c r="M465" s="85"/>
      <c r="N465" s="85"/>
      <c r="O465" s="85"/>
    </row>
    <row r="466" spans="1:15" x14ac:dyDescent="0.25">
      <c r="A466" s="89"/>
      <c r="B466" s="85"/>
      <c r="C466" s="85"/>
      <c r="D466" s="85"/>
      <c r="E466" s="85"/>
      <c r="F466" s="85"/>
      <c r="G466" s="80" t="str">
        <f>CVSSv3!$A$11</f>
        <v>Impacto a la disponibilidad:</v>
      </c>
      <c r="H466" s="81" t="s">
        <v>713</v>
      </c>
      <c r="I466" s="88"/>
      <c r="J466" s="89"/>
      <c r="K466" s="89"/>
      <c r="L466" s="85"/>
      <c r="M466" s="85"/>
      <c r="N466" s="85"/>
      <c r="O466" s="85"/>
    </row>
    <row r="467" spans="1:15" x14ac:dyDescent="0.25">
      <c r="A467" s="89"/>
      <c r="B467" s="85"/>
      <c r="C467" s="85"/>
      <c r="D467" s="85"/>
      <c r="E467" s="85"/>
      <c r="F467" s="85"/>
      <c r="G467" s="80" t="str">
        <f>CVSSv3!$A$12</f>
        <v>Explotabilidad:</v>
      </c>
      <c r="H467" s="81" t="s">
        <v>709</v>
      </c>
      <c r="I467" s="88"/>
      <c r="J467" s="89"/>
      <c r="K467" s="89"/>
      <c r="L467" s="85"/>
      <c r="M467" s="85"/>
      <c r="N467" s="85"/>
      <c r="O467" s="85"/>
    </row>
    <row r="468" spans="1:15" x14ac:dyDescent="0.25">
      <c r="A468" s="89"/>
      <c r="B468" s="85"/>
      <c r="C468" s="85"/>
      <c r="D468" s="85"/>
      <c r="E468" s="85"/>
      <c r="F468" s="85"/>
      <c r="G468" s="80" t="str">
        <f>CVSSv3!$A$13</f>
        <v>Nivel de resolución:</v>
      </c>
      <c r="H468" s="81" t="s">
        <v>714</v>
      </c>
      <c r="I468" s="88"/>
      <c r="J468" s="89"/>
      <c r="K468" s="89"/>
      <c r="L468" s="85"/>
      <c r="M468" s="85"/>
      <c r="N468" s="85"/>
      <c r="O468" s="85"/>
    </row>
    <row r="469" spans="1:15" x14ac:dyDescent="0.25">
      <c r="A469" s="89"/>
      <c r="B469" s="85"/>
      <c r="C469" s="85"/>
      <c r="D469" s="85"/>
      <c r="E469" s="85"/>
      <c r="F469" s="85"/>
      <c r="G469" s="80" t="str">
        <f>CVSSv3!$A$14</f>
        <v>Nivel de confianza</v>
      </c>
      <c r="H469" s="81" t="s">
        <v>715</v>
      </c>
      <c r="I469" s="88"/>
      <c r="J469" s="89"/>
      <c r="K469" s="89"/>
      <c r="L469" s="85"/>
      <c r="M469" s="85"/>
      <c r="N469" s="85"/>
      <c r="O469" s="85"/>
    </row>
    <row r="470" spans="1:15" x14ac:dyDescent="0.25">
      <c r="A470" s="89"/>
      <c r="B470" s="85"/>
      <c r="C470" s="85"/>
      <c r="D470" s="85"/>
      <c r="E470" s="85"/>
      <c r="F470" s="85"/>
      <c r="G470" s="86" t="str">
        <f>"("&amp;CVSSv3!$B$4&amp;":"&amp;IF(H459=CVSSv3!$C$4,CVSSv3!$C$30,IF(H459=CVSSv3!$D$4,CVSSv3!$D$30,IF(H459=CVSSv3!$E$4,CVSSv3!$E$30,IF(H459=CVSSv3!$F$4,CVSSv3!$F$30,""))))&amp;"/"&amp;CVSSv3!$B$5&amp;":"&amp;IF(H460=CVSSv3!$C$5,CVSSv3!$C$31,IF(H460=CVSSv3!$D$5,CVSSv3!$D$31,""))&amp;"/"&amp;CVSSv3!$B$6&amp;":"&amp;IF(H461=CVSSv3!$C$6,CVSSv3!$C$32,IF(H461=CVSSv3!$D$6,CVSSv3!$D$32,IF(H461=CVSSv3!$E$6,CVSSv3!$E$32,"")))&amp;"/"&amp;CVSSv3!$B$7&amp;":"&amp;IF(H462=CVSSv3!$C$7,CVSSv3!$C$33,IF(H462=CVSSv3!$D$7,CVSSv3!$D$33,""))&amp;"/"&amp;CVSSv3!$B$8&amp;":"&amp;IF(H463=CVSSv3!$C$8,CVSSv3!$C$34,IF(H463=CVSSv3!$D$8,CVSSv3!$D$34,""))&amp;"/"&amp;CVSSv3!$B$9&amp;":"&amp;IF(H464=CVSSv3!$C$9,CVSSv3!$C$35,IF(H464=CVSSv3!$D$9,CVSSv3!$D$35,IF(H464=CVSSv3!$E$9,CVSSv3!$E$35,"")))&amp;"/"&amp;CVSSv3!$B$10&amp;":"&amp;IF(H465=CVSSv3!$C$10,CVSSv3!$C$36,IF(H465=CVSSv3!$D$10,CVSSv3!$D$36,IF(H465=CVSSv3!$E$10,CVSSv3!$E$36,"")))&amp;"/"&amp;CVSSv3!$B$11&amp;":"&amp;IF(H466=CVSSv3!$C$11,CVSSv3!$C$37,IF(H466=CVSSv3!$D$11,CVSSv3!$D$37,IF(H466=CVSSv3!$E$11,CVSSv3!$E$37,"")))&amp;"/"&amp;CVSSv3!$B$12&amp;":"&amp;IF(H467=CVSSv3!$C$12,CVSSv3!$C$38,IF(H467=CVSSv3!$D$12,CVSSv3!$D$38,IF(H467=CVSSv3!$E$12,CVSSv3!$E$38,IF(H467=CVSSv3!$F$12,CVSSv3!$F$38,""))))&amp;"/"&amp;CVSSv3!$B$13&amp;":"&amp;IF(H468=CVSSv3!$C$13,CVSSv3!$C$39,IF(H468=CVSSv3!$D$13,CVSSv3!$D$39,IF(H468=CVSSv3!$E$13,CVSSv3!$E$39,IF(H468=CVSSv3!$F$13,CVSSv3!$F$39,""))))&amp;"/"&amp;CVSSv3!$B$14&amp;":"&amp;IF(H469=CVSSv3!$C$14,CVSSv3!$C$40,IF(H469=CVSSv3!$D$14,CVSSv3!$D$40,IF(H469=CVSSv3!$E$14,CVSSv3!$E$40,"")))&amp;")"</f>
        <v>(AV:N/AC:H/PR:N/UI:N/S:C/C:H/I:H/A:H/E:H/RL:U/RC:C)</v>
      </c>
      <c r="H470" s="87"/>
      <c r="I470" s="88"/>
      <c r="J470" s="89"/>
      <c r="K470" s="89"/>
      <c r="L470" s="85"/>
      <c r="M470" s="85"/>
      <c r="N470" s="85"/>
      <c r="O470" s="85"/>
    </row>
    <row r="471" spans="1:15" x14ac:dyDescent="0.25">
      <c r="A471" s="89">
        <v>40</v>
      </c>
      <c r="B471" s="85" t="s">
        <v>753</v>
      </c>
      <c r="C471" s="85" t="s">
        <v>17</v>
      </c>
      <c r="D471" s="85" t="s">
        <v>17</v>
      </c>
      <c r="E471" s="85" t="s">
        <v>17</v>
      </c>
      <c r="F471"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71" s="82" t="str">
        <f>CVSSv3!$A$4</f>
        <v>Vector de ataque:</v>
      </c>
      <c r="H471" s="84" t="s">
        <v>706</v>
      </c>
      <c r="I471" s="88">
        <f>ROUNDUP((IF((IF(H475=CVSSv3!$C$8,(6.42*(1-((1-(IF(H476=CVSSv3!$C$9,CVSSv3!$C$22,(IF(H476=CVSSv3!$D$9,CVSSv3!$D$22,(IF(H476=CVSSv3!$E$9,CVSSv3!$E$22,"")))))))*(1-(IF(H477=CVSSv3!$C$10,CVSSv3!$C$23,(IF(H477=CVSSv3!$D$10,CVSSv3!$D$23,(IF(H477=CVSSv3!$E$10,CVSSv3!$E$23,"")))))))*(1-(IF(H478=CVSSv3!$C$11,CVSSv3!$C$24,(IF(H478=CVSSv3!$D$11,CVSSv3!$D$24,(IF(H478=CVSSv3!$E$11,CVSSv3!$E$24,"")))))))))),((7.52*((1-((1-(IF(H476=CVSSv3!$C$9,CVSSv3!$C$22,(IF(H476=CVSSv3!$D$9,CVSSv3!$D$22,(IF(H476=CVSSv3!$E$9,CVSSv3!$E$22,"")))))))*(1-(IF(H477=CVSSv3!$C$10,CVSSv3!$C$23,(IF(H477=CVSSv3!$D$10,CVSSv3!$D$23,(IF(H477=CVSSv3!$E$10,CVSSv3!$E$23,"")))))))*(1-(IF(H478=CVSSv3!$C$11,CVSSv3!$C$24,(IF(H478=CVSSv3!$D$11,CVSSv3!$D$24,(IF(H478=CVSSv3!$E$11,CVSSv3!$E$24,"")))))))))-0.029))-(3.25*POWER(((1-((1-(IF(H476=CVSSv3!$C$9,CVSSv3!$C$22,(IF(H476=CVSSv3!$D$9,CVSSv3!$D$22,(IF(H476=CVSSv3!$E$9,CVSSv3!$E$22,"")))))))*(1-(IF(H477=CVSSv3!$C$10,CVSSv3!$C$23,(IF(H477=CVSSv3!$D$10,CVSSv3!$D$23,(IF(H477=CVSSv3!$E$10,CVSSv3!$E$23,"")))))))*(1-(IF(H478=CVSSv3!$C$11,CVSSv3!$C$24,(IF(H478=CVSSv3!$D$11,CVSSv3!$D$24,(IF(H478=CVSSv3!$E$11,CVSSv3!$E$24,"")))))))))-0.02),15)))))&lt;=0,0,(IF(H475=CVSSv3!$C$8,ROUNDUP((MIN((IF(H475=CVSSv3!$C$8,(6.42*(1-((1-(IF(H476=CVSSv3!$C$9,CVSSv3!$C$22,(IF(H476=CVSSv3!$D$9,CVSSv3!$D$22,(IF(H476=CVSSv3!$E$9,CVSSv3!$E$22,"")))))))*(1-(IF(H477=CVSSv3!$C$10,CVSSv3!$C$23,(IF(H477=CVSSv3!$D$10,CVSSv3!$D$23,(IF(H477=CVSSv3!$E$10,CVSSv3!$E$23,"")))))))*(1-(IF(H478=CVSSv3!$C$11,CVSSv3!$C$24,(IF(H478=CVSSv3!$D$11,CVSSv3!$D$24,(IF(H478=CVSSv3!$E$11,CVSSv3!$E$24,"")))))))))),((7.52*((1-((1-(IF(H476=CVSSv3!$C$9,CVSSv3!$C$22,(IF(H476=CVSSv3!$D$9,CVSSv3!$D$22,(IF(H476=CVSSv3!$E$9,CVSSv3!$E$22,"")))))))*(1-(IF(H477=CVSSv3!$C$10,CVSSv3!$C$23,(IF(H477=CVSSv3!$D$10,CVSSv3!$D$23,(IF(H477=CVSSv3!$E$10,CVSSv3!$E$23,"")))))))*(1-(IF(H478=CVSSv3!$C$11,CVSSv3!$C$24,(IF(H478=CVSSv3!$D$11,CVSSv3!$D$24,(IF(H478=CVSSv3!$E$11,CVSSv3!$E$24,"")))))))))-0.029))-(3.25*POWER(((1-((1-(IF(H476=CVSSv3!$C$9,CVSSv3!$C$22,(IF(H476=CVSSv3!$D$9,CVSSv3!$D$22,(IF(H476=CVSSv3!$E$9,CVSSv3!$E$22,"")))))))*(1-(IF(H477=CVSSv3!$C$10,CVSSv3!$C$23,(IF(H477=CVSSv3!$D$10,CVSSv3!$D$23,(IF(H477=CVSSv3!$E$10,CVSSv3!$E$23,"")))))))*(1-(IF(H478=CVSSv3!$C$11,CVSSv3!$C$24,(IF(H478=CVSSv3!$D$11,CVSSv3!$D$24,(IF(H478=CVSSv3!$E$11,CVSSv3!$E$24,"")))))))))-0.02),15)))))+(8.22*(IF(H471=CVSSv3!$C$4,CVSSv3!$C$17,(IF(H471=CVSSv3!$D$4,CVSSv3!$D$17,(IF(H471=CVSSv3!$E$4,CVSSv3!$E$17,(IF(H471=CVSSv3!$F$4,CVSSv3!$F$17,""))))))))*(IF(H472=CVSSv3!$C$5,CVSSv3!$C$18,(IF(H472=CVSSv3!$D$5,CVSSv3!$D$18,""))))*(IF(H473=CVSSv3!$C$6,CVSSv3!$C$19,(IF(H473=CVSSv3!$D$6,(IF(H475=CVSSv3!$D$8,0.68,CVSSv3!$D$19)),(IF(H473=CVSSv3!$E$6,(IF(H475=CVSSv3!$D$8,0.5,CVSSv3!$E$19))))))))*(IF(H474=CVSSv3!$C$7,CVSSv3!$C$20,(IF(H474=CVSSv3!$D$7,CVSSv3!$D$20,""))))),10)),1),ROUNDUP((MIN(1.08*((IF(H475=CVSSv3!$C$8,(6.42*(1-((1-(IF(H476=CVSSv3!$C$9,CVSSv3!$C$22,(IF(H476=CVSSv3!$D$9,CVSSv3!$D$22,(IF(H476=CVSSv3!$E$9,CVSSv3!$E$22,"")))))))*(1-(IF(H477=CVSSv3!$C$10,CVSSv3!$C$23,(IF(H477=CVSSv3!$D$10,CVSSv3!$D$23,(IF(H477=CVSSv3!$E$10,CVSSv3!$E$23,"")))))))*(1-(IF(H478=CVSSv3!$C$11,CVSSv3!$C$24,(IF(H478=CVSSv3!$D$11,CVSSv3!$D$24,(IF(H478=CVSSv3!$E$11,CVSSv3!$E$24,"")))))))))),((7.52*((1-((1-(IF(H476=CVSSv3!$C$9,CVSSv3!$C$22,(IF(H476=CVSSv3!$D$9,CVSSv3!$D$22,(IF(H476=CVSSv3!$E$9,CVSSv3!$E$22,"")))))))*(1-(IF(H477=CVSSv3!$C$10,CVSSv3!$C$23,(IF(H477=CVSSv3!$D$10,CVSSv3!$D$23,(IF(H477=CVSSv3!$E$10,CVSSv3!$E$23,"")))))))*(1-(IF(H478=CVSSv3!$C$11,CVSSv3!$C$24,(IF(H478=CVSSv3!$D$11,CVSSv3!$D$24,(IF(H478=CVSSv3!$E$11,CVSSv3!$E$24,"")))))))))-0.029))-(3.25*POWER(((1-((1-(IF(H476=CVSSv3!$C$9,CVSSv3!$C$22,(IF(H476=CVSSv3!$D$9,CVSSv3!$D$22,(IF(H476=CVSSv3!$E$9,CVSSv3!$E$22,"")))))))*(1-(IF(H477=CVSSv3!$C$10,CVSSv3!$C$23,(IF(H477=CVSSv3!$D$10,CVSSv3!$D$23,(IF(H477=CVSSv3!$E$10,CVSSv3!$E$23,"")))))))*(1-(IF(H478=CVSSv3!$C$11,CVSSv3!$C$24,(IF(H478=CVSSv3!$D$11,CVSSv3!$D$24,(IF(H478=CVSSv3!$E$11,CVSSv3!$E$24,"")))))))))-0.02),15)))))+(8.22*(IF(H471=CVSSv3!$C$4,CVSSv3!$C$17,(IF(H471=CVSSv3!$D$4,CVSSv3!$D$17,(IF(H471=CVSSv3!$E$4,CVSSv3!$E$17,(IF(H471=CVSSv3!$F$4,CVSSv3!$F$17,""))))))))*(IF(H472=CVSSv3!$C$5,CVSSv3!$C$18,(IF(H472=CVSSv3!$D$5,CVSSv3!$D$18,""))))*(IF(H473=CVSSv3!$C$6,CVSSv3!$C$19,(IF(H473=CVSSv3!$D$6,(IF(H475=CVSSv3!$D$8,0.68,CVSSv3!$D$19)),(IF(H473=CVSSv3!$E$6,(IF(H475=CVSSv3!$D$8,0.5,CVSSv3!$E$19))))))))*(IF(H474=CVSSv3!$C$7,CVSSv3!$C$20,(IF(H474=CVSSv3!$D$7,CVSSv3!$D$20,"")))))),10)),1))))*(IF(H479=CVSSv3!$C$12,CVSSv3!$C$25,(IF(H479=CVSSv3!$D$12,CVSSv3!$D$25,(IF(H479=CVSSv3!$E$12,CVSSv3!$E$25,(IF(H479=CVSSv3!$F$12,CVSSv3!$F$25,""))))))))*(IF(H480=CVSSv3!$C$13,CVSSv3!$C$26,(IF(H480=CVSSv3!$D$13,CVSSv3!$D$26,(IF(H480=CVSSv3!$E$13,CVSSv3!$E$26,(IF(H480=CVSSv3!$F$13,CVSSv3!$F$26,""))))))))*(IF(H481=CVSSv3!$C$14,CVSSv3!$C$27,(IF(H481=CVSSv3!$D$14,CVSSv3!$D$27,(IF(H481=CVSSv3!$E$14,CVSSv3!$E$27,""))))))),1)</f>
        <v>9</v>
      </c>
      <c r="J471" s="89">
        <v>0</v>
      </c>
      <c r="K471" s="89">
        <v>0</v>
      </c>
      <c r="L471" s="85" t="s">
        <v>17</v>
      </c>
      <c r="M471" s="85" t="s">
        <v>17</v>
      </c>
      <c r="N471" s="85" t="s">
        <v>707</v>
      </c>
      <c r="O471" s="85" t="s">
        <v>708</v>
      </c>
    </row>
    <row r="472" spans="1:15" x14ac:dyDescent="0.25">
      <c r="A472" s="89"/>
      <c r="B472" s="85"/>
      <c r="C472" s="85"/>
      <c r="D472" s="85"/>
      <c r="E472" s="85"/>
      <c r="F472" s="85"/>
      <c r="G472" s="80" t="str">
        <f>CVSSv3!$A$5</f>
        <v>Complejidad de ataque:</v>
      </c>
      <c r="H472" s="81" t="s">
        <v>709</v>
      </c>
      <c r="I472" s="88"/>
      <c r="J472" s="89"/>
      <c r="K472" s="89"/>
      <c r="L472" s="85"/>
      <c r="M472" s="85"/>
      <c r="N472" s="85"/>
      <c r="O472" s="85"/>
    </row>
    <row r="473" spans="1:15" x14ac:dyDescent="0.25">
      <c r="A473" s="89"/>
      <c r="B473" s="85"/>
      <c r="C473" s="85"/>
      <c r="D473" s="85"/>
      <c r="E473" s="85"/>
      <c r="F473" s="85"/>
      <c r="G473" s="80" t="str">
        <f>CVSSv3!$A$6</f>
        <v>Privilegios requeridos:</v>
      </c>
      <c r="H473" s="81" t="s">
        <v>710</v>
      </c>
      <c r="I473" s="88"/>
      <c r="J473" s="89"/>
      <c r="K473" s="89"/>
      <c r="L473" s="85"/>
      <c r="M473" s="85"/>
      <c r="N473" s="85"/>
      <c r="O473" s="85"/>
    </row>
    <row r="474" spans="1:15" x14ac:dyDescent="0.25">
      <c r="A474" s="89"/>
      <c r="B474" s="85"/>
      <c r="C474" s="85"/>
      <c r="D474" s="85"/>
      <c r="E474" s="85"/>
      <c r="F474" s="85"/>
      <c r="G474" s="80" t="str">
        <f>CVSSv3!$A$7</f>
        <v>Interacción del usuario:</v>
      </c>
      <c r="H474" s="81" t="s">
        <v>711</v>
      </c>
      <c r="I474" s="88"/>
      <c r="J474" s="89"/>
      <c r="K474" s="89"/>
      <c r="L474" s="85"/>
      <c r="M474" s="85"/>
      <c r="N474" s="85"/>
      <c r="O474" s="85"/>
    </row>
    <row r="475" spans="1:15" x14ac:dyDescent="0.25">
      <c r="A475" s="89"/>
      <c r="B475" s="85"/>
      <c r="C475" s="85"/>
      <c r="D475" s="85"/>
      <c r="E475" s="85"/>
      <c r="F475" s="85"/>
      <c r="G475" s="80" t="str">
        <f>CVSSv3!$A$8</f>
        <v>Alcance:</v>
      </c>
      <c r="H475" s="81" t="s">
        <v>712</v>
      </c>
      <c r="I475" s="88"/>
      <c r="J475" s="89"/>
      <c r="K475" s="89"/>
      <c r="L475" s="85"/>
      <c r="M475" s="85"/>
      <c r="N475" s="85"/>
      <c r="O475" s="85"/>
    </row>
    <row r="476" spans="1:15" x14ac:dyDescent="0.25">
      <c r="A476" s="89"/>
      <c r="B476" s="85"/>
      <c r="C476" s="85"/>
      <c r="D476" s="85"/>
      <c r="E476" s="85"/>
      <c r="F476" s="85"/>
      <c r="G476" s="80" t="str">
        <f>CVSSv3!$A$9</f>
        <v>Impacto a la confidencialidad:</v>
      </c>
      <c r="H476" s="81" t="s">
        <v>713</v>
      </c>
      <c r="I476" s="88"/>
      <c r="J476" s="89"/>
      <c r="K476" s="89"/>
      <c r="L476" s="85"/>
      <c r="M476" s="85"/>
      <c r="N476" s="85"/>
      <c r="O476" s="85"/>
    </row>
    <row r="477" spans="1:15" x14ac:dyDescent="0.25">
      <c r="A477" s="89"/>
      <c r="B477" s="85"/>
      <c r="C477" s="85"/>
      <c r="D477" s="85"/>
      <c r="E477" s="85"/>
      <c r="F477" s="85"/>
      <c r="G477" s="80" t="str">
        <f>CVSSv3!$A$10</f>
        <v>Impacto a la integridad:</v>
      </c>
      <c r="H477" s="81" t="s">
        <v>713</v>
      </c>
      <c r="I477" s="88"/>
      <c r="J477" s="89"/>
      <c r="K477" s="89"/>
      <c r="L477" s="85"/>
      <c r="M477" s="85"/>
      <c r="N477" s="85"/>
      <c r="O477" s="85"/>
    </row>
    <row r="478" spans="1:15" x14ac:dyDescent="0.25">
      <c r="A478" s="89"/>
      <c r="B478" s="85"/>
      <c r="C478" s="85"/>
      <c r="D478" s="85"/>
      <c r="E478" s="85"/>
      <c r="F478" s="85"/>
      <c r="G478" s="80" t="str">
        <f>CVSSv3!$A$11</f>
        <v>Impacto a la disponibilidad:</v>
      </c>
      <c r="H478" s="81" t="s">
        <v>713</v>
      </c>
      <c r="I478" s="88"/>
      <c r="J478" s="89"/>
      <c r="K478" s="89"/>
      <c r="L478" s="85"/>
      <c r="M478" s="85"/>
      <c r="N478" s="85"/>
      <c r="O478" s="85"/>
    </row>
    <row r="479" spans="1:15" x14ac:dyDescent="0.25">
      <c r="A479" s="89"/>
      <c r="B479" s="85"/>
      <c r="C479" s="85"/>
      <c r="D479" s="85"/>
      <c r="E479" s="85"/>
      <c r="F479" s="85"/>
      <c r="G479" s="80" t="str">
        <f>CVSSv3!$A$12</f>
        <v>Explotabilidad:</v>
      </c>
      <c r="H479" s="81" t="s">
        <v>709</v>
      </c>
      <c r="I479" s="88"/>
      <c r="J479" s="89"/>
      <c r="K479" s="89"/>
      <c r="L479" s="85"/>
      <c r="M479" s="85"/>
      <c r="N479" s="85"/>
      <c r="O479" s="85"/>
    </row>
    <row r="480" spans="1:15" x14ac:dyDescent="0.25">
      <c r="A480" s="89"/>
      <c r="B480" s="85"/>
      <c r="C480" s="85"/>
      <c r="D480" s="85"/>
      <c r="E480" s="85"/>
      <c r="F480" s="85"/>
      <c r="G480" s="80" t="str">
        <f>CVSSv3!$A$13</f>
        <v>Nivel de resolución:</v>
      </c>
      <c r="H480" s="81" t="s">
        <v>714</v>
      </c>
      <c r="I480" s="88"/>
      <c r="J480" s="89"/>
      <c r="K480" s="89"/>
      <c r="L480" s="85"/>
      <c r="M480" s="85"/>
      <c r="N480" s="85"/>
      <c r="O480" s="85"/>
    </row>
    <row r="481" spans="1:15" x14ac:dyDescent="0.25">
      <c r="A481" s="89"/>
      <c r="B481" s="85"/>
      <c r="C481" s="85"/>
      <c r="D481" s="85"/>
      <c r="E481" s="85"/>
      <c r="F481" s="85"/>
      <c r="G481" s="80" t="str">
        <f>CVSSv3!$A$14</f>
        <v>Nivel de confianza</v>
      </c>
      <c r="H481" s="81" t="s">
        <v>715</v>
      </c>
      <c r="I481" s="88"/>
      <c r="J481" s="89"/>
      <c r="K481" s="89"/>
      <c r="L481" s="85"/>
      <c r="M481" s="85"/>
      <c r="N481" s="85"/>
      <c r="O481" s="85"/>
    </row>
    <row r="482" spans="1:15" x14ac:dyDescent="0.25">
      <c r="A482" s="89"/>
      <c r="B482" s="85"/>
      <c r="C482" s="85"/>
      <c r="D482" s="85"/>
      <c r="E482" s="85"/>
      <c r="F482" s="85"/>
      <c r="G482" s="86" t="str">
        <f>"("&amp;CVSSv3!$B$4&amp;":"&amp;IF(H471=CVSSv3!$C$4,CVSSv3!$C$30,IF(H471=CVSSv3!$D$4,CVSSv3!$D$30,IF(H471=CVSSv3!$E$4,CVSSv3!$E$30,IF(H471=CVSSv3!$F$4,CVSSv3!$F$30,""))))&amp;"/"&amp;CVSSv3!$B$5&amp;":"&amp;IF(H472=CVSSv3!$C$5,CVSSv3!$C$31,IF(H472=CVSSv3!$D$5,CVSSv3!$D$31,""))&amp;"/"&amp;CVSSv3!$B$6&amp;":"&amp;IF(H473=CVSSv3!$C$6,CVSSv3!$C$32,IF(H473=CVSSv3!$D$6,CVSSv3!$D$32,IF(H473=CVSSv3!$E$6,CVSSv3!$E$32,"")))&amp;"/"&amp;CVSSv3!$B$7&amp;":"&amp;IF(H474=CVSSv3!$C$7,CVSSv3!$C$33,IF(H474=CVSSv3!$D$7,CVSSv3!$D$33,""))&amp;"/"&amp;CVSSv3!$B$8&amp;":"&amp;IF(H475=CVSSv3!$C$8,CVSSv3!$C$34,IF(H475=CVSSv3!$D$8,CVSSv3!$D$34,""))&amp;"/"&amp;CVSSv3!$B$9&amp;":"&amp;IF(H476=CVSSv3!$C$9,CVSSv3!$C$35,IF(H476=CVSSv3!$D$9,CVSSv3!$D$35,IF(H476=CVSSv3!$E$9,CVSSv3!$E$35,"")))&amp;"/"&amp;CVSSv3!$B$10&amp;":"&amp;IF(H477=CVSSv3!$C$10,CVSSv3!$C$36,IF(H477=CVSSv3!$D$10,CVSSv3!$D$36,IF(H477=CVSSv3!$E$10,CVSSv3!$E$36,"")))&amp;"/"&amp;CVSSv3!$B$11&amp;":"&amp;IF(H478=CVSSv3!$C$11,CVSSv3!$C$37,IF(H478=CVSSv3!$D$11,CVSSv3!$D$37,IF(H478=CVSSv3!$E$11,CVSSv3!$E$37,"")))&amp;"/"&amp;CVSSv3!$B$12&amp;":"&amp;IF(H479=CVSSv3!$C$12,CVSSv3!$C$38,IF(H479=CVSSv3!$D$12,CVSSv3!$D$38,IF(H479=CVSSv3!$E$12,CVSSv3!$E$38,IF(H479=CVSSv3!$F$12,CVSSv3!$F$38,""))))&amp;"/"&amp;CVSSv3!$B$13&amp;":"&amp;IF(H480=CVSSv3!$C$13,CVSSv3!$C$39,IF(H480=CVSSv3!$D$13,CVSSv3!$D$39,IF(H480=CVSSv3!$E$13,CVSSv3!$E$39,IF(H480=CVSSv3!$F$13,CVSSv3!$F$39,""))))&amp;"/"&amp;CVSSv3!$B$14&amp;":"&amp;IF(H481=CVSSv3!$C$14,CVSSv3!$C$40,IF(H481=CVSSv3!$D$14,CVSSv3!$D$40,IF(H481=CVSSv3!$E$14,CVSSv3!$E$40,"")))&amp;")"</f>
        <v>(AV:N/AC:H/PR:N/UI:N/S:C/C:H/I:H/A:H/E:H/RL:U/RC:C)</v>
      </c>
      <c r="H482" s="87"/>
      <c r="I482" s="88"/>
      <c r="J482" s="89"/>
      <c r="K482" s="89"/>
      <c r="L482" s="85"/>
      <c r="M482" s="85"/>
      <c r="N482" s="85"/>
      <c r="O482" s="85"/>
    </row>
    <row r="483" spans="1:15" x14ac:dyDescent="0.25">
      <c r="A483" s="89">
        <v>41</v>
      </c>
      <c r="B483" s="85" t="s">
        <v>754</v>
      </c>
      <c r="C483" s="85" t="s">
        <v>17</v>
      </c>
      <c r="D483" s="85" t="s">
        <v>17</v>
      </c>
      <c r="E483" s="85" t="s">
        <v>17</v>
      </c>
      <c r="F483"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83" s="82" t="str">
        <f>CVSSv3!$A$4</f>
        <v>Vector de ataque:</v>
      </c>
      <c r="H483" s="84" t="s">
        <v>706</v>
      </c>
      <c r="I483" s="88">
        <f>ROUNDUP((IF((IF(H487=CVSSv3!$C$8,(6.42*(1-((1-(IF(H488=CVSSv3!$C$9,CVSSv3!$C$22,(IF(H488=CVSSv3!$D$9,CVSSv3!$D$22,(IF(H488=CVSSv3!$E$9,CVSSv3!$E$22,"")))))))*(1-(IF(H489=CVSSv3!$C$10,CVSSv3!$C$23,(IF(H489=CVSSv3!$D$10,CVSSv3!$D$23,(IF(H489=CVSSv3!$E$10,CVSSv3!$E$23,"")))))))*(1-(IF(H490=CVSSv3!$C$11,CVSSv3!$C$24,(IF(H490=CVSSv3!$D$11,CVSSv3!$D$24,(IF(H490=CVSSv3!$E$11,CVSSv3!$E$24,"")))))))))),((7.52*((1-((1-(IF(H488=CVSSv3!$C$9,CVSSv3!$C$22,(IF(H488=CVSSv3!$D$9,CVSSv3!$D$22,(IF(H488=CVSSv3!$E$9,CVSSv3!$E$22,"")))))))*(1-(IF(H489=CVSSv3!$C$10,CVSSv3!$C$23,(IF(H489=CVSSv3!$D$10,CVSSv3!$D$23,(IF(H489=CVSSv3!$E$10,CVSSv3!$E$23,"")))))))*(1-(IF(H490=CVSSv3!$C$11,CVSSv3!$C$24,(IF(H490=CVSSv3!$D$11,CVSSv3!$D$24,(IF(H490=CVSSv3!$E$11,CVSSv3!$E$24,"")))))))))-0.029))-(3.25*POWER(((1-((1-(IF(H488=CVSSv3!$C$9,CVSSv3!$C$22,(IF(H488=CVSSv3!$D$9,CVSSv3!$D$22,(IF(H488=CVSSv3!$E$9,CVSSv3!$E$22,"")))))))*(1-(IF(H489=CVSSv3!$C$10,CVSSv3!$C$23,(IF(H489=CVSSv3!$D$10,CVSSv3!$D$23,(IF(H489=CVSSv3!$E$10,CVSSv3!$E$23,"")))))))*(1-(IF(H490=CVSSv3!$C$11,CVSSv3!$C$24,(IF(H490=CVSSv3!$D$11,CVSSv3!$D$24,(IF(H490=CVSSv3!$E$11,CVSSv3!$E$24,"")))))))))-0.02),15)))))&lt;=0,0,(IF(H487=CVSSv3!$C$8,ROUNDUP((MIN((IF(H487=CVSSv3!$C$8,(6.42*(1-((1-(IF(H488=CVSSv3!$C$9,CVSSv3!$C$22,(IF(H488=CVSSv3!$D$9,CVSSv3!$D$22,(IF(H488=CVSSv3!$E$9,CVSSv3!$E$22,"")))))))*(1-(IF(H489=CVSSv3!$C$10,CVSSv3!$C$23,(IF(H489=CVSSv3!$D$10,CVSSv3!$D$23,(IF(H489=CVSSv3!$E$10,CVSSv3!$E$23,"")))))))*(1-(IF(H490=CVSSv3!$C$11,CVSSv3!$C$24,(IF(H490=CVSSv3!$D$11,CVSSv3!$D$24,(IF(H490=CVSSv3!$E$11,CVSSv3!$E$24,"")))))))))),((7.52*((1-((1-(IF(H488=CVSSv3!$C$9,CVSSv3!$C$22,(IF(H488=CVSSv3!$D$9,CVSSv3!$D$22,(IF(H488=CVSSv3!$E$9,CVSSv3!$E$22,"")))))))*(1-(IF(H489=CVSSv3!$C$10,CVSSv3!$C$23,(IF(H489=CVSSv3!$D$10,CVSSv3!$D$23,(IF(H489=CVSSv3!$E$10,CVSSv3!$E$23,"")))))))*(1-(IF(H490=CVSSv3!$C$11,CVSSv3!$C$24,(IF(H490=CVSSv3!$D$11,CVSSv3!$D$24,(IF(H490=CVSSv3!$E$11,CVSSv3!$E$24,"")))))))))-0.029))-(3.25*POWER(((1-((1-(IF(H488=CVSSv3!$C$9,CVSSv3!$C$22,(IF(H488=CVSSv3!$D$9,CVSSv3!$D$22,(IF(H488=CVSSv3!$E$9,CVSSv3!$E$22,"")))))))*(1-(IF(H489=CVSSv3!$C$10,CVSSv3!$C$23,(IF(H489=CVSSv3!$D$10,CVSSv3!$D$23,(IF(H489=CVSSv3!$E$10,CVSSv3!$E$23,"")))))))*(1-(IF(H490=CVSSv3!$C$11,CVSSv3!$C$24,(IF(H490=CVSSv3!$D$11,CVSSv3!$D$24,(IF(H490=CVSSv3!$E$11,CVSSv3!$E$24,"")))))))))-0.02),15)))))+(8.22*(IF(H483=CVSSv3!$C$4,CVSSv3!$C$17,(IF(H483=CVSSv3!$D$4,CVSSv3!$D$17,(IF(H483=CVSSv3!$E$4,CVSSv3!$E$17,(IF(H483=CVSSv3!$F$4,CVSSv3!$F$17,""))))))))*(IF(H484=CVSSv3!$C$5,CVSSv3!$C$18,(IF(H484=CVSSv3!$D$5,CVSSv3!$D$18,""))))*(IF(H485=CVSSv3!$C$6,CVSSv3!$C$19,(IF(H485=CVSSv3!$D$6,(IF(H487=CVSSv3!$D$8,0.68,CVSSv3!$D$19)),(IF(H485=CVSSv3!$E$6,(IF(H487=CVSSv3!$D$8,0.5,CVSSv3!$E$19))))))))*(IF(H486=CVSSv3!$C$7,CVSSv3!$C$20,(IF(H486=CVSSv3!$D$7,CVSSv3!$D$20,""))))),10)),1),ROUNDUP((MIN(1.08*((IF(H487=CVSSv3!$C$8,(6.42*(1-((1-(IF(H488=CVSSv3!$C$9,CVSSv3!$C$22,(IF(H488=CVSSv3!$D$9,CVSSv3!$D$22,(IF(H488=CVSSv3!$E$9,CVSSv3!$E$22,"")))))))*(1-(IF(H489=CVSSv3!$C$10,CVSSv3!$C$23,(IF(H489=CVSSv3!$D$10,CVSSv3!$D$23,(IF(H489=CVSSv3!$E$10,CVSSv3!$E$23,"")))))))*(1-(IF(H490=CVSSv3!$C$11,CVSSv3!$C$24,(IF(H490=CVSSv3!$D$11,CVSSv3!$D$24,(IF(H490=CVSSv3!$E$11,CVSSv3!$E$24,"")))))))))),((7.52*((1-((1-(IF(H488=CVSSv3!$C$9,CVSSv3!$C$22,(IF(H488=CVSSv3!$D$9,CVSSv3!$D$22,(IF(H488=CVSSv3!$E$9,CVSSv3!$E$22,"")))))))*(1-(IF(H489=CVSSv3!$C$10,CVSSv3!$C$23,(IF(H489=CVSSv3!$D$10,CVSSv3!$D$23,(IF(H489=CVSSv3!$E$10,CVSSv3!$E$23,"")))))))*(1-(IF(H490=CVSSv3!$C$11,CVSSv3!$C$24,(IF(H490=CVSSv3!$D$11,CVSSv3!$D$24,(IF(H490=CVSSv3!$E$11,CVSSv3!$E$24,"")))))))))-0.029))-(3.25*POWER(((1-((1-(IF(H488=CVSSv3!$C$9,CVSSv3!$C$22,(IF(H488=CVSSv3!$D$9,CVSSv3!$D$22,(IF(H488=CVSSv3!$E$9,CVSSv3!$E$22,"")))))))*(1-(IF(H489=CVSSv3!$C$10,CVSSv3!$C$23,(IF(H489=CVSSv3!$D$10,CVSSv3!$D$23,(IF(H489=CVSSv3!$E$10,CVSSv3!$E$23,"")))))))*(1-(IF(H490=CVSSv3!$C$11,CVSSv3!$C$24,(IF(H490=CVSSv3!$D$11,CVSSv3!$D$24,(IF(H490=CVSSv3!$E$11,CVSSv3!$E$24,"")))))))))-0.02),15)))))+(8.22*(IF(H483=CVSSv3!$C$4,CVSSv3!$C$17,(IF(H483=CVSSv3!$D$4,CVSSv3!$D$17,(IF(H483=CVSSv3!$E$4,CVSSv3!$E$17,(IF(H483=CVSSv3!$F$4,CVSSv3!$F$17,""))))))))*(IF(H484=CVSSv3!$C$5,CVSSv3!$C$18,(IF(H484=CVSSv3!$D$5,CVSSv3!$D$18,""))))*(IF(H485=CVSSv3!$C$6,CVSSv3!$C$19,(IF(H485=CVSSv3!$D$6,(IF(H487=CVSSv3!$D$8,0.68,CVSSv3!$D$19)),(IF(H485=CVSSv3!$E$6,(IF(H487=CVSSv3!$D$8,0.5,CVSSv3!$E$19))))))))*(IF(H486=CVSSv3!$C$7,CVSSv3!$C$20,(IF(H486=CVSSv3!$D$7,CVSSv3!$D$20,"")))))),10)),1))))*(IF(H491=CVSSv3!$C$12,CVSSv3!$C$25,(IF(H491=CVSSv3!$D$12,CVSSv3!$D$25,(IF(H491=CVSSv3!$E$12,CVSSv3!$E$25,(IF(H491=CVSSv3!$F$12,CVSSv3!$F$25,""))))))))*(IF(H492=CVSSv3!$C$13,CVSSv3!$C$26,(IF(H492=CVSSv3!$D$13,CVSSv3!$D$26,(IF(H492=CVSSv3!$E$13,CVSSv3!$E$26,(IF(H492=CVSSv3!$F$13,CVSSv3!$F$26,""))))))))*(IF(H493=CVSSv3!$C$14,CVSSv3!$C$27,(IF(H493=CVSSv3!$D$14,CVSSv3!$D$27,(IF(H493=CVSSv3!$E$14,CVSSv3!$E$27,""))))))),1)</f>
        <v>9</v>
      </c>
      <c r="J483" s="89">
        <v>0</v>
      </c>
      <c r="K483" s="89">
        <v>0</v>
      </c>
      <c r="L483" s="85" t="s">
        <v>17</v>
      </c>
      <c r="M483" s="85" t="s">
        <v>17</v>
      </c>
      <c r="N483" s="85" t="s">
        <v>707</v>
      </c>
      <c r="O483" s="85" t="s">
        <v>708</v>
      </c>
    </row>
    <row r="484" spans="1:15" x14ac:dyDescent="0.25">
      <c r="A484" s="89"/>
      <c r="B484" s="85"/>
      <c r="C484" s="85"/>
      <c r="D484" s="85"/>
      <c r="E484" s="85"/>
      <c r="F484" s="85"/>
      <c r="G484" s="80" t="str">
        <f>CVSSv3!$A$5</f>
        <v>Complejidad de ataque:</v>
      </c>
      <c r="H484" s="81" t="s">
        <v>709</v>
      </c>
      <c r="I484" s="88"/>
      <c r="J484" s="89"/>
      <c r="K484" s="89"/>
      <c r="L484" s="85"/>
      <c r="M484" s="85"/>
      <c r="N484" s="85"/>
      <c r="O484" s="85"/>
    </row>
    <row r="485" spans="1:15" x14ac:dyDescent="0.25">
      <c r="A485" s="89"/>
      <c r="B485" s="85"/>
      <c r="C485" s="85"/>
      <c r="D485" s="85"/>
      <c r="E485" s="85"/>
      <c r="F485" s="85"/>
      <c r="G485" s="80" t="str">
        <f>CVSSv3!$A$6</f>
        <v>Privilegios requeridos:</v>
      </c>
      <c r="H485" s="81" t="s">
        <v>710</v>
      </c>
      <c r="I485" s="88"/>
      <c r="J485" s="89"/>
      <c r="K485" s="89"/>
      <c r="L485" s="85"/>
      <c r="M485" s="85"/>
      <c r="N485" s="85"/>
      <c r="O485" s="85"/>
    </row>
    <row r="486" spans="1:15" x14ac:dyDescent="0.25">
      <c r="A486" s="89"/>
      <c r="B486" s="85"/>
      <c r="C486" s="85"/>
      <c r="D486" s="85"/>
      <c r="E486" s="85"/>
      <c r="F486" s="85"/>
      <c r="G486" s="80" t="str">
        <f>CVSSv3!$A$7</f>
        <v>Interacción del usuario:</v>
      </c>
      <c r="H486" s="81" t="s">
        <v>711</v>
      </c>
      <c r="I486" s="88"/>
      <c r="J486" s="89"/>
      <c r="K486" s="89"/>
      <c r="L486" s="85"/>
      <c r="M486" s="85"/>
      <c r="N486" s="85"/>
      <c r="O486" s="85"/>
    </row>
    <row r="487" spans="1:15" x14ac:dyDescent="0.25">
      <c r="A487" s="89"/>
      <c r="B487" s="85"/>
      <c r="C487" s="85"/>
      <c r="D487" s="85"/>
      <c r="E487" s="85"/>
      <c r="F487" s="85"/>
      <c r="G487" s="80" t="str">
        <f>CVSSv3!$A$8</f>
        <v>Alcance:</v>
      </c>
      <c r="H487" s="81" t="s">
        <v>712</v>
      </c>
      <c r="I487" s="88"/>
      <c r="J487" s="89"/>
      <c r="K487" s="89"/>
      <c r="L487" s="85"/>
      <c r="M487" s="85"/>
      <c r="N487" s="85"/>
      <c r="O487" s="85"/>
    </row>
    <row r="488" spans="1:15" x14ac:dyDescent="0.25">
      <c r="A488" s="89"/>
      <c r="B488" s="85"/>
      <c r="C488" s="85"/>
      <c r="D488" s="85"/>
      <c r="E488" s="85"/>
      <c r="F488" s="85"/>
      <c r="G488" s="80" t="str">
        <f>CVSSv3!$A$9</f>
        <v>Impacto a la confidencialidad:</v>
      </c>
      <c r="H488" s="81" t="s">
        <v>713</v>
      </c>
      <c r="I488" s="88"/>
      <c r="J488" s="89"/>
      <c r="K488" s="89"/>
      <c r="L488" s="85"/>
      <c r="M488" s="85"/>
      <c r="N488" s="85"/>
      <c r="O488" s="85"/>
    </row>
    <row r="489" spans="1:15" x14ac:dyDescent="0.25">
      <c r="A489" s="89"/>
      <c r="B489" s="85"/>
      <c r="C489" s="85"/>
      <c r="D489" s="85"/>
      <c r="E489" s="85"/>
      <c r="F489" s="85"/>
      <c r="G489" s="80" t="str">
        <f>CVSSv3!$A$10</f>
        <v>Impacto a la integridad:</v>
      </c>
      <c r="H489" s="81" t="s">
        <v>713</v>
      </c>
      <c r="I489" s="88"/>
      <c r="J489" s="89"/>
      <c r="K489" s="89"/>
      <c r="L489" s="85"/>
      <c r="M489" s="85"/>
      <c r="N489" s="85"/>
      <c r="O489" s="85"/>
    </row>
    <row r="490" spans="1:15" x14ac:dyDescent="0.25">
      <c r="A490" s="89"/>
      <c r="B490" s="85"/>
      <c r="C490" s="85"/>
      <c r="D490" s="85"/>
      <c r="E490" s="85"/>
      <c r="F490" s="85"/>
      <c r="G490" s="80" t="str">
        <f>CVSSv3!$A$11</f>
        <v>Impacto a la disponibilidad:</v>
      </c>
      <c r="H490" s="81" t="s">
        <v>713</v>
      </c>
      <c r="I490" s="88"/>
      <c r="J490" s="89"/>
      <c r="K490" s="89"/>
      <c r="L490" s="85"/>
      <c r="M490" s="85"/>
      <c r="N490" s="85"/>
      <c r="O490" s="85"/>
    </row>
    <row r="491" spans="1:15" x14ac:dyDescent="0.25">
      <c r="A491" s="89"/>
      <c r="B491" s="85"/>
      <c r="C491" s="85"/>
      <c r="D491" s="85"/>
      <c r="E491" s="85"/>
      <c r="F491" s="85"/>
      <c r="G491" s="80" t="str">
        <f>CVSSv3!$A$12</f>
        <v>Explotabilidad:</v>
      </c>
      <c r="H491" s="81" t="s">
        <v>709</v>
      </c>
      <c r="I491" s="88"/>
      <c r="J491" s="89"/>
      <c r="K491" s="89"/>
      <c r="L491" s="85"/>
      <c r="M491" s="85"/>
      <c r="N491" s="85"/>
      <c r="O491" s="85"/>
    </row>
    <row r="492" spans="1:15" x14ac:dyDescent="0.25">
      <c r="A492" s="89"/>
      <c r="B492" s="85"/>
      <c r="C492" s="85"/>
      <c r="D492" s="85"/>
      <c r="E492" s="85"/>
      <c r="F492" s="85"/>
      <c r="G492" s="80" t="str">
        <f>CVSSv3!$A$13</f>
        <v>Nivel de resolución:</v>
      </c>
      <c r="H492" s="81" t="s">
        <v>714</v>
      </c>
      <c r="I492" s="88"/>
      <c r="J492" s="89"/>
      <c r="K492" s="89"/>
      <c r="L492" s="85"/>
      <c r="M492" s="85"/>
      <c r="N492" s="85"/>
      <c r="O492" s="85"/>
    </row>
    <row r="493" spans="1:15" x14ac:dyDescent="0.25">
      <c r="A493" s="89"/>
      <c r="B493" s="85"/>
      <c r="C493" s="85"/>
      <c r="D493" s="85"/>
      <c r="E493" s="85"/>
      <c r="F493" s="85"/>
      <c r="G493" s="80" t="str">
        <f>CVSSv3!$A$14</f>
        <v>Nivel de confianza</v>
      </c>
      <c r="H493" s="81" t="s">
        <v>715</v>
      </c>
      <c r="I493" s="88"/>
      <c r="J493" s="89"/>
      <c r="K493" s="89"/>
      <c r="L493" s="85"/>
      <c r="M493" s="85"/>
      <c r="N493" s="85"/>
      <c r="O493" s="85"/>
    </row>
    <row r="494" spans="1:15" x14ac:dyDescent="0.25">
      <c r="A494" s="89"/>
      <c r="B494" s="85"/>
      <c r="C494" s="85"/>
      <c r="D494" s="85"/>
      <c r="E494" s="85"/>
      <c r="F494" s="85"/>
      <c r="G494" s="86" t="str">
        <f>"("&amp;CVSSv3!$B$4&amp;":"&amp;IF(H483=CVSSv3!$C$4,CVSSv3!$C$30,IF(H483=CVSSv3!$D$4,CVSSv3!$D$30,IF(H483=CVSSv3!$E$4,CVSSv3!$E$30,IF(H483=CVSSv3!$F$4,CVSSv3!$F$30,""))))&amp;"/"&amp;CVSSv3!$B$5&amp;":"&amp;IF(H484=CVSSv3!$C$5,CVSSv3!$C$31,IF(H484=CVSSv3!$D$5,CVSSv3!$D$31,""))&amp;"/"&amp;CVSSv3!$B$6&amp;":"&amp;IF(H485=CVSSv3!$C$6,CVSSv3!$C$32,IF(H485=CVSSv3!$D$6,CVSSv3!$D$32,IF(H485=CVSSv3!$E$6,CVSSv3!$E$32,"")))&amp;"/"&amp;CVSSv3!$B$7&amp;":"&amp;IF(H486=CVSSv3!$C$7,CVSSv3!$C$33,IF(H486=CVSSv3!$D$7,CVSSv3!$D$33,""))&amp;"/"&amp;CVSSv3!$B$8&amp;":"&amp;IF(H487=CVSSv3!$C$8,CVSSv3!$C$34,IF(H487=CVSSv3!$D$8,CVSSv3!$D$34,""))&amp;"/"&amp;CVSSv3!$B$9&amp;":"&amp;IF(H488=CVSSv3!$C$9,CVSSv3!$C$35,IF(H488=CVSSv3!$D$9,CVSSv3!$D$35,IF(H488=CVSSv3!$E$9,CVSSv3!$E$35,"")))&amp;"/"&amp;CVSSv3!$B$10&amp;":"&amp;IF(H489=CVSSv3!$C$10,CVSSv3!$C$36,IF(H489=CVSSv3!$D$10,CVSSv3!$D$36,IF(H489=CVSSv3!$E$10,CVSSv3!$E$36,"")))&amp;"/"&amp;CVSSv3!$B$11&amp;":"&amp;IF(H490=CVSSv3!$C$11,CVSSv3!$C$37,IF(H490=CVSSv3!$D$11,CVSSv3!$D$37,IF(H490=CVSSv3!$E$11,CVSSv3!$E$37,"")))&amp;"/"&amp;CVSSv3!$B$12&amp;":"&amp;IF(H491=CVSSv3!$C$12,CVSSv3!$C$38,IF(H491=CVSSv3!$D$12,CVSSv3!$D$38,IF(H491=CVSSv3!$E$12,CVSSv3!$E$38,IF(H491=CVSSv3!$F$12,CVSSv3!$F$38,""))))&amp;"/"&amp;CVSSv3!$B$13&amp;":"&amp;IF(H492=CVSSv3!$C$13,CVSSv3!$C$39,IF(H492=CVSSv3!$D$13,CVSSv3!$D$39,IF(H492=CVSSv3!$E$13,CVSSv3!$E$39,IF(H492=CVSSv3!$F$13,CVSSv3!$F$39,""))))&amp;"/"&amp;CVSSv3!$B$14&amp;":"&amp;IF(H493=CVSSv3!$C$14,CVSSv3!$C$40,IF(H493=CVSSv3!$D$14,CVSSv3!$D$40,IF(H493=CVSSv3!$E$14,CVSSv3!$E$40,"")))&amp;")"</f>
        <v>(AV:N/AC:H/PR:N/UI:N/S:C/C:H/I:H/A:H/E:H/RL:U/RC:C)</v>
      </c>
      <c r="H494" s="87"/>
      <c r="I494" s="88"/>
      <c r="J494" s="89"/>
      <c r="K494" s="89"/>
      <c r="L494" s="85"/>
      <c r="M494" s="85"/>
      <c r="N494" s="85"/>
      <c r="O494" s="85"/>
    </row>
    <row r="495" spans="1:15" x14ac:dyDescent="0.25">
      <c r="A495" s="89">
        <v>42</v>
      </c>
      <c r="B495" s="85" t="s">
        <v>755</v>
      </c>
      <c r="C495" s="85" t="s">
        <v>17</v>
      </c>
      <c r="D495" s="85" t="s">
        <v>17</v>
      </c>
      <c r="E495" s="85" t="s">
        <v>17</v>
      </c>
      <c r="F495"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95" s="82" t="str">
        <f>CVSSv3!$A$4</f>
        <v>Vector de ataque:</v>
      </c>
      <c r="H495" s="84" t="s">
        <v>706</v>
      </c>
      <c r="I495" s="88">
        <f>ROUNDUP((IF((IF(H499=CVSSv3!$C$8,(6.42*(1-((1-(IF(H500=CVSSv3!$C$9,CVSSv3!$C$22,(IF(H500=CVSSv3!$D$9,CVSSv3!$D$22,(IF(H500=CVSSv3!$E$9,CVSSv3!$E$22,"")))))))*(1-(IF(H501=CVSSv3!$C$10,CVSSv3!$C$23,(IF(H501=CVSSv3!$D$10,CVSSv3!$D$23,(IF(H501=CVSSv3!$E$10,CVSSv3!$E$23,"")))))))*(1-(IF(H502=CVSSv3!$C$11,CVSSv3!$C$24,(IF(H502=CVSSv3!$D$11,CVSSv3!$D$24,(IF(H502=CVSSv3!$E$11,CVSSv3!$E$24,"")))))))))),((7.52*((1-((1-(IF(H500=CVSSv3!$C$9,CVSSv3!$C$22,(IF(H500=CVSSv3!$D$9,CVSSv3!$D$22,(IF(H500=CVSSv3!$E$9,CVSSv3!$E$22,"")))))))*(1-(IF(H501=CVSSv3!$C$10,CVSSv3!$C$23,(IF(H501=CVSSv3!$D$10,CVSSv3!$D$23,(IF(H501=CVSSv3!$E$10,CVSSv3!$E$23,"")))))))*(1-(IF(H502=CVSSv3!$C$11,CVSSv3!$C$24,(IF(H502=CVSSv3!$D$11,CVSSv3!$D$24,(IF(H502=CVSSv3!$E$11,CVSSv3!$E$24,"")))))))))-0.029))-(3.25*POWER(((1-((1-(IF(H500=CVSSv3!$C$9,CVSSv3!$C$22,(IF(H500=CVSSv3!$D$9,CVSSv3!$D$22,(IF(H500=CVSSv3!$E$9,CVSSv3!$E$22,"")))))))*(1-(IF(H501=CVSSv3!$C$10,CVSSv3!$C$23,(IF(H501=CVSSv3!$D$10,CVSSv3!$D$23,(IF(H501=CVSSv3!$E$10,CVSSv3!$E$23,"")))))))*(1-(IF(H502=CVSSv3!$C$11,CVSSv3!$C$24,(IF(H502=CVSSv3!$D$11,CVSSv3!$D$24,(IF(H502=CVSSv3!$E$11,CVSSv3!$E$24,"")))))))))-0.02),15)))))&lt;=0,0,(IF(H499=CVSSv3!$C$8,ROUNDUP((MIN((IF(H499=CVSSv3!$C$8,(6.42*(1-((1-(IF(H500=CVSSv3!$C$9,CVSSv3!$C$22,(IF(H500=CVSSv3!$D$9,CVSSv3!$D$22,(IF(H500=CVSSv3!$E$9,CVSSv3!$E$22,"")))))))*(1-(IF(H501=CVSSv3!$C$10,CVSSv3!$C$23,(IF(H501=CVSSv3!$D$10,CVSSv3!$D$23,(IF(H501=CVSSv3!$E$10,CVSSv3!$E$23,"")))))))*(1-(IF(H502=CVSSv3!$C$11,CVSSv3!$C$24,(IF(H502=CVSSv3!$D$11,CVSSv3!$D$24,(IF(H502=CVSSv3!$E$11,CVSSv3!$E$24,"")))))))))),((7.52*((1-((1-(IF(H500=CVSSv3!$C$9,CVSSv3!$C$22,(IF(H500=CVSSv3!$D$9,CVSSv3!$D$22,(IF(H500=CVSSv3!$E$9,CVSSv3!$E$22,"")))))))*(1-(IF(H501=CVSSv3!$C$10,CVSSv3!$C$23,(IF(H501=CVSSv3!$D$10,CVSSv3!$D$23,(IF(H501=CVSSv3!$E$10,CVSSv3!$E$23,"")))))))*(1-(IF(H502=CVSSv3!$C$11,CVSSv3!$C$24,(IF(H502=CVSSv3!$D$11,CVSSv3!$D$24,(IF(H502=CVSSv3!$E$11,CVSSv3!$E$24,"")))))))))-0.029))-(3.25*POWER(((1-((1-(IF(H500=CVSSv3!$C$9,CVSSv3!$C$22,(IF(H500=CVSSv3!$D$9,CVSSv3!$D$22,(IF(H500=CVSSv3!$E$9,CVSSv3!$E$22,"")))))))*(1-(IF(H501=CVSSv3!$C$10,CVSSv3!$C$23,(IF(H501=CVSSv3!$D$10,CVSSv3!$D$23,(IF(H501=CVSSv3!$E$10,CVSSv3!$E$23,"")))))))*(1-(IF(H502=CVSSv3!$C$11,CVSSv3!$C$24,(IF(H502=CVSSv3!$D$11,CVSSv3!$D$24,(IF(H502=CVSSv3!$E$11,CVSSv3!$E$24,"")))))))))-0.02),15)))))+(8.22*(IF(H495=CVSSv3!$C$4,CVSSv3!$C$17,(IF(H495=CVSSv3!$D$4,CVSSv3!$D$17,(IF(H495=CVSSv3!$E$4,CVSSv3!$E$17,(IF(H495=CVSSv3!$F$4,CVSSv3!$F$17,""))))))))*(IF(H496=CVSSv3!$C$5,CVSSv3!$C$18,(IF(H496=CVSSv3!$D$5,CVSSv3!$D$18,""))))*(IF(H497=CVSSv3!$C$6,CVSSv3!$C$19,(IF(H497=CVSSv3!$D$6,(IF(H499=CVSSv3!$D$8,0.68,CVSSv3!$D$19)),(IF(H497=CVSSv3!$E$6,(IF(H499=CVSSv3!$D$8,0.5,CVSSv3!$E$19))))))))*(IF(H498=CVSSv3!$C$7,CVSSv3!$C$20,(IF(H498=CVSSv3!$D$7,CVSSv3!$D$20,""))))),10)),1),ROUNDUP((MIN(1.08*((IF(H499=CVSSv3!$C$8,(6.42*(1-((1-(IF(H500=CVSSv3!$C$9,CVSSv3!$C$22,(IF(H500=CVSSv3!$D$9,CVSSv3!$D$22,(IF(H500=CVSSv3!$E$9,CVSSv3!$E$22,"")))))))*(1-(IF(H501=CVSSv3!$C$10,CVSSv3!$C$23,(IF(H501=CVSSv3!$D$10,CVSSv3!$D$23,(IF(H501=CVSSv3!$E$10,CVSSv3!$E$23,"")))))))*(1-(IF(H502=CVSSv3!$C$11,CVSSv3!$C$24,(IF(H502=CVSSv3!$D$11,CVSSv3!$D$24,(IF(H502=CVSSv3!$E$11,CVSSv3!$E$24,"")))))))))),((7.52*((1-((1-(IF(H500=CVSSv3!$C$9,CVSSv3!$C$22,(IF(H500=CVSSv3!$D$9,CVSSv3!$D$22,(IF(H500=CVSSv3!$E$9,CVSSv3!$E$22,"")))))))*(1-(IF(H501=CVSSv3!$C$10,CVSSv3!$C$23,(IF(H501=CVSSv3!$D$10,CVSSv3!$D$23,(IF(H501=CVSSv3!$E$10,CVSSv3!$E$23,"")))))))*(1-(IF(H502=CVSSv3!$C$11,CVSSv3!$C$24,(IF(H502=CVSSv3!$D$11,CVSSv3!$D$24,(IF(H502=CVSSv3!$E$11,CVSSv3!$E$24,"")))))))))-0.029))-(3.25*POWER(((1-((1-(IF(H500=CVSSv3!$C$9,CVSSv3!$C$22,(IF(H500=CVSSv3!$D$9,CVSSv3!$D$22,(IF(H500=CVSSv3!$E$9,CVSSv3!$E$22,"")))))))*(1-(IF(H501=CVSSv3!$C$10,CVSSv3!$C$23,(IF(H501=CVSSv3!$D$10,CVSSv3!$D$23,(IF(H501=CVSSv3!$E$10,CVSSv3!$E$23,"")))))))*(1-(IF(H502=CVSSv3!$C$11,CVSSv3!$C$24,(IF(H502=CVSSv3!$D$11,CVSSv3!$D$24,(IF(H502=CVSSv3!$E$11,CVSSv3!$E$24,"")))))))))-0.02),15)))))+(8.22*(IF(H495=CVSSv3!$C$4,CVSSv3!$C$17,(IF(H495=CVSSv3!$D$4,CVSSv3!$D$17,(IF(H495=CVSSv3!$E$4,CVSSv3!$E$17,(IF(H495=CVSSv3!$F$4,CVSSv3!$F$17,""))))))))*(IF(H496=CVSSv3!$C$5,CVSSv3!$C$18,(IF(H496=CVSSv3!$D$5,CVSSv3!$D$18,""))))*(IF(H497=CVSSv3!$C$6,CVSSv3!$C$19,(IF(H497=CVSSv3!$D$6,(IF(H499=CVSSv3!$D$8,0.68,CVSSv3!$D$19)),(IF(H497=CVSSv3!$E$6,(IF(H499=CVSSv3!$D$8,0.5,CVSSv3!$E$19))))))))*(IF(H498=CVSSv3!$C$7,CVSSv3!$C$20,(IF(H498=CVSSv3!$D$7,CVSSv3!$D$20,"")))))),10)),1))))*(IF(H503=CVSSv3!$C$12,CVSSv3!$C$25,(IF(H503=CVSSv3!$D$12,CVSSv3!$D$25,(IF(H503=CVSSv3!$E$12,CVSSv3!$E$25,(IF(H503=CVSSv3!$F$12,CVSSv3!$F$25,""))))))))*(IF(H504=CVSSv3!$C$13,CVSSv3!$C$26,(IF(H504=CVSSv3!$D$13,CVSSv3!$D$26,(IF(H504=CVSSv3!$E$13,CVSSv3!$E$26,(IF(H504=CVSSv3!$F$13,CVSSv3!$F$26,""))))))))*(IF(H505=CVSSv3!$C$14,CVSSv3!$C$27,(IF(H505=CVSSv3!$D$14,CVSSv3!$D$27,(IF(H505=CVSSv3!$E$14,CVSSv3!$E$27,""))))))),1)</f>
        <v>9</v>
      </c>
      <c r="J495" s="89">
        <v>0</v>
      </c>
      <c r="K495" s="89">
        <v>0</v>
      </c>
      <c r="L495" s="85" t="s">
        <v>17</v>
      </c>
      <c r="M495" s="85" t="s">
        <v>17</v>
      </c>
      <c r="N495" s="85" t="s">
        <v>707</v>
      </c>
      <c r="O495" s="85" t="s">
        <v>708</v>
      </c>
    </row>
    <row r="496" spans="1:15" x14ac:dyDescent="0.25">
      <c r="A496" s="89"/>
      <c r="B496" s="85"/>
      <c r="C496" s="85"/>
      <c r="D496" s="85"/>
      <c r="E496" s="85"/>
      <c r="F496" s="85"/>
      <c r="G496" s="80" t="str">
        <f>CVSSv3!$A$5</f>
        <v>Complejidad de ataque:</v>
      </c>
      <c r="H496" s="81" t="s">
        <v>709</v>
      </c>
      <c r="I496" s="88"/>
      <c r="J496" s="89"/>
      <c r="K496" s="89"/>
      <c r="L496" s="85"/>
      <c r="M496" s="85"/>
      <c r="N496" s="85"/>
      <c r="O496" s="85"/>
    </row>
    <row r="497" spans="1:15" x14ac:dyDescent="0.25">
      <c r="A497" s="89"/>
      <c r="B497" s="85"/>
      <c r="C497" s="85"/>
      <c r="D497" s="85"/>
      <c r="E497" s="85"/>
      <c r="F497" s="85"/>
      <c r="G497" s="80" t="str">
        <f>CVSSv3!$A$6</f>
        <v>Privilegios requeridos:</v>
      </c>
      <c r="H497" s="81" t="s">
        <v>710</v>
      </c>
      <c r="I497" s="88"/>
      <c r="J497" s="89"/>
      <c r="K497" s="89"/>
      <c r="L497" s="85"/>
      <c r="M497" s="85"/>
      <c r="N497" s="85"/>
      <c r="O497" s="85"/>
    </row>
    <row r="498" spans="1:15" x14ac:dyDescent="0.25">
      <c r="A498" s="89"/>
      <c r="B498" s="85"/>
      <c r="C498" s="85"/>
      <c r="D498" s="85"/>
      <c r="E498" s="85"/>
      <c r="F498" s="85"/>
      <c r="G498" s="80" t="str">
        <f>CVSSv3!$A$7</f>
        <v>Interacción del usuario:</v>
      </c>
      <c r="H498" s="81" t="s">
        <v>711</v>
      </c>
      <c r="I498" s="88"/>
      <c r="J498" s="89"/>
      <c r="K498" s="89"/>
      <c r="L498" s="85"/>
      <c r="M498" s="85"/>
      <c r="N498" s="85"/>
      <c r="O498" s="85"/>
    </row>
    <row r="499" spans="1:15" x14ac:dyDescent="0.25">
      <c r="A499" s="89"/>
      <c r="B499" s="85"/>
      <c r="C499" s="85"/>
      <c r="D499" s="85"/>
      <c r="E499" s="85"/>
      <c r="F499" s="85"/>
      <c r="G499" s="80" t="str">
        <f>CVSSv3!$A$8</f>
        <v>Alcance:</v>
      </c>
      <c r="H499" s="81" t="s">
        <v>712</v>
      </c>
      <c r="I499" s="88"/>
      <c r="J499" s="89"/>
      <c r="K499" s="89"/>
      <c r="L499" s="85"/>
      <c r="M499" s="85"/>
      <c r="N499" s="85"/>
      <c r="O499" s="85"/>
    </row>
    <row r="500" spans="1:15" x14ac:dyDescent="0.25">
      <c r="A500" s="89"/>
      <c r="B500" s="85"/>
      <c r="C500" s="85"/>
      <c r="D500" s="85"/>
      <c r="E500" s="85"/>
      <c r="F500" s="85"/>
      <c r="G500" s="80" t="str">
        <f>CVSSv3!$A$9</f>
        <v>Impacto a la confidencialidad:</v>
      </c>
      <c r="H500" s="81" t="s">
        <v>713</v>
      </c>
      <c r="I500" s="88"/>
      <c r="J500" s="89"/>
      <c r="K500" s="89"/>
      <c r="L500" s="85"/>
      <c r="M500" s="85"/>
      <c r="N500" s="85"/>
      <c r="O500" s="85"/>
    </row>
    <row r="501" spans="1:15" x14ac:dyDescent="0.25">
      <c r="A501" s="89"/>
      <c r="B501" s="85"/>
      <c r="C501" s="85"/>
      <c r="D501" s="85"/>
      <c r="E501" s="85"/>
      <c r="F501" s="85"/>
      <c r="G501" s="80" t="str">
        <f>CVSSv3!$A$10</f>
        <v>Impacto a la integridad:</v>
      </c>
      <c r="H501" s="81" t="s">
        <v>713</v>
      </c>
      <c r="I501" s="88"/>
      <c r="J501" s="89"/>
      <c r="K501" s="89"/>
      <c r="L501" s="85"/>
      <c r="M501" s="85"/>
      <c r="N501" s="85"/>
      <c r="O501" s="85"/>
    </row>
    <row r="502" spans="1:15" x14ac:dyDescent="0.25">
      <c r="A502" s="89"/>
      <c r="B502" s="85"/>
      <c r="C502" s="85"/>
      <c r="D502" s="85"/>
      <c r="E502" s="85"/>
      <c r="F502" s="85"/>
      <c r="G502" s="80" t="str">
        <f>CVSSv3!$A$11</f>
        <v>Impacto a la disponibilidad:</v>
      </c>
      <c r="H502" s="81" t="s">
        <v>713</v>
      </c>
      <c r="I502" s="88"/>
      <c r="J502" s="89"/>
      <c r="K502" s="89"/>
      <c r="L502" s="85"/>
      <c r="M502" s="85"/>
      <c r="N502" s="85"/>
      <c r="O502" s="85"/>
    </row>
    <row r="503" spans="1:15" x14ac:dyDescent="0.25">
      <c r="A503" s="89"/>
      <c r="B503" s="85"/>
      <c r="C503" s="85"/>
      <c r="D503" s="85"/>
      <c r="E503" s="85"/>
      <c r="F503" s="85"/>
      <c r="G503" s="80" t="str">
        <f>CVSSv3!$A$12</f>
        <v>Explotabilidad:</v>
      </c>
      <c r="H503" s="81" t="s">
        <v>709</v>
      </c>
      <c r="I503" s="88"/>
      <c r="J503" s="89"/>
      <c r="K503" s="89"/>
      <c r="L503" s="85"/>
      <c r="M503" s="85"/>
      <c r="N503" s="85"/>
      <c r="O503" s="85"/>
    </row>
    <row r="504" spans="1:15" x14ac:dyDescent="0.25">
      <c r="A504" s="89"/>
      <c r="B504" s="85"/>
      <c r="C504" s="85"/>
      <c r="D504" s="85"/>
      <c r="E504" s="85"/>
      <c r="F504" s="85"/>
      <c r="G504" s="80" t="str">
        <f>CVSSv3!$A$13</f>
        <v>Nivel de resolución:</v>
      </c>
      <c r="H504" s="81" t="s">
        <v>714</v>
      </c>
      <c r="I504" s="88"/>
      <c r="J504" s="89"/>
      <c r="K504" s="89"/>
      <c r="L504" s="85"/>
      <c r="M504" s="85"/>
      <c r="N504" s="85"/>
      <c r="O504" s="85"/>
    </row>
    <row r="505" spans="1:15" x14ac:dyDescent="0.25">
      <c r="A505" s="89"/>
      <c r="B505" s="85"/>
      <c r="C505" s="85"/>
      <c r="D505" s="85"/>
      <c r="E505" s="85"/>
      <c r="F505" s="85"/>
      <c r="G505" s="80" t="str">
        <f>CVSSv3!$A$14</f>
        <v>Nivel de confianza</v>
      </c>
      <c r="H505" s="81" t="s">
        <v>715</v>
      </c>
      <c r="I505" s="88"/>
      <c r="J505" s="89"/>
      <c r="K505" s="89"/>
      <c r="L505" s="85"/>
      <c r="M505" s="85"/>
      <c r="N505" s="85"/>
      <c r="O505" s="85"/>
    </row>
    <row r="506" spans="1:15" x14ac:dyDescent="0.25">
      <c r="A506" s="89"/>
      <c r="B506" s="85"/>
      <c r="C506" s="85"/>
      <c r="D506" s="85"/>
      <c r="E506" s="85"/>
      <c r="F506" s="85"/>
      <c r="G506" s="86" t="str">
        <f>"("&amp;CVSSv3!$B$4&amp;":"&amp;IF(H495=CVSSv3!$C$4,CVSSv3!$C$30,IF(H495=CVSSv3!$D$4,CVSSv3!$D$30,IF(H495=CVSSv3!$E$4,CVSSv3!$E$30,IF(H495=CVSSv3!$F$4,CVSSv3!$F$30,""))))&amp;"/"&amp;CVSSv3!$B$5&amp;":"&amp;IF(H496=CVSSv3!$C$5,CVSSv3!$C$31,IF(H496=CVSSv3!$D$5,CVSSv3!$D$31,""))&amp;"/"&amp;CVSSv3!$B$6&amp;":"&amp;IF(H497=CVSSv3!$C$6,CVSSv3!$C$32,IF(H497=CVSSv3!$D$6,CVSSv3!$D$32,IF(H497=CVSSv3!$E$6,CVSSv3!$E$32,"")))&amp;"/"&amp;CVSSv3!$B$7&amp;":"&amp;IF(H498=CVSSv3!$C$7,CVSSv3!$C$33,IF(H498=CVSSv3!$D$7,CVSSv3!$D$33,""))&amp;"/"&amp;CVSSv3!$B$8&amp;":"&amp;IF(H499=CVSSv3!$C$8,CVSSv3!$C$34,IF(H499=CVSSv3!$D$8,CVSSv3!$D$34,""))&amp;"/"&amp;CVSSv3!$B$9&amp;":"&amp;IF(H500=CVSSv3!$C$9,CVSSv3!$C$35,IF(H500=CVSSv3!$D$9,CVSSv3!$D$35,IF(H500=CVSSv3!$E$9,CVSSv3!$E$35,"")))&amp;"/"&amp;CVSSv3!$B$10&amp;":"&amp;IF(H501=CVSSv3!$C$10,CVSSv3!$C$36,IF(H501=CVSSv3!$D$10,CVSSv3!$D$36,IF(H501=CVSSv3!$E$10,CVSSv3!$E$36,"")))&amp;"/"&amp;CVSSv3!$B$11&amp;":"&amp;IF(H502=CVSSv3!$C$11,CVSSv3!$C$37,IF(H502=CVSSv3!$D$11,CVSSv3!$D$37,IF(H502=CVSSv3!$E$11,CVSSv3!$E$37,"")))&amp;"/"&amp;CVSSv3!$B$12&amp;":"&amp;IF(H503=CVSSv3!$C$12,CVSSv3!$C$38,IF(H503=CVSSv3!$D$12,CVSSv3!$D$38,IF(H503=CVSSv3!$E$12,CVSSv3!$E$38,IF(H503=CVSSv3!$F$12,CVSSv3!$F$38,""))))&amp;"/"&amp;CVSSv3!$B$13&amp;":"&amp;IF(H504=CVSSv3!$C$13,CVSSv3!$C$39,IF(H504=CVSSv3!$D$13,CVSSv3!$D$39,IF(H504=CVSSv3!$E$13,CVSSv3!$E$39,IF(H504=CVSSv3!$F$13,CVSSv3!$F$39,""))))&amp;"/"&amp;CVSSv3!$B$14&amp;":"&amp;IF(H505=CVSSv3!$C$14,CVSSv3!$C$40,IF(H505=CVSSv3!$D$14,CVSSv3!$D$40,IF(H505=CVSSv3!$E$14,CVSSv3!$E$40,"")))&amp;")"</f>
        <v>(AV:N/AC:H/PR:N/UI:N/S:C/C:H/I:H/A:H/E:H/RL:U/RC:C)</v>
      </c>
      <c r="H506" s="87"/>
      <c r="I506" s="88"/>
      <c r="J506" s="89"/>
      <c r="K506" s="89"/>
      <c r="L506" s="85"/>
      <c r="M506" s="85"/>
      <c r="N506" s="85"/>
      <c r="O506" s="85"/>
    </row>
    <row r="507" spans="1:15" x14ac:dyDescent="0.25">
      <c r="A507" s="89">
        <v>43</v>
      </c>
      <c r="B507" s="85" t="s">
        <v>756</v>
      </c>
      <c r="C507" s="85" t="s">
        <v>17</v>
      </c>
      <c r="D507" s="85" t="s">
        <v>17</v>
      </c>
      <c r="E507" s="85" t="s">
        <v>17</v>
      </c>
      <c r="F507"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07" s="82" t="str">
        <f>CVSSv3!$A$4</f>
        <v>Vector de ataque:</v>
      </c>
      <c r="H507" s="84" t="s">
        <v>706</v>
      </c>
      <c r="I507" s="88">
        <f>ROUNDUP((IF((IF(H511=CVSSv3!$C$8,(6.42*(1-((1-(IF(H512=CVSSv3!$C$9,CVSSv3!$C$22,(IF(H512=CVSSv3!$D$9,CVSSv3!$D$22,(IF(H512=CVSSv3!$E$9,CVSSv3!$E$22,"")))))))*(1-(IF(H513=CVSSv3!$C$10,CVSSv3!$C$23,(IF(H513=CVSSv3!$D$10,CVSSv3!$D$23,(IF(H513=CVSSv3!$E$10,CVSSv3!$E$23,"")))))))*(1-(IF(H514=CVSSv3!$C$11,CVSSv3!$C$24,(IF(H514=CVSSv3!$D$11,CVSSv3!$D$24,(IF(H514=CVSSv3!$E$11,CVSSv3!$E$24,"")))))))))),((7.52*((1-((1-(IF(H512=CVSSv3!$C$9,CVSSv3!$C$22,(IF(H512=CVSSv3!$D$9,CVSSv3!$D$22,(IF(H512=CVSSv3!$E$9,CVSSv3!$E$22,"")))))))*(1-(IF(H513=CVSSv3!$C$10,CVSSv3!$C$23,(IF(H513=CVSSv3!$D$10,CVSSv3!$D$23,(IF(H513=CVSSv3!$E$10,CVSSv3!$E$23,"")))))))*(1-(IF(H514=CVSSv3!$C$11,CVSSv3!$C$24,(IF(H514=CVSSv3!$D$11,CVSSv3!$D$24,(IF(H514=CVSSv3!$E$11,CVSSv3!$E$24,"")))))))))-0.029))-(3.25*POWER(((1-((1-(IF(H512=CVSSv3!$C$9,CVSSv3!$C$22,(IF(H512=CVSSv3!$D$9,CVSSv3!$D$22,(IF(H512=CVSSv3!$E$9,CVSSv3!$E$22,"")))))))*(1-(IF(H513=CVSSv3!$C$10,CVSSv3!$C$23,(IF(H513=CVSSv3!$D$10,CVSSv3!$D$23,(IF(H513=CVSSv3!$E$10,CVSSv3!$E$23,"")))))))*(1-(IF(H514=CVSSv3!$C$11,CVSSv3!$C$24,(IF(H514=CVSSv3!$D$11,CVSSv3!$D$24,(IF(H514=CVSSv3!$E$11,CVSSv3!$E$24,"")))))))))-0.02),15)))))&lt;=0,0,(IF(H511=CVSSv3!$C$8,ROUNDUP((MIN((IF(H511=CVSSv3!$C$8,(6.42*(1-((1-(IF(H512=CVSSv3!$C$9,CVSSv3!$C$22,(IF(H512=CVSSv3!$D$9,CVSSv3!$D$22,(IF(H512=CVSSv3!$E$9,CVSSv3!$E$22,"")))))))*(1-(IF(H513=CVSSv3!$C$10,CVSSv3!$C$23,(IF(H513=CVSSv3!$D$10,CVSSv3!$D$23,(IF(H513=CVSSv3!$E$10,CVSSv3!$E$23,"")))))))*(1-(IF(H514=CVSSv3!$C$11,CVSSv3!$C$24,(IF(H514=CVSSv3!$D$11,CVSSv3!$D$24,(IF(H514=CVSSv3!$E$11,CVSSv3!$E$24,"")))))))))),((7.52*((1-((1-(IF(H512=CVSSv3!$C$9,CVSSv3!$C$22,(IF(H512=CVSSv3!$D$9,CVSSv3!$D$22,(IF(H512=CVSSv3!$E$9,CVSSv3!$E$22,"")))))))*(1-(IF(H513=CVSSv3!$C$10,CVSSv3!$C$23,(IF(H513=CVSSv3!$D$10,CVSSv3!$D$23,(IF(H513=CVSSv3!$E$10,CVSSv3!$E$23,"")))))))*(1-(IF(H514=CVSSv3!$C$11,CVSSv3!$C$24,(IF(H514=CVSSv3!$D$11,CVSSv3!$D$24,(IF(H514=CVSSv3!$E$11,CVSSv3!$E$24,"")))))))))-0.029))-(3.25*POWER(((1-((1-(IF(H512=CVSSv3!$C$9,CVSSv3!$C$22,(IF(H512=CVSSv3!$D$9,CVSSv3!$D$22,(IF(H512=CVSSv3!$E$9,CVSSv3!$E$22,"")))))))*(1-(IF(H513=CVSSv3!$C$10,CVSSv3!$C$23,(IF(H513=CVSSv3!$D$10,CVSSv3!$D$23,(IF(H513=CVSSv3!$E$10,CVSSv3!$E$23,"")))))))*(1-(IF(H514=CVSSv3!$C$11,CVSSv3!$C$24,(IF(H514=CVSSv3!$D$11,CVSSv3!$D$24,(IF(H514=CVSSv3!$E$11,CVSSv3!$E$24,"")))))))))-0.02),15)))))+(8.22*(IF(H507=CVSSv3!$C$4,CVSSv3!$C$17,(IF(H507=CVSSv3!$D$4,CVSSv3!$D$17,(IF(H507=CVSSv3!$E$4,CVSSv3!$E$17,(IF(H507=CVSSv3!$F$4,CVSSv3!$F$17,""))))))))*(IF(H508=CVSSv3!$C$5,CVSSv3!$C$18,(IF(H508=CVSSv3!$D$5,CVSSv3!$D$18,""))))*(IF(H509=CVSSv3!$C$6,CVSSv3!$C$19,(IF(H509=CVSSv3!$D$6,(IF(H511=CVSSv3!$D$8,0.68,CVSSv3!$D$19)),(IF(H509=CVSSv3!$E$6,(IF(H511=CVSSv3!$D$8,0.5,CVSSv3!$E$19))))))))*(IF(H510=CVSSv3!$C$7,CVSSv3!$C$20,(IF(H510=CVSSv3!$D$7,CVSSv3!$D$20,""))))),10)),1),ROUNDUP((MIN(1.08*((IF(H511=CVSSv3!$C$8,(6.42*(1-((1-(IF(H512=CVSSv3!$C$9,CVSSv3!$C$22,(IF(H512=CVSSv3!$D$9,CVSSv3!$D$22,(IF(H512=CVSSv3!$E$9,CVSSv3!$E$22,"")))))))*(1-(IF(H513=CVSSv3!$C$10,CVSSv3!$C$23,(IF(H513=CVSSv3!$D$10,CVSSv3!$D$23,(IF(H513=CVSSv3!$E$10,CVSSv3!$E$23,"")))))))*(1-(IF(H514=CVSSv3!$C$11,CVSSv3!$C$24,(IF(H514=CVSSv3!$D$11,CVSSv3!$D$24,(IF(H514=CVSSv3!$E$11,CVSSv3!$E$24,"")))))))))),((7.52*((1-((1-(IF(H512=CVSSv3!$C$9,CVSSv3!$C$22,(IF(H512=CVSSv3!$D$9,CVSSv3!$D$22,(IF(H512=CVSSv3!$E$9,CVSSv3!$E$22,"")))))))*(1-(IF(H513=CVSSv3!$C$10,CVSSv3!$C$23,(IF(H513=CVSSv3!$D$10,CVSSv3!$D$23,(IF(H513=CVSSv3!$E$10,CVSSv3!$E$23,"")))))))*(1-(IF(H514=CVSSv3!$C$11,CVSSv3!$C$24,(IF(H514=CVSSv3!$D$11,CVSSv3!$D$24,(IF(H514=CVSSv3!$E$11,CVSSv3!$E$24,"")))))))))-0.029))-(3.25*POWER(((1-((1-(IF(H512=CVSSv3!$C$9,CVSSv3!$C$22,(IF(H512=CVSSv3!$D$9,CVSSv3!$D$22,(IF(H512=CVSSv3!$E$9,CVSSv3!$E$22,"")))))))*(1-(IF(H513=CVSSv3!$C$10,CVSSv3!$C$23,(IF(H513=CVSSv3!$D$10,CVSSv3!$D$23,(IF(H513=CVSSv3!$E$10,CVSSv3!$E$23,"")))))))*(1-(IF(H514=CVSSv3!$C$11,CVSSv3!$C$24,(IF(H514=CVSSv3!$D$11,CVSSv3!$D$24,(IF(H514=CVSSv3!$E$11,CVSSv3!$E$24,"")))))))))-0.02),15)))))+(8.22*(IF(H507=CVSSv3!$C$4,CVSSv3!$C$17,(IF(H507=CVSSv3!$D$4,CVSSv3!$D$17,(IF(H507=CVSSv3!$E$4,CVSSv3!$E$17,(IF(H507=CVSSv3!$F$4,CVSSv3!$F$17,""))))))))*(IF(H508=CVSSv3!$C$5,CVSSv3!$C$18,(IF(H508=CVSSv3!$D$5,CVSSv3!$D$18,""))))*(IF(H509=CVSSv3!$C$6,CVSSv3!$C$19,(IF(H509=CVSSv3!$D$6,(IF(H511=CVSSv3!$D$8,0.68,CVSSv3!$D$19)),(IF(H509=CVSSv3!$E$6,(IF(H511=CVSSv3!$D$8,0.5,CVSSv3!$E$19))))))))*(IF(H510=CVSSv3!$C$7,CVSSv3!$C$20,(IF(H510=CVSSv3!$D$7,CVSSv3!$D$20,"")))))),10)),1))))*(IF(H515=CVSSv3!$C$12,CVSSv3!$C$25,(IF(H515=CVSSv3!$D$12,CVSSv3!$D$25,(IF(H515=CVSSv3!$E$12,CVSSv3!$E$25,(IF(H515=CVSSv3!$F$12,CVSSv3!$F$25,""))))))))*(IF(H516=CVSSv3!$C$13,CVSSv3!$C$26,(IF(H516=CVSSv3!$D$13,CVSSv3!$D$26,(IF(H516=CVSSv3!$E$13,CVSSv3!$E$26,(IF(H516=CVSSv3!$F$13,CVSSv3!$F$26,""))))))))*(IF(H517=CVSSv3!$C$14,CVSSv3!$C$27,(IF(H517=CVSSv3!$D$14,CVSSv3!$D$27,(IF(H517=CVSSv3!$E$14,CVSSv3!$E$27,""))))))),1)</f>
        <v>9</v>
      </c>
      <c r="J507" s="89">
        <v>0</v>
      </c>
      <c r="K507" s="89">
        <v>0</v>
      </c>
      <c r="L507" s="85" t="s">
        <v>17</v>
      </c>
      <c r="M507" s="85" t="s">
        <v>17</v>
      </c>
      <c r="N507" s="85" t="s">
        <v>707</v>
      </c>
      <c r="O507" s="85" t="s">
        <v>708</v>
      </c>
    </row>
    <row r="508" spans="1:15" x14ac:dyDescent="0.25">
      <c r="A508" s="89"/>
      <c r="B508" s="85"/>
      <c r="C508" s="85"/>
      <c r="D508" s="85"/>
      <c r="E508" s="85"/>
      <c r="F508" s="85"/>
      <c r="G508" s="80" t="str">
        <f>CVSSv3!$A$5</f>
        <v>Complejidad de ataque:</v>
      </c>
      <c r="H508" s="81" t="s">
        <v>709</v>
      </c>
      <c r="I508" s="88"/>
      <c r="J508" s="89"/>
      <c r="K508" s="89"/>
      <c r="L508" s="85"/>
      <c r="M508" s="85"/>
      <c r="N508" s="85"/>
      <c r="O508" s="85"/>
    </row>
    <row r="509" spans="1:15" x14ac:dyDescent="0.25">
      <c r="A509" s="89"/>
      <c r="B509" s="85"/>
      <c r="C509" s="85"/>
      <c r="D509" s="85"/>
      <c r="E509" s="85"/>
      <c r="F509" s="85"/>
      <c r="G509" s="80" t="str">
        <f>CVSSv3!$A$6</f>
        <v>Privilegios requeridos:</v>
      </c>
      <c r="H509" s="81" t="s">
        <v>710</v>
      </c>
      <c r="I509" s="88"/>
      <c r="J509" s="89"/>
      <c r="K509" s="89"/>
      <c r="L509" s="85"/>
      <c r="M509" s="85"/>
      <c r="N509" s="85"/>
      <c r="O509" s="85"/>
    </row>
    <row r="510" spans="1:15" x14ac:dyDescent="0.25">
      <c r="A510" s="89"/>
      <c r="B510" s="85"/>
      <c r="C510" s="85"/>
      <c r="D510" s="85"/>
      <c r="E510" s="85"/>
      <c r="F510" s="85"/>
      <c r="G510" s="80" t="str">
        <f>CVSSv3!$A$7</f>
        <v>Interacción del usuario:</v>
      </c>
      <c r="H510" s="81" t="s">
        <v>711</v>
      </c>
      <c r="I510" s="88"/>
      <c r="J510" s="89"/>
      <c r="K510" s="89"/>
      <c r="L510" s="85"/>
      <c r="M510" s="85"/>
      <c r="N510" s="85"/>
      <c r="O510" s="85"/>
    </row>
    <row r="511" spans="1:15" x14ac:dyDescent="0.25">
      <c r="A511" s="89"/>
      <c r="B511" s="85"/>
      <c r="C511" s="85"/>
      <c r="D511" s="85"/>
      <c r="E511" s="85"/>
      <c r="F511" s="85"/>
      <c r="G511" s="80" t="str">
        <f>CVSSv3!$A$8</f>
        <v>Alcance:</v>
      </c>
      <c r="H511" s="81" t="s">
        <v>712</v>
      </c>
      <c r="I511" s="88"/>
      <c r="J511" s="89"/>
      <c r="K511" s="89"/>
      <c r="L511" s="85"/>
      <c r="M511" s="85"/>
      <c r="N511" s="85"/>
      <c r="O511" s="85"/>
    </row>
    <row r="512" spans="1:15" x14ac:dyDescent="0.25">
      <c r="A512" s="89"/>
      <c r="B512" s="85"/>
      <c r="C512" s="85"/>
      <c r="D512" s="85"/>
      <c r="E512" s="85"/>
      <c r="F512" s="85"/>
      <c r="G512" s="80" t="str">
        <f>CVSSv3!$A$9</f>
        <v>Impacto a la confidencialidad:</v>
      </c>
      <c r="H512" s="81" t="s">
        <v>713</v>
      </c>
      <c r="I512" s="88"/>
      <c r="J512" s="89"/>
      <c r="K512" s="89"/>
      <c r="L512" s="85"/>
      <c r="M512" s="85"/>
      <c r="N512" s="85"/>
      <c r="O512" s="85"/>
    </row>
    <row r="513" spans="1:15" x14ac:dyDescent="0.25">
      <c r="A513" s="89"/>
      <c r="B513" s="85"/>
      <c r="C513" s="85"/>
      <c r="D513" s="85"/>
      <c r="E513" s="85"/>
      <c r="F513" s="85"/>
      <c r="G513" s="80" t="str">
        <f>CVSSv3!$A$10</f>
        <v>Impacto a la integridad:</v>
      </c>
      <c r="H513" s="81" t="s">
        <v>713</v>
      </c>
      <c r="I513" s="88"/>
      <c r="J513" s="89"/>
      <c r="K513" s="89"/>
      <c r="L513" s="85"/>
      <c r="M513" s="85"/>
      <c r="N513" s="85"/>
      <c r="O513" s="85"/>
    </row>
    <row r="514" spans="1:15" x14ac:dyDescent="0.25">
      <c r="A514" s="89"/>
      <c r="B514" s="85"/>
      <c r="C514" s="85"/>
      <c r="D514" s="85"/>
      <c r="E514" s="85"/>
      <c r="F514" s="85"/>
      <c r="G514" s="80" t="str">
        <f>CVSSv3!$A$11</f>
        <v>Impacto a la disponibilidad:</v>
      </c>
      <c r="H514" s="81" t="s">
        <v>713</v>
      </c>
      <c r="I514" s="88"/>
      <c r="J514" s="89"/>
      <c r="K514" s="89"/>
      <c r="L514" s="85"/>
      <c r="M514" s="85"/>
      <c r="N514" s="85"/>
      <c r="O514" s="85"/>
    </row>
    <row r="515" spans="1:15" x14ac:dyDescent="0.25">
      <c r="A515" s="89"/>
      <c r="B515" s="85"/>
      <c r="C515" s="85"/>
      <c r="D515" s="85"/>
      <c r="E515" s="85"/>
      <c r="F515" s="85"/>
      <c r="G515" s="80" t="str">
        <f>CVSSv3!$A$12</f>
        <v>Explotabilidad:</v>
      </c>
      <c r="H515" s="81" t="s">
        <v>709</v>
      </c>
      <c r="I515" s="88"/>
      <c r="J515" s="89"/>
      <c r="K515" s="89"/>
      <c r="L515" s="85"/>
      <c r="M515" s="85"/>
      <c r="N515" s="85"/>
      <c r="O515" s="85"/>
    </row>
    <row r="516" spans="1:15" x14ac:dyDescent="0.25">
      <c r="A516" s="89"/>
      <c r="B516" s="85"/>
      <c r="C516" s="85"/>
      <c r="D516" s="85"/>
      <c r="E516" s="85"/>
      <c r="F516" s="85"/>
      <c r="G516" s="80" t="str">
        <f>CVSSv3!$A$13</f>
        <v>Nivel de resolución:</v>
      </c>
      <c r="H516" s="81" t="s">
        <v>714</v>
      </c>
      <c r="I516" s="88"/>
      <c r="J516" s="89"/>
      <c r="K516" s="89"/>
      <c r="L516" s="85"/>
      <c r="M516" s="85"/>
      <c r="N516" s="85"/>
      <c r="O516" s="85"/>
    </row>
    <row r="517" spans="1:15" x14ac:dyDescent="0.25">
      <c r="A517" s="89"/>
      <c r="B517" s="85"/>
      <c r="C517" s="85"/>
      <c r="D517" s="85"/>
      <c r="E517" s="85"/>
      <c r="F517" s="85"/>
      <c r="G517" s="80" t="str">
        <f>CVSSv3!$A$14</f>
        <v>Nivel de confianza</v>
      </c>
      <c r="H517" s="81" t="s">
        <v>715</v>
      </c>
      <c r="I517" s="88"/>
      <c r="J517" s="89"/>
      <c r="K517" s="89"/>
      <c r="L517" s="85"/>
      <c r="M517" s="85"/>
      <c r="N517" s="85"/>
      <c r="O517" s="85"/>
    </row>
    <row r="518" spans="1:15" x14ac:dyDescent="0.25">
      <c r="A518" s="89"/>
      <c r="B518" s="85"/>
      <c r="C518" s="85"/>
      <c r="D518" s="85"/>
      <c r="E518" s="85"/>
      <c r="F518" s="85"/>
      <c r="G518" s="86" t="str">
        <f>"("&amp;CVSSv3!$B$4&amp;":"&amp;IF(H507=CVSSv3!$C$4,CVSSv3!$C$30,IF(H507=CVSSv3!$D$4,CVSSv3!$D$30,IF(H507=CVSSv3!$E$4,CVSSv3!$E$30,IF(H507=CVSSv3!$F$4,CVSSv3!$F$30,""))))&amp;"/"&amp;CVSSv3!$B$5&amp;":"&amp;IF(H508=CVSSv3!$C$5,CVSSv3!$C$31,IF(H508=CVSSv3!$D$5,CVSSv3!$D$31,""))&amp;"/"&amp;CVSSv3!$B$6&amp;":"&amp;IF(H509=CVSSv3!$C$6,CVSSv3!$C$32,IF(H509=CVSSv3!$D$6,CVSSv3!$D$32,IF(H509=CVSSv3!$E$6,CVSSv3!$E$32,"")))&amp;"/"&amp;CVSSv3!$B$7&amp;":"&amp;IF(H510=CVSSv3!$C$7,CVSSv3!$C$33,IF(H510=CVSSv3!$D$7,CVSSv3!$D$33,""))&amp;"/"&amp;CVSSv3!$B$8&amp;":"&amp;IF(H511=CVSSv3!$C$8,CVSSv3!$C$34,IF(H511=CVSSv3!$D$8,CVSSv3!$D$34,""))&amp;"/"&amp;CVSSv3!$B$9&amp;":"&amp;IF(H512=CVSSv3!$C$9,CVSSv3!$C$35,IF(H512=CVSSv3!$D$9,CVSSv3!$D$35,IF(H512=CVSSv3!$E$9,CVSSv3!$E$35,"")))&amp;"/"&amp;CVSSv3!$B$10&amp;":"&amp;IF(H513=CVSSv3!$C$10,CVSSv3!$C$36,IF(H513=CVSSv3!$D$10,CVSSv3!$D$36,IF(H513=CVSSv3!$E$10,CVSSv3!$E$36,"")))&amp;"/"&amp;CVSSv3!$B$11&amp;":"&amp;IF(H514=CVSSv3!$C$11,CVSSv3!$C$37,IF(H514=CVSSv3!$D$11,CVSSv3!$D$37,IF(H514=CVSSv3!$E$11,CVSSv3!$E$37,"")))&amp;"/"&amp;CVSSv3!$B$12&amp;":"&amp;IF(H515=CVSSv3!$C$12,CVSSv3!$C$38,IF(H515=CVSSv3!$D$12,CVSSv3!$D$38,IF(H515=CVSSv3!$E$12,CVSSv3!$E$38,IF(H515=CVSSv3!$F$12,CVSSv3!$F$38,""))))&amp;"/"&amp;CVSSv3!$B$13&amp;":"&amp;IF(H516=CVSSv3!$C$13,CVSSv3!$C$39,IF(H516=CVSSv3!$D$13,CVSSv3!$D$39,IF(H516=CVSSv3!$E$13,CVSSv3!$E$39,IF(H516=CVSSv3!$F$13,CVSSv3!$F$39,""))))&amp;"/"&amp;CVSSv3!$B$14&amp;":"&amp;IF(H517=CVSSv3!$C$14,CVSSv3!$C$40,IF(H517=CVSSv3!$D$14,CVSSv3!$D$40,IF(H517=CVSSv3!$E$14,CVSSv3!$E$40,"")))&amp;")"</f>
        <v>(AV:N/AC:H/PR:N/UI:N/S:C/C:H/I:H/A:H/E:H/RL:U/RC:C)</v>
      </c>
      <c r="H518" s="87"/>
      <c r="I518" s="88"/>
      <c r="J518" s="89"/>
      <c r="K518" s="89"/>
      <c r="L518" s="85"/>
      <c r="M518" s="85"/>
      <c r="N518" s="85"/>
      <c r="O518" s="85"/>
    </row>
    <row r="519" spans="1:15" x14ac:dyDescent="0.25">
      <c r="A519" s="89">
        <v>44</v>
      </c>
      <c r="B519" s="85" t="s">
        <v>757</v>
      </c>
      <c r="C519" s="85" t="s">
        <v>17</v>
      </c>
      <c r="D519" s="85" t="s">
        <v>17</v>
      </c>
      <c r="E519" s="85" t="s">
        <v>17</v>
      </c>
      <c r="F519"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19" s="82" t="str">
        <f>CVSSv3!$A$4</f>
        <v>Vector de ataque:</v>
      </c>
      <c r="H519" s="84" t="s">
        <v>706</v>
      </c>
      <c r="I519" s="88">
        <f>ROUNDUP((IF((IF(H523=CVSSv3!$C$8,(6.42*(1-((1-(IF(H524=CVSSv3!$C$9,CVSSv3!$C$22,(IF(H524=CVSSv3!$D$9,CVSSv3!$D$22,(IF(H524=CVSSv3!$E$9,CVSSv3!$E$22,"")))))))*(1-(IF(H525=CVSSv3!$C$10,CVSSv3!$C$23,(IF(H525=CVSSv3!$D$10,CVSSv3!$D$23,(IF(H525=CVSSv3!$E$10,CVSSv3!$E$23,"")))))))*(1-(IF(H526=CVSSv3!$C$11,CVSSv3!$C$24,(IF(H526=CVSSv3!$D$11,CVSSv3!$D$24,(IF(H526=CVSSv3!$E$11,CVSSv3!$E$24,"")))))))))),((7.52*((1-((1-(IF(H524=CVSSv3!$C$9,CVSSv3!$C$22,(IF(H524=CVSSv3!$D$9,CVSSv3!$D$22,(IF(H524=CVSSv3!$E$9,CVSSv3!$E$22,"")))))))*(1-(IF(H525=CVSSv3!$C$10,CVSSv3!$C$23,(IF(H525=CVSSv3!$D$10,CVSSv3!$D$23,(IF(H525=CVSSv3!$E$10,CVSSv3!$E$23,"")))))))*(1-(IF(H526=CVSSv3!$C$11,CVSSv3!$C$24,(IF(H526=CVSSv3!$D$11,CVSSv3!$D$24,(IF(H526=CVSSv3!$E$11,CVSSv3!$E$24,"")))))))))-0.029))-(3.25*POWER(((1-((1-(IF(H524=CVSSv3!$C$9,CVSSv3!$C$22,(IF(H524=CVSSv3!$D$9,CVSSv3!$D$22,(IF(H524=CVSSv3!$E$9,CVSSv3!$E$22,"")))))))*(1-(IF(H525=CVSSv3!$C$10,CVSSv3!$C$23,(IF(H525=CVSSv3!$D$10,CVSSv3!$D$23,(IF(H525=CVSSv3!$E$10,CVSSv3!$E$23,"")))))))*(1-(IF(H526=CVSSv3!$C$11,CVSSv3!$C$24,(IF(H526=CVSSv3!$D$11,CVSSv3!$D$24,(IF(H526=CVSSv3!$E$11,CVSSv3!$E$24,"")))))))))-0.02),15)))))&lt;=0,0,(IF(H523=CVSSv3!$C$8,ROUNDUP((MIN((IF(H523=CVSSv3!$C$8,(6.42*(1-((1-(IF(H524=CVSSv3!$C$9,CVSSv3!$C$22,(IF(H524=CVSSv3!$D$9,CVSSv3!$D$22,(IF(H524=CVSSv3!$E$9,CVSSv3!$E$22,"")))))))*(1-(IF(H525=CVSSv3!$C$10,CVSSv3!$C$23,(IF(H525=CVSSv3!$D$10,CVSSv3!$D$23,(IF(H525=CVSSv3!$E$10,CVSSv3!$E$23,"")))))))*(1-(IF(H526=CVSSv3!$C$11,CVSSv3!$C$24,(IF(H526=CVSSv3!$D$11,CVSSv3!$D$24,(IF(H526=CVSSv3!$E$11,CVSSv3!$E$24,"")))))))))),((7.52*((1-((1-(IF(H524=CVSSv3!$C$9,CVSSv3!$C$22,(IF(H524=CVSSv3!$D$9,CVSSv3!$D$22,(IF(H524=CVSSv3!$E$9,CVSSv3!$E$22,"")))))))*(1-(IF(H525=CVSSv3!$C$10,CVSSv3!$C$23,(IF(H525=CVSSv3!$D$10,CVSSv3!$D$23,(IF(H525=CVSSv3!$E$10,CVSSv3!$E$23,"")))))))*(1-(IF(H526=CVSSv3!$C$11,CVSSv3!$C$24,(IF(H526=CVSSv3!$D$11,CVSSv3!$D$24,(IF(H526=CVSSv3!$E$11,CVSSv3!$E$24,"")))))))))-0.029))-(3.25*POWER(((1-((1-(IF(H524=CVSSv3!$C$9,CVSSv3!$C$22,(IF(H524=CVSSv3!$D$9,CVSSv3!$D$22,(IF(H524=CVSSv3!$E$9,CVSSv3!$E$22,"")))))))*(1-(IF(H525=CVSSv3!$C$10,CVSSv3!$C$23,(IF(H525=CVSSv3!$D$10,CVSSv3!$D$23,(IF(H525=CVSSv3!$E$10,CVSSv3!$E$23,"")))))))*(1-(IF(H526=CVSSv3!$C$11,CVSSv3!$C$24,(IF(H526=CVSSv3!$D$11,CVSSv3!$D$24,(IF(H526=CVSSv3!$E$11,CVSSv3!$E$24,"")))))))))-0.02),15)))))+(8.22*(IF(H519=CVSSv3!$C$4,CVSSv3!$C$17,(IF(H519=CVSSv3!$D$4,CVSSv3!$D$17,(IF(H519=CVSSv3!$E$4,CVSSv3!$E$17,(IF(H519=CVSSv3!$F$4,CVSSv3!$F$17,""))))))))*(IF(H520=CVSSv3!$C$5,CVSSv3!$C$18,(IF(H520=CVSSv3!$D$5,CVSSv3!$D$18,""))))*(IF(H521=CVSSv3!$C$6,CVSSv3!$C$19,(IF(H521=CVSSv3!$D$6,(IF(H523=CVSSv3!$D$8,0.68,CVSSv3!$D$19)),(IF(H521=CVSSv3!$E$6,(IF(H523=CVSSv3!$D$8,0.5,CVSSv3!$E$19))))))))*(IF(H522=CVSSv3!$C$7,CVSSv3!$C$20,(IF(H522=CVSSv3!$D$7,CVSSv3!$D$20,""))))),10)),1),ROUNDUP((MIN(1.08*((IF(H523=CVSSv3!$C$8,(6.42*(1-((1-(IF(H524=CVSSv3!$C$9,CVSSv3!$C$22,(IF(H524=CVSSv3!$D$9,CVSSv3!$D$22,(IF(H524=CVSSv3!$E$9,CVSSv3!$E$22,"")))))))*(1-(IF(H525=CVSSv3!$C$10,CVSSv3!$C$23,(IF(H525=CVSSv3!$D$10,CVSSv3!$D$23,(IF(H525=CVSSv3!$E$10,CVSSv3!$E$23,"")))))))*(1-(IF(H526=CVSSv3!$C$11,CVSSv3!$C$24,(IF(H526=CVSSv3!$D$11,CVSSv3!$D$24,(IF(H526=CVSSv3!$E$11,CVSSv3!$E$24,"")))))))))),((7.52*((1-((1-(IF(H524=CVSSv3!$C$9,CVSSv3!$C$22,(IF(H524=CVSSv3!$D$9,CVSSv3!$D$22,(IF(H524=CVSSv3!$E$9,CVSSv3!$E$22,"")))))))*(1-(IF(H525=CVSSv3!$C$10,CVSSv3!$C$23,(IF(H525=CVSSv3!$D$10,CVSSv3!$D$23,(IF(H525=CVSSv3!$E$10,CVSSv3!$E$23,"")))))))*(1-(IF(H526=CVSSv3!$C$11,CVSSv3!$C$24,(IF(H526=CVSSv3!$D$11,CVSSv3!$D$24,(IF(H526=CVSSv3!$E$11,CVSSv3!$E$24,"")))))))))-0.029))-(3.25*POWER(((1-((1-(IF(H524=CVSSv3!$C$9,CVSSv3!$C$22,(IF(H524=CVSSv3!$D$9,CVSSv3!$D$22,(IF(H524=CVSSv3!$E$9,CVSSv3!$E$22,"")))))))*(1-(IF(H525=CVSSv3!$C$10,CVSSv3!$C$23,(IF(H525=CVSSv3!$D$10,CVSSv3!$D$23,(IF(H525=CVSSv3!$E$10,CVSSv3!$E$23,"")))))))*(1-(IF(H526=CVSSv3!$C$11,CVSSv3!$C$24,(IF(H526=CVSSv3!$D$11,CVSSv3!$D$24,(IF(H526=CVSSv3!$E$11,CVSSv3!$E$24,"")))))))))-0.02),15)))))+(8.22*(IF(H519=CVSSv3!$C$4,CVSSv3!$C$17,(IF(H519=CVSSv3!$D$4,CVSSv3!$D$17,(IF(H519=CVSSv3!$E$4,CVSSv3!$E$17,(IF(H519=CVSSv3!$F$4,CVSSv3!$F$17,""))))))))*(IF(H520=CVSSv3!$C$5,CVSSv3!$C$18,(IF(H520=CVSSv3!$D$5,CVSSv3!$D$18,""))))*(IF(H521=CVSSv3!$C$6,CVSSv3!$C$19,(IF(H521=CVSSv3!$D$6,(IF(H523=CVSSv3!$D$8,0.68,CVSSv3!$D$19)),(IF(H521=CVSSv3!$E$6,(IF(H523=CVSSv3!$D$8,0.5,CVSSv3!$E$19))))))))*(IF(H522=CVSSv3!$C$7,CVSSv3!$C$20,(IF(H522=CVSSv3!$D$7,CVSSv3!$D$20,"")))))),10)),1))))*(IF(H527=CVSSv3!$C$12,CVSSv3!$C$25,(IF(H527=CVSSv3!$D$12,CVSSv3!$D$25,(IF(H527=CVSSv3!$E$12,CVSSv3!$E$25,(IF(H527=CVSSv3!$F$12,CVSSv3!$F$25,""))))))))*(IF(H528=CVSSv3!$C$13,CVSSv3!$C$26,(IF(H528=CVSSv3!$D$13,CVSSv3!$D$26,(IF(H528=CVSSv3!$E$13,CVSSv3!$E$26,(IF(H528=CVSSv3!$F$13,CVSSv3!$F$26,""))))))))*(IF(H529=CVSSv3!$C$14,CVSSv3!$C$27,(IF(H529=CVSSv3!$D$14,CVSSv3!$D$27,(IF(H529=CVSSv3!$E$14,CVSSv3!$E$27,""))))))),1)</f>
        <v>9</v>
      </c>
      <c r="J519" s="89">
        <v>0</v>
      </c>
      <c r="K519" s="89">
        <v>0</v>
      </c>
      <c r="L519" s="85" t="s">
        <v>17</v>
      </c>
      <c r="M519" s="85" t="s">
        <v>17</v>
      </c>
      <c r="N519" s="85" t="s">
        <v>707</v>
      </c>
      <c r="O519" s="85" t="s">
        <v>708</v>
      </c>
    </row>
    <row r="520" spans="1:15" x14ac:dyDescent="0.25">
      <c r="A520" s="89"/>
      <c r="B520" s="85"/>
      <c r="C520" s="85"/>
      <c r="D520" s="85"/>
      <c r="E520" s="85"/>
      <c r="F520" s="85"/>
      <c r="G520" s="80" t="str">
        <f>CVSSv3!$A$5</f>
        <v>Complejidad de ataque:</v>
      </c>
      <c r="H520" s="81" t="s">
        <v>709</v>
      </c>
      <c r="I520" s="88"/>
      <c r="J520" s="89"/>
      <c r="K520" s="89"/>
      <c r="L520" s="85"/>
      <c r="M520" s="85"/>
      <c r="N520" s="85"/>
      <c r="O520" s="85"/>
    </row>
    <row r="521" spans="1:15" x14ac:dyDescent="0.25">
      <c r="A521" s="89"/>
      <c r="B521" s="85"/>
      <c r="C521" s="85"/>
      <c r="D521" s="85"/>
      <c r="E521" s="85"/>
      <c r="F521" s="85"/>
      <c r="G521" s="80" t="str">
        <f>CVSSv3!$A$6</f>
        <v>Privilegios requeridos:</v>
      </c>
      <c r="H521" s="81" t="s">
        <v>710</v>
      </c>
      <c r="I521" s="88"/>
      <c r="J521" s="89"/>
      <c r="K521" s="89"/>
      <c r="L521" s="85"/>
      <c r="M521" s="85"/>
      <c r="N521" s="85"/>
      <c r="O521" s="85"/>
    </row>
    <row r="522" spans="1:15" x14ac:dyDescent="0.25">
      <c r="A522" s="89"/>
      <c r="B522" s="85"/>
      <c r="C522" s="85"/>
      <c r="D522" s="85"/>
      <c r="E522" s="85"/>
      <c r="F522" s="85"/>
      <c r="G522" s="80" t="str">
        <f>CVSSv3!$A$7</f>
        <v>Interacción del usuario:</v>
      </c>
      <c r="H522" s="81" t="s">
        <v>711</v>
      </c>
      <c r="I522" s="88"/>
      <c r="J522" s="89"/>
      <c r="K522" s="89"/>
      <c r="L522" s="85"/>
      <c r="M522" s="85"/>
      <c r="N522" s="85"/>
      <c r="O522" s="85"/>
    </row>
    <row r="523" spans="1:15" x14ac:dyDescent="0.25">
      <c r="A523" s="89"/>
      <c r="B523" s="85"/>
      <c r="C523" s="85"/>
      <c r="D523" s="85"/>
      <c r="E523" s="85"/>
      <c r="F523" s="85"/>
      <c r="G523" s="80" t="str">
        <f>CVSSv3!$A$8</f>
        <v>Alcance:</v>
      </c>
      <c r="H523" s="81" t="s">
        <v>712</v>
      </c>
      <c r="I523" s="88"/>
      <c r="J523" s="89"/>
      <c r="K523" s="89"/>
      <c r="L523" s="85"/>
      <c r="M523" s="85"/>
      <c r="N523" s="85"/>
      <c r="O523" s="85"/>
    </row>
    <row r="524" spans="1:15" x14ac:dyDescent="0.25">
      <c r="A524" s="89"/>
      <c r="B524" s="85"/>
      <c r="C524" s="85"/>
      <c r="D524" s="85"/>
      <c r="E524" s="85"/>
      <c r="F524" s="85"/>
      <c r="G524" s="80" t="str">
        <f>CVSSv3!$A$9</f>
        <v>Impacto a la confidencialidad:</v>
      </c>
      <c r="H524" s="81" t="s">
        <v>713</v>
      </c>
      <c r="I524" s="88"/>
      <c r="J524" s="89"/>
      <c r="K524" s="89"/>
      <c r="L524" s="85"/>
      <c r="M524" s="85"/>
      <c r="N524" s="85"/>
      <c r="O524" s="85"/>
    </row>
    <row r="525" spans="1:15" x14ac:dyDescent="0.25">
      <c r="A525" s="89"/>
      <c r="B525" s="85"/>
      <c r="C525" s="85"/>
      <c r="D525" s="85"/>
      <c r="E525" s="85"/>
      <c r="F525" s="85"/>
      <c r="G525" s="80" t="str">
        <f>CVSSv3!$A$10</f>
        <v>Impacto a la integridad:</v>
      </c>
      <c r="H525" s="81" t="s">
        <v>713</v>
      </c>
      <c r="I525" s="88"/>
      <c r="J525" s="89"/>
      <c r="K525" s="89"/>
      <c r="L525" s="85"/>
      <c r="M525" s="85"/>
      <c r="N525" s="85"/>
      <c r="O525" s="85"/>
    </row>
    <row r="526" spans="1:15" x14ac:dyDescent="0.25">
      <c r="A526" s="89"/>
      <c r="B526" s="85"/>
      <c r="C526" s="85"/>
      <c r="D526" s="85"/>
      <c r="E526" s="85"/>
      <c r="F526" s="85"/>
      <c r="G526" s="80" t="str">
        <f>CVSSv3!$A$11</f>
        <v>Impacto a la disponibilidad:</v>
      </c>
      <c r="H526" s="81" t="s">
        <v>713</v>
      </c>
      <c r="I526" s="88"/>
      <c r="J526" s="89"/>
      <c r="K526" s="89"/>
      <c r="L526" s="85"/>
      <c r="M526" s="85"/>
      <c r="N526" s="85"/>
      <c r="O526" s="85"/>
    </row>
    <row r="527" spans="1:15" x14ac:dyDescent="0.25">
      <c r="A527" s="89"/>
      <c r="B527" s="85"/>
      <c r="C527" s="85"/>
      <c r="D527" s="85"/>
      <c r="E527" s="85"/>
      <c r="F527" s="85"/>
      <c r="G527" s="80" t="str">
        <f>CVSSv3!$A$12</f>
        <v>Explotabilidad:</v>
      </c>
      <c r="H527" s="81" t="s">
        <v>709</v>
      </c>
      <c r="I527" s="88"/>
      <c r="J527" s="89"/>
      <c r="K527" s="89"/>
      <c r="L527" s="85"/>
      <c r="M527" s="85"/>
      <c r="N527" s="85"/>
      <c r="O527" s="85"/>
    </row>
    <row r="528" spans="1:15" x14ac:dyDescent="0.25">
      <c r="A528" s="89"/>
      <c r="B528" s="85"/>
      <c r="C528" s="85"/>
      <c r="D528" s="85"/>
      <c r="E528" s="85"/>
      <c r="F528" s="85"/>
      <c r="G528" s="80" t="str">
        <f>CVSSv3!$A$13</f>
        <v>Nivel de resolución:</v>
      </c>
      <c r="H528" s="81" t="s">
        <v>714</v>
      </c>
      <c r="I528" s="88"/>
      <c r="J528" s="89"/>
      <c r="K528" s="89"/>
      <c r="L528" s="85"/>
      <c r="M528" s="85"/>
      <c r="N528" s="85"/>
      <c r="O528" s="85"/>
    </row>
    <row r="529" spans="1:15" x14ac:dyDescent="0.25">
      <c r="A529" s="89"/>
      <c r="B529" s="85"/>
      <c r="C529" s="85"/>
      <c r="D529" s="85"/>
      <c r="E529" s="85"/>
      <c r="F529" s="85"/>
      <c r="G529" s="80" t="str">
        <f>CVSSv3!$A$14</f>
        <v>Nivel de confianza</v>
      </c>
      <c r="H529" s="81" t="s">
        <v>715</v>
      </c>
      <c r="I529" s="88"/>
      <c r="J529" s="89"/>
      <c r="K529" s="89"/>
      <c r="L529" s="85"/>
      <c r="M529" s="85"/>
      <c r="N529" s="85"/>
      <c r="O529" s="85"/>
    </row>
    <row r="530" spans="1:15" x14ac:dyDescent="0.25">
      <c r="A530" s="89"/>
      <c r="B530" s="85"/>
      <c r="C530" s="85"/>
      <c r="D530" s="85"/>
      <c r="E530" s="85"/>
      <c r="F530" s="85"/>
      <c r="G530" s="86" t="str">
        <f>"("&amp;CVSSv3!$B$4&amp;":"&amp;IF(H519=CVSSv3!$C$4,CVSSv3!$C$30,IF(H519=CVSSv3!$D$4,CVSSv3!$D$30,IF(H519=CVSSv3!$E$4,CVSSv3!$E$30,IF(H519=CVSSv3!$F$4,CVSSv3!$F$30,""))))&amp;"/"&amp;CVSSv3!$B$5&amp;":"&amp;IF(H520=CVSSv3!$C$5,CVSSv3!$C$31,IF(H520=CVSSv3!$D$5,CVSSv3!$D$31,""))&amp;"/"&amp;CVSSv3!$B$6&amp;":"&amp;IF(H521=CVSSv3!$C$6,CVSSv3!$C$32,IF(H521=CVSSv3!$D$6,CVSSv3!$D$32,IF(H521=CVSSv3!$E$6,CVSSv3!$E$32,"")))&amp;"/"&amp;CVSSv3!$B$7&amp;":"&amp;IF(H522=CVSSv3!$C$7,CVSSv3!$C$33,IF(H522=CVSSv3!$D$7,CVSSv3!$D$33,""))&amp;"/"&amp;CVSSv3!$B$8&amp;":"&amp;IF(H523=CVSSv3!$C$8,CVSSv3!$C$34,IF(H523=CVSSv3!$D$8,CVSSv3!$D$34,""))&amp;"/"&amp;CVSSv3!$B$9&amp;":"&amp;IF(H524=CVSSv3!$C$9,CVSSv3!$C$35,IF(H524=CVSSv3!$D$9,CVSSv3!$D$35,IF(H524=CVSSv3!$E$9,CVSSv3!$E$35,"")))&amp;"/"&amp;CVSSv3!$B$10&amp;":"&amp;IF(H525=CVSSv3!$C$10,CVSSv3!$C$36,IF(H525=CVSSv3!$D$10,CVSSv3!$D$36,IF(H525=CVSSv3!$E$10,CVSSv3!$E$36,"")))&amp;"/"&amp;CVSSv3!$B$11&amp;":"&amp;IF(H526=CVSSv3!$C$11,CVSSv3!$C$37,IF(H526=CVSSv3!$D$11,CVSSv3!$D$37,IF(H526=CVSSv3!$E$11,CVSSv3!$E$37,"")))&amp;"/"&amp;CVSSv3!$B$12&amp;":"&amp;IF(H527=CVSSv3!$C$12,CVSSv3!$C$38,IF(H527=CVSSv3!$D$12,CVSSv3!$D$38,IF(H527=CVSSv3!$E$12,CVSSv3!$E$38,IF(H527=CVSSv3!$F$12,CVSSv3!$F$38,""))))&amp;"/"&amp;CVSSv3!$B$13&amp;":"&amp;IF(H528=CVSSv3!$C$13,CVSSv3!$C$39,IF(H528=CVSSv3!$D$13,CVSSv3!$D$39,IF(H528=CVSSv3!$E$13,CVSSv3!$E$39,IF(H528=CVSSv3!$F$13,CVSSv3!$F$39,""))))&amp;"/"&amp;CVSSv3!$B$14&amp;":"&amp;IF(H529=CVSSv3!$C$14,CVSSv3!$C$40,IF(H529=CVSSv3!$D$14,CVSSv3!$D$40,IF(H529=CVSSv3!$E$14,CVSSv3!$E$40,"")))&amp;")"</f>
        <v>(AV:N/AC:H/PR:N/UI:N/S:C/C:H/I:H/A:H/E:H/RL:U/RC:C)</v>
      </c>
      <c r="H530" s="87"/>
      <c r="I530" s="88"/>
      <c r="J530" s="89"/>
      <c r="K530" s="89"/>
      <c r="L530" s="85"/>
      <c r="M530" s="85"/>
      <c r="N530" s="85"/>
      <c r="O530" s="85"/>
    </row>
    <row r="531" spans="1:15" x14ac:dyDescent="0.25">
      <c r="A531" s="89">
        <v>45</v>
      </c>
      <c r="B531" s="85" t="s">
        <v>758</v>
      </c>
      <c r="C531" s="85" t="s">
        <v>17</v>
      </c>
      <c r="D531" s="85" t="s">
        <v>17</v>
      </c>
      <c r="E531" s="85" t="s">
        <v>17</v>
      </c>
      <c r="F531"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31" s="82" t="str">
        <f>CVSSv3!$A$4</f>
        <v>Vector de ataque:</v>
      </c>
      <c r="H531" s="84" t="s">
        <v>706</v>
      </c>
      <c r="I531" s="88">
        <f>ROUNDUP((IF((IF(H535=CVSSv3!$C$8,(6.42*(1-((1-(IF(H536=CVSSv3!$C$9,CVSSv3!$C$22,(IF(H536=CVSSv3!$D$9,CVSSv3!$D$22,(IF(H536=CVSSv3!$E$9,CVSSv3!$E$22,"")))))))*(1-(IF(H537=CVSSv3!$C$10,CVSSv3!$C$23,(IF(H537=CVSSv3!$D$10,CVSSv3!$D$23,(IF(H537=CVSSv3!$E$10,CVSSv3!$E$23,"")))))))*(1-(IF(H538=CVSSv3!$C$11,CVSSv3!$C$24,(IF(H538=CVSSv3!$D$11,CVSSv3!$D$24,(IF(H538=CVSSv3!$E$11,CVSSv3!$E$24,"")))))))))),((7.52*((1-((1-(IF(H536=CVSSv3!$C$9,CVSSv3!$C$22,(IF(H536=CVSSv3!$D$9,CVSSv3!$D$22,(IF(H536=CVSSv3!$E$9,CVSSv3!$E$22,"")))))))*(1-(IF(H537=CVSSv3!$C$10,CVSSv3!$C$23,(IF(H537=CVSSv3!$D$10,CVSSv3!$D$23,(IF(H537=CVSSv3!$E$10,CVSSv3!$E$23,"")))))))*(1-(IF(H538=CVSSv3!$C$11,CVSSv3!$C$24,(IF(H538=CVSSv3!$D$11,CVSSv3!$D$24,(IF(H538=CVSSv3!$E$11,CVSSv3!$E$24,"")))))))))-0.029))-(3.25*POWER(((1-((1-(IF(H536=CVSSv3!$C$9,CVSSv3!$C$22,(IF(H536=CVSSv3!$D$9,CVSSv3!$D$22,(IF(H536=CVSSv3!$E$9,CVSSv3!$E$22,"")))))))*(1-(IF(H537=CVSSv3!$C$10,CVSSv3!$C$23,(IF(H537=CVSSv3!$D$10,CVSSv3!$D$23,(IF(H537=CVSSv3!$E$10,CVSSv3!$E$23,"")))))))*(1-(IF(H538=CVSSv3!$C$11,CVSSv3!$C$24,(IF(H538=CVSSv3!$D$11,CVSSv3!$D$24,(IF(H538=CVSSv3!$E$11,CVSSv3!$E$24,"")))))))))-0.02),15)))))&lt;=0,0,(IF(H535=CVSSv3!$C$8,ROUNDUP((MIN((IF(H535=CVSSv3!$C$8,(6.42*(1-((1-(IF(H536=CVSSv3!$C$9,CVSSv3!$C$22,(IF(H536=CVSSv3!$D$9,CVSSv3!$D$22,(IF(H536=CVSSv3!$E$9,CVSSv3!$E$22,"")))))))*(1-(IF(H537=CVSSv3!$C$10,CVSSv3!$C$23,(IF(H537=CVSSv3!$D$10,CVSSv3!$D$23,(IF(H537=CVSSv3!$E$10,CVSSv3!$E$23,"")))))))*(1-(IF(H538=CVSSv3!$C$11,CVSSv3!$C$24,(IF(H538=CVSSv3!$D$11,CVSSv3!$D$24,(IF(H538=CVSSv3!$E$11,CVSSv3!$E$24,"")))))))))),((7.52*((1-((1-(IF(H536=CVSSv3!$C$9,CVSSv3!$C$22,(IF(H536=CVSSv3!$D$9,CVSSv3!$D$22,(IF(H536=CVSSv3!$E$9,CVSSv3!$E$22,"")))))))*(1-(IF(H537=CVSSv3!$C$10,CVSSv3!$C$23,(IF(H537=CVSSv3!$D$10,CVSSv3!$D$23,(IF(H537=CVSSv3!$E$10,CVSSv3!$E$23,"")))))))*(1-(IF(H538=CVSSv3!$C$11,CVSSv3!$C$24,(IF(H538=CVSSv3!$D$11,CVSSv3!$D$24,(IF(H538=CVSSv3!$E$11,CVSSv3!$E$24,"")))))))))-0.029))-(3.25*POWER(((1-((1-(IF(H536=CVSSv3!$C$9,CVSSv3!$C$22,(IF(H536=CVSSv3!$D$9,CVSSv3!$D$22,(IF(H536=CVSSv3!$E$9,CVSSv3!$E$22,"")))))))*(1-(IF(H537=CVSSv3!$C$10,CVSSv3!$C$23,(IF(H537=CVSSv3!$D$10,CVSSv3!$D$23,(IF(H537=CVSSv3!$E$10,CVSSv3!$E$23,"")))))))*(1-(IF(H538=CVSSv3!$C$11,CVSSv3!$C$24,(IF(H538=CVSSv3!$D$11,CVSSv3!$D$24,(IF(H538=CVSSv3!$E$11,CVSSv3!$E$24,"")))))))))-0.02),15)))))+(8.22*(IF(H531=CVSSv3!$C$4,CVSSv3!$C$17,(IF(H531=CVSSv3!$D$4,CVSSv3!$D$17,(IF(H531=CVSSv3!$E$4,CVSSv3!$E$17,(IF(H531=CVSSv3!$F$4,CVSSv3!$F$17,""))))))))*(IF(H532=CVSSv3!$C$5,CVSSv3!$C$18,(IF(H532=CVSSv3!$D$5,CVSSv3!$D$18,""))))*(IF(H533=CVSSv3!$C$6,CVSSv3!$C$19,(IF(H533=CVSSv3!$D$6,(IF(H535=CVSSv3!$D$8,0.68,CVSSv3!$D$19)),(IF(H533=CVSSv3!$E$6,(IF(H535=CVSSv3!$D$8,0.5,CVSSv3!$E$19))))))))*(IF(H534=CVSSv3!$C$7,CVSSv3!$C$20,(IF(H534=CVSSv3!$D$7,CVSSv3!$D$20,""))))),10)),1),ROUNDUP((MIN(1.08*((IF(H535=CVSSv3!$C$8,(6.42*(1-((1-(IF(H536=CVSSv3!$C$9,CVSSv3!$C$22,(IF(H536=CVSSv3!$D$9,CVSSv3!$D$22,(IF(H536=CVSSv3!$E$9,CVSSv3!$E$22,"")))))))*(1-(IF(H537=CVSSv3!$C$10,CVSSv3!$C$23,(IF(H537=CVSSv3!$D$10,CVSSv3!$D$23,(IF(H537=CVSSv3!$E$10,CVSSv3!$E$23,"")))))))*(1-(IF(H538=CVSSv3!$C$11,CVSSv3!$C$24,(IF(H538=CVSSv3!$D$11,CVSSv3!$D$24,(IF(H538=CVSSv3!$E$11,CVSSv3!$E$24,"")))))))))),((7.52*((1-((1-(IF(H536=CVSSv3!$C$9,CVSSv3!$C$22,(IF(H536=CVSSv3!$D$9,CVSSv3!$D$22,(IF(H536=CVSSv3!$E$9,CVSSv3!$E$22,"")))))))*(1-(IF(H537=CVSSv3!$C$10,CVSSv3!$C$23,(IF(H537=CVSSv3!$D$10,CVSSv3!$D$23,(IF(H537=CVSSv3!$E$10,CVSSv3!$E$23,"")))))))*(1-(IF(H538=CVSSv3!$C$11,CVSSv3!$C$24,(IF(H538=CVSSv3!$D$11,CVSSv3!$D$24,(IF(H538=CVSSv3!$E$11,CVSSv3!$E$24,"")))))))))-0.029))-(3.25*POWER(((1-((1-(IF(H536=CVSSv3!$C$9,CVSSv3!$C$22,(IF(H536=CVSSv3!$D$9,CVSSv3!$D$22,(IF(H536=CVSSv3!$E$9,CVSSv3!$E$22,"")))))))*(1-(IF(H537=CVSSv3!$C$10,CVSSv3!$C$23,(IF(H537=CVSSv3!$D$10,CVSSv3!$D$23,(IF(H537=CVSSv3!$E$10,CVSSv3!$E$23,"")))))))*(1-(IF(H538=CVSSv3!$C$11,CVSSv3!$C$24,(IF(H538=CVSSv3!$D$11,CVSSv3!$D$24,(IF(H538=CVSSv3!$E$11,CVSSv3!$E$24,"")))))))))-0.02),15)))))+(8.22*(IF(H531=CVSSv3!$C$4,CVSSv3!$C$17,(IF(H531=CVSSv3!$D$4,CVSSv3!$D$17,(IF(H531=CVSSv3!$E$4,CVSSv3!$E$17,(IF(H531=CVSSv3!$F$4,CVSSv3!$F$17,""))))))))*(IF(H532=CVSSv3!$C$5,CVSSv3!$C$18,(IF(H532=CVSSv3!$D$5,CVSSv3!$D$18,""))))*(IF(H533=CVSSv3!$C$6,CVSSv3!$C$19,(IF(H533=CVSSv3!$D$6,(IF(H535=CVSSv3!$D$8,0.68,CVSSv3!$D$19)),(IF(H533=CVSSv3!$E$6,(IF(H535=CVSSv3!$D$8,0.5,CVSSv3!$E$19))))))))*(IF(H534=CVSSv3!$C$7,CVSSv3!$C$20,(IF(H534=CVSSv3!$D$7,CVSSv3!$D$20,"")))))),10)),1))))*(IF(H539=CVSSv3!$C$12,CVSSv3!$C$25,(IF(H539=CVSSv3!$D$12,CVSSv3!$D$25,(IF(H539=CVSSv3!$E$12,CVSSv3!$E$25,(IF(H539=CVSSv3!$F$12,CVSSv3!$F$25,""))))))))*(IF(H540=CVSSv3!$C$13,CVSSv3!$C$26,(IF(H540=CVSSv3!$D$13,CVSSv3!$D$26,(IF(H540=CVSSv3!$E$13,CVSSv3!$E$26,(IF(H540=CVSSv3!$F$13,CVSSv3!$F$26,""))))))))*(IF(H541=CVSSv3!$C$14,CVSSv3!$C$27,(IF(H541=CVSSv3!$D$14,CVSSv3!$D$27,(IF(H541=CVSSv3!$E$14,CVSSv3!$E$27,""))))))),1)</f>
        <v>9</v>
      </c>
      <c r="J531" s="89">
        <v>0</v>
      </c>
      <c r="K531" s="89">
        <v>0</v>
      </c>
      <c r="L531" s="85" t="s">
        <v>17</v>
      </c>
      <c r="M531" s="85" t="s">
        <v>17</v>
      </c>
      <c r="N531" s="85" t="s">
        <v>707</v>
      </c>
      <c r="O531" s="85" t="s">
        <v>708</v>
      </c>
    </row>
    <row r="532" spans="1:15" x14ac:dyDescent="0.25">
      <c r="A532" s="89"/>
      <c r="B532" s="85"/>
      <c r="C532" s="85"/>
      <c r="D532" s="85"/>
      <c r="E532" s="85"/>
      <c r="F532" s="85"/>
      <c r="G532" s="80" t="str">
        <f>CVSSv3!$A$5</f>
        <v>Complejidad de ataque:</v>
      </c>
      <c r="H532" s="81" t="s">
        <v>709</v>
      </c>
      <c r="I532" s="88"/>
      <c r="J532" s="89"/>
      <c r="K532" s="89"/>
      <c r="L532" s="85"/>
      <c r="M532" s="85"/>
      <c r="N532" s="85"/>
      <c r="O532" s="85"/>
    </row>
    <row r="533" spans="1:15" x14ac:dyDescent="0.25">
      <c r="A533" s="89"/>
      <c r="B533" s="85"/>
      <c r="C533" s="85"/>
      <c r="D533" s="85"/>
      <c r="E533" s="85"/>
      <c r="F533" s="85"/>
      <c r="G533" s="80" t="str">
        <f>CVSSv3!$A$6</f>
        <v>Privilegios requeridos:</v>
      </c>
      <c r="H533" s="81" t="s">
        <v>710</v>
      </c>
      <c r="I533" s="88"/>
      <c r="J533" s="89"/>
      <c r="K533" s="89"/>
      <c r="L533" s="85"/>
      <c r="M533" s="85"/>
      <c r="N533" s="85"/>
      <c r="O533" s="85"/>
    </row>
    <row r="534" spans="1:15" x14ac:dyDescent="0.25">
      <c r="A534" s="89"/>
      <c r="B534" s="85"/>
      <c r="C534" s="85"/>
      <c r="D534" s="85"/>
      <c r="E534" s="85"/>
      <c r="F534" s="85"/>
      <c r="G534" s="80" t="str">
        <f>CVSSv3!$A$7</f>
        <v>Interacción del usuario:</v>
      </c>
      <c r="H534" s="81" t="s">
        <v>711</v>
      </c>
      <c r="I534" s="88"/>
      <c r="J534" s="89"/>
      <c r="K534" s="89"/>
      <c r="L534" s="85"/>
      <c r="M534" s="85"/>
      <c r="N534" s="85"/>
      <c r="O534" s="85"/>
    </row>
    <row r="535" spans="1:15" x14ac:dyDescent="0.25">
      <c r="A535" s="89"/>
      <c r="B535" s="85"/>
      <c r="C535" s="85"/>
      <c r="D535" s="85"/>
      <c r="E535" s="85"/>
      <c r="F535" s="85"/>
      <c r="G535" s="80" t="str">
        <f>CVSSv3!$A$8</f>
        <v>Alcance:</v>
      </c>
      <c r="H535" s="81" t="s">
        <v>712</v>
      </c>
      <c r="I535" s="88"/>
      <c r="J535" s="89"/>
      <c r="K535" s="89"/>
      <c r="L535" s="85"/>
      <c r="M535" s="85"/>
      <c r="N535" s="85"/>
      <c r="O535" s="85"/>
    </row>
    <row r="536" spans="1:15" x14ac:dyDescent="0.25">
      <c r="A536" s="89"/>
      <c r="B536" s="85"/>
      <c r="C536" s="85"/>
      <c r="D536" s="85"/>
      <c r="E536" s="85"/>
      <c r="F536" s="85"/>
      <c r="G536" s="80" t="str">
        <f>CVSSv3!$A$9</f>
        <v>Impacto a la confidencialidad:</v>
      </c>
      <c r="H536" s="81" t="s">
        <v>713</v>
      </c>
      <c r="I536" s="88"/>
      <c r="J536" s="89"/>
      <c r="K536" s="89"/>
      <c r="L536" s="85"/>
      <c r="M536" s="85"/>
      <c r="N536" s="85"/>
      <c r="O536" s="85"/>
    </row>
    <row r="537" spans="1:15" x14ac:dyDescent="0.25">
      <c r="A537" s="89"/>
      <c r="B537" s="85"/>
      <c r="C537" s="85"/>
      <c r="D537" s="85"/>
      <c r="E537" s="85"/>
      <c r="F537" s="85"/>
      <c r="G537" s="80" t="str">
        <f>CVSSv3!$A$10</f>
        <v>Impacto a la integridad:</v>
      </c>
      <c r="H537" s="81" t="s">
        <v>713</v>
      </c>
      <c r="I537" s="88"/>
      <c r="J537" s="89"/>
      <c r="K537" s="89"/>
      <c r="L537" s="85"/>
      <c r="M537" s="85"/>
      <c r="N537" s="85"/>
      <c r="O537" s="85"/>
    </row>
    <row r="538" spans="1:15" x14ac:dyDescent="0.25">
      <c r="A538" s="89"/>
      <c r="B538" s="85"/>
      <c r="C538" s="85"/>
      <c r="D538" s="85"/>
      <c r="E538" s="85"/>
      <c r="F538" s="85"/>
      <c r="G538" s="80" t="str">
        <f>CVSSv3!$A$11</f>
        <v>Impacto a la disponibilidad:</v>
      </c>
      <c r="H538" s="81" t="s">
        <v>713</v>
      </c>
      <c r="I538" s="88"/>
      <c r="J538" s="89"/>
      <c r="K538" s="89"/>
      <c r="L538" s="85"/>
      <c r="M538" s="85"/>
      <c r="N538" s="85"/>
      <c r="O538" s="85"/>
    </row>
    <row r="539" spans="1:15" x14ac:dyDescent="0.25">
      <c r="A539" s="89"/>
      <c r="B539" s="85"/>
      <c r="C539" s="85"/>
      <c r="D539" s="85"/>
      <c r="E539" s="85"/>
      <c r="F539" s="85"/>
      <c r="G539" s="80" t="str">
        <f>CVSSv3!$A$12</f>
        <v>Explotabilidad:</v>
      </c>
      <c r="H539" s="81" t="s">
        <v>709</v>
      </c>
      <c r="I539" s="88"/>
      <c r="J539" s="89"/>
      <c r="K539" s="89"/>
      <c r="L539" s="85"/>
      <c r="M539" s="85"/>
      <c r="N539" s="85"/>
      <c r="O539" s="85"/>
    </row>
    <row r="540" spans="1:15" x14ac:dyDescent="0.25">
      <c r="A540" s="89"/>
      <c r="B540" s="85"/>
      <c r="C540" s="85"/>
      <c r="D540" s="85"/>
      <c r="E540" s="85"/>
      <c r="F540" s="85"/>
      <c r="G540" s="80" t="str">
        <f>CVSSv3!$A$13</f>
        <v>Nivel de resolución:</v>
      </c>
      <c r="H540" s="81" t="s">
        <v>714</v>
      </c>
      <c r="I540" s="88"/>
      <c r="J540" s="89"/>
      <c r="K540" s="89"/>
      <c r="L540" s="85"/>
      <c r="M540" s="85"/>
      <c r="N540" s="85"/>
      <c r="O540" s="85"/>
    </row>
    <row r="541" spans="1:15" x14ac:dyDescent="0.25">
      <c r="A541" s="89"/>
      <c r="B541" s="85"/>
      <c r="C541" s="85"/>
      <c r="D541" s="85"/>
      <c r="E541" s="85"/>
      <c r="F541" s="85"/>
      <c r="G541" s="80" t="str">
        <f>CVSSv3!$A$14</f>
        <v>Nivel de confianza</v>
      </c>
      <c r="H541" s="81" t="s">
        <v>715</v>
      </c>
      <c r="I541" s="88"/>
      <c r="J541" s="89"/>
      <c r="K541" s="89"/>
      <c r="L541" s="85"/>
      <c r="M541" s="85"/>
      <c r="N541" s="85"/>
      <c r="O541" s="85"/>
    </row>
    <row r="542" spans="1:15" x14ac:dyDescent="0.25">
      <c r="A542" s="89"/>
      <c r="B542" s="85"/>
      <c r="C542" s="85"/>
      <c r="D542" s="85"/>
      <c r="E542" s="85"/>
      <c r="F542" s="85"/>
      <c r="G542" s="86" t="str">
        <f>"("&amp;CVSSv3!$B$4&amp;":"&amp;IF(H531=CVSSv3!$C$4,CVSSv3!$C$30,IF(H531=CVSSv3!$D$4,CVSSv3!$D$30,IF(H531=CVSSv3!$E$4,CVSSv3!$E$30,IF(H531=CVSSv3!$F$4,CVSSv3!$F$30,""))))&amp;"/"&amp;CVSSv3!$B$5&amp;":"&amp;IF(H532=CVSSv3!$C$5,CVSSv3!$C$31,IF(H532=CVSSv3!$D$5,CVSSv3!$D$31,""))&amp;"/"&amp;CVSSv3!$B$6&amp;":"&amp;IF(H533=CVSSv3!$C$6,CVSSv3!$C$32,IF(H533=CVSSv3!$D$6,CVSSv3!$D$32,IF(H533=CVSSv3!$E$6,CVSSv3!$E$32,"")))&amp;"/"&amp;CVSSv3!$B$7&amp;":"&amp;IF(H534=CVSSv3!$C$7,CVSSv3!$C$33,IF(H534=CVSSv3!$D$7,CVSSv3!$D$33,""))&amp;"/"&amp;CVSSv3!$B$8&amp;":"&amp;IF(H535=CVSSv3!$C$8,CVSSv3!$C$34,IF(H535=CVSSv3!$D$8,CVSSv3!$D$34,""))&amp;"/"&amp;CVSSv3!$B$9&amp;":"&amp;IF(H536=CVSSv3!$C$9,CVSSv3!$C$35,IF(H536=CVSSv3!$D$9,CVSSv3!$D$35,IF(H536=CVSSv3!$E$9,CVSSv3!$E$35,"")))&amp;"/"&amp;CVSSv3!$B$10&amp;":"&amp;IF(H537=CVSSv3!$C$10,CVSSv3!$C$36,IF(H537=CVSSv3!$D$10,CVSSv3!$D$36,IF(H537=CVSSv3!$E$10,CVSSv3!$E$36,"")))&amp;"/"&amp;CVSSv3!$B$11&amp;":"&amp;IF(H538=CVSSv3!$C$11,CVSSv3!$C$37,IF(H538=CVSSv3!$D$11,CVSSv3!$D$37,IF(H538=CVSSv3!$E$11,CVSSv3!$E$37,"")))&amp;"/"&amp;CVSSv3!$B$12&amp;":"&amp;IF(H539=CVSSv3!$C$12,CVSSv3!$C$38,IF(H539=CVSSv3!$D$12,CVSSv3!$D$38,IF(H539=CVSSv3!$E$12,CVSSv3!$E$38,IF(H539=CVSSv3!$F$12,CVSSv3!$F$38,""))))&amp;"/"&amp;CVSSv3!$B$13&amp;":"&amp;IF(H540=CVSSv3!$C$13,CVSSv3!$C$39,IF(H540=CVSSv3!$D$13,CVSSv3!$D$39,IF(H540=CVSSv3!$E$13,CVSSv3!$E$39,IF(H540=CVSSv3!$F$13,CVSSv3!$F$39,""))))&amp;"/"&amp;CVSSv3!$B$14&amp;":"&amp;IF(H541=CVSSv3!$C$14,CVSSv3!$C$40,IF(H541=CVSSv3!$D$14,CVSSv3!$D$40,IF(H541=CVSSv3!$E$14,CVSSv3!$E$40,"")))&amp;")"</f>
        <v>(AV:N/AC:H/PR:N/UI:N/S:C/C:H/I:H/A:H/E:H/RL:U/RC:C)</v>
      </c>
      <c r="H542" s="87"/>
      <c r="I542" s="88"/>
      <c r="J542" s="89"/>
      <c r="K542" s="89"/>
      <c r="L542" s="85"/>
      <c r="M542" s="85"/>
      <c r="N542" s="85"/>
      <c r="O542" s="85"/>
    </row>
    <row r="543" spans="1:15" x14ac:dyDescent="0.25">
      <c r="A543" s="89">
        <v>46</v>
      </c>
      <c r="B543" s="85" t="s">
        <v>759</v>
      </c>
      <c r="C543" s="85" t="s">
        <v>17</v>
      </c>
      <c r="D543" s="85" t="s">
        <v>17</v>
      </c>
      <c r="E543" s="85" t="s">
        <v>17</v>
      </c>
      <c r="F543"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43" s="82" t="str">
        <f>CVSSv3!$A$4</f>
        <v>Vector de ataque:</v>
      </c>
      <c r="H543" s="84" t="s">
        <v>706</v>
      </c>
      <c r="I543" s="88">
        <f>ROUNDUP((IF((IF(H547=CVSSv3!$C$8,(6.42*(1-((1-(IF(H548=CVSSv3!$C$9,CVSSv3!$C$22,(IF(H548=CVSSv3!$D$9,CVSSv3!$D$22,(IF(H548=CVSSv3!$E$9,CVSSv3!$E$22,"")))))))*(1-(IF(H549=CVSSv3!$C$10,CVSSv3!$C$23,(IF(H549=CVSSv3!$D$10,CVSSv3!$D$23,(IF(H549=CVSSv3!$E$10,CVSSv3!$E$23,"")))))))*(1-(IF(H550=CVSSv3!$C$11,CVSSv3!$C$24,(IF(H550=CVSSv3!$D$11,CVSSv3!$D$24,(IF(H550=CVSSv3!$E$11,CVSSv3!$E$24,"")))))))))),((7.52*((1-((1-(IF(H548=CVSSv3!$C$9,CVSSv3!$C$22,(IF(H548=CVSSv3!$D$9,CVSSv3!$D$22,(IF(H548=CVSSv3!$E$9,CVSSv3!$E$22,"")))))))*(1-(IF(H549=CVSSv3!$C$10,CVSSv3!$C$23,(IF(H549=CVSSv3!$D$10,CVSSv3!$D$23,(IF(H549=CVSSv3!$E$10,CVSSv3!$E$23,"")))))))*(1-(IF(H550=CVSSv3!$C$11,CVSSv3!$C$24,(IF(H550=CVSSv3!$D$11,CVSSv3!$D$24,(IF(H550=CVSSv3!$E$11,CVSSv3!$E$24,"")))))))))-0.029))-(3.25*POWER(((1-((1-(IF(H548=CVSSv3!$C$9,CVSSv3!$C$22,(IF(H548=CVSSv3!$D$9,CVSSv3!$D$22,(IF(H548=CVSSv3!$E$9,CVSSv3!$E$22,"")))))))*(1-(IF(H549=CVSSv3!$C$10,CVSSv3!$C$23,(IF(H549=CVSSv3!$D$10,CVSSv3!$D$23,(IF(H549=CVSSv3!$E$10,CVSSv3!$E$23,"")))))))*(1-(IF(H550=CVSSv3!$C$11,CVSSv3!$C$24,(IF(H550=CVSSv3!$D$11,CVSSv3!$D$24,(IF(H550=CVSSv3!$E$11,CVSSv3!$E$24,"")))))))))-0.02),15)))))&lt;=0,0,(IF(H547=CVSSv3!$C$8,ROUNDUP((MIN((IF(H547=CVSSv3!$C$8,(6.42*(1-((1-(IF(H548=CVSSv3!$C$9,CVSSv3!$C$22,(IF(H548=CVSSv3!$D$9,CVSSv3!$D$22,(IF(H548=CVSSv3!$E$9,CVSSv3!$E$22,"")))))))*(1-(IF(H549=CVSSv3!$C$10,CVSSv3!$C$23,(IF(H549=CVSSv3!$D$10,CVSSv3!$D$23,(IF(H549=CVSSv3!$E$10,CVSSv3!$E$23,"")))))))*(1-(IF(H550=CVSSv3!$C$11,CVSSv3!$C$24,(IF(H550=CVSSv3!$D$11,CVSSv3!$D$24,(IF(H550=CVSSv3!$E$11,CVSSv3!$E$24,"")))))))))),((7.52*((1-((1-(IF(H548=CVSSv3!$C$9,CVSSv3!$C$22,(IF(H548=CVSSv3!$D$9,CVSSv3!$D$22,(IF(H548=CVSSv3!$E$9,CVSSv3!$E$22,"")))))))*(1-(IF(H549=CVSSv3!$C$10,CVSSv3!$C$23,(IF(H549=CVSSv3!$D$10,CVSSv3!$D$23,(IF(H549=CVSSv3!$E$10,CVSSv3!$E$23,"")))))))*(1-(IF(H550=CVSSv3!$C$11,CVSSv3!$C$24,(IF(H550=CVSSv3!$D$11,CVSSv3!$D$24,(IF(H550=CVSSv3!$E$11,CVSSv3!$E$24,"")))))))))-0.029))-(3.25*POWER(((1-((1-(IF(H548=CVSSv3!$C$9,CVSSv3!$C$22,(IF(H548=CVSSv3!$D$9,CVSSv3!$D$22,(IF(H548=CVSSv3!$E$9,CVSSv3!$E$22,"")))))))*(1-(IF(H549=CVSSv3!$C$10,CVSSv3!$C$23,(IF(H549=CVSSv3!$D$10,CVSSv3!$D$23,(IF(H549=CVSSv3!$E$10,CVSSv3!$E$23,"")))))))*(1-(IF(H550=CVSSv3!$C$11,CVSSv3!$C$24,(IF(H550=CVSSv3!$D$11,CVSSv3!$D$24,(IF(H550=CVSSv3!$E$11,CVSSv3!$E$24,"")))))))))-0.02),15)))))+(8.22*(IF(H543=CVSSv3!$C$4,CVSSv3!$C$17,(IF(H543=CVSSv3!$D$4,CVSSv3!$D$17,(IF(H543=CVSSv3!$E$4,CVSSv3!$E$17,(IF(H543=CVSSv3!$F$4,CVSSv3!$F$17,""))))))))*(IF(H544=CVSSv3!$C$5,CVSSv3!$C$18,(IF(H544=CVSSv3!$D$5,CVSSv3!$D$18,""))))*(IF(H545=CVSSv3!$C$6,CVSSv3!$C$19,(IF(H545=CVSSv3!$D$6,(IF(H547=CVSSv3!$D$8,0.68,CVSSv3!$D$19)),(IF(H545=CVSSv3!$E$6,(IF(H547=CVSSv3!$D$8,0.5,CVSSv3!$E$19))))))))*(IF(H546=CVSSv3!$C$7,CVSSv3!$C$20,(IF(H546=CVSSv3!$D$7,CVSSv3!$D$20,""))))),10)),1),ROUNDUP((MIN(1.08*((IF(H547=CVSSv3!$C$8,(6.42*(1-((1-(IF(H548=CVSSv3!$C$9,CVSSv3!$C$22,(IF(H548=CVSSv3!$D$9,CVSSv3!$D$22,(IF(H548=CVSSv3!$E$9,CVSSv3!$E$22,"")))))))*(1-(IF(H549=CVSSv3!$C$10,CVSSv3!$C$23,(IF(H549=CVSSv3!$D$10,CVSSv3!$D$23,(IF(H549=CVSSv3!$E$10,CVSSv3!$E$23,"")))))))*(1-(IF(H550=CVSSv3!$C$11,CVSSv3!$C$24,(IF(H550=CVSSv3!$D$11,CVSSv3!$D$24,(IF(H550=CVSSv3!$E$11,CVSSv3!$E$24,"")))))))))),((7.52*((1-((1-(IF(H548=CVSSv3!$C$9,CVSSv3!$C$22,(IF(H548=CVSSv3!$D$9,CVSSv3!$D$22,(IF(H548=CVSSv3!$E$9,CVSSv3!$E$22,"")))))))*(1-(IF(H549=CVSSv3!$C$10,CVSSv3!$C$23,(IF(H549=CVSSv3!$D$10,CVSSv3!$D$23,(IF(H549=CVSSv3!$E$10,CVSSv3!$E$23,"")))))))*(1-(IF(H550=CVSSv3!$C$11,CVSSv3!$C$24,(IF(H550=CVSSv3!$D$11,CVSSv3!$D$24,(IF(H550=CVSSv3!$E$11,CVSSv3!$E$24,"")))))))))-0.029))-(3.25*POWER(((1-((1-(IF(H548=CVSSv3!$C$9,CVSSv3!$C$22,(IF(H548=CVSSv3!$D$9,CVSSv3!$D$22,(IF(H548=CVSSv3!$E$9,CVSSv3!$E$22,"")))))))*(1-(IF(H549=CVSSv3!$C$10,CVSSv3!$C$23,(IF(H549=CVSSv3!$D$10,CVSSv3!$D$23,(IF(H549=CVSSv3!$E$10,CVSSv3!$E$23,"")))))))*(1-(IF(H550=CVSSv3!$C$11,CVSSv3!$C$24,(IF(H550=CVSSv3!$D$11,CVSSv3!$D$24,(IF(H550=CVSSv3!$E$11,CVSSv3!$E$24,"")))))))))-0.02),15)))))+(8.22*(IF(H543=CVSSv3!$C$4,CVSSv3!$C$17,(IF(H543=CVSSv3!$D$4,CVSSv3!$D$17,(IF(H543=CVSSv3!$E$4,CVSSv3!$E$17,(IF(H543=CVSSv3!$F$4,CVSSv3!$F$17,""))))))))*(IF(H544=CVSSv3!$C$5,CVSSv3!$C$18,(IF(H544=CVSSv3!$D$5,CVSSv3!$D$18,""))))*(IF(H545=CVSSv3!$C$6,CVSSv3!$C$19,(IF(H545=CVSSv3!$D$6,(IF(H547=CVSSv3!$D$8,0.68,CVSSv3!$D$19)),(IF(H545=CVSSv3!$E$6,(IF(H547=CVSSv3!$D$8,0.5,CVSSv3!$E$19))))))))*(IF(H546=CVSSv3!$C$7,CVSSv3!$C$20,(IF(H546=CVSSv3!$D$7,CVSSv3!$D$20,"")))))),10)),1))))*(IF(H551=CVSSv3!$C$12,CVSSv3!$C$25,(IF(H551=CVSSv3!$D$12,CVSSv3!$D$25,(IF(H551=CVSSv3!$E$12,CVSSv3!$E$25,(IF(H551=CVSSv3!$F$12,CVSSv3!$F$25,""))))))))*(IF(H552=CVSSv3!$C$13,CVSSv3!$C$26,(IF(H552=CVSSv3!$D$13,CVSSv3!$D$26,(IF(H552=CVSSv3!$E$13,CVSSv3!$E$26,(IF(H552=CVSSv3!$F$13,CVSSv3!$F$26,""))))))))*(IF(H553=CVSSv3!$C$14,CVSSv3!$C$27,(IF(H553=CVSSv3!$D$14,CVSSv3!$D$27,(IF(H553=CVSSv3!$E$14,CVSSv3!$E$27,""))))))),1)</f>
        <v>9</v>
      </c>
      <c r="J543" s="89">
        <v>0</v>
      </c>
      <c r="K543" s="89">
        <v>0</v>
      </c>
      <c r="L543" s="85" t="s">
        <v>17</v>
      </c>
      <c r="M543" s="85" t="s">
        <v>17</v>
      </c>
      <c r="N543" s="85" t="s">
        <v>707</v>
      </c>
      <c r="O543" s="85" t="s">
        <v>708</v>
      </c>
    </row>
    <row r="544" spans="1:15" x14ac:dyDescent="0.25">
      <c r="A544" s="89"/>
      <c r="B544" s="85"/>
      <c r="C544" s="85"/>
      <c r="D544" s="85"/>
      <c r="E544" s="85"/>
      <c r="F544" s="85"/>
      <c r="G544" s="80" t="str">
        <f>CVSSv3!$A$5</f>
        <v>Complejidad de ataque:</v>
      </c>
      <c r="H544" s="81" t="s">
        <v>709</v>
      </c>
      <c r="I544" s="88"/>
      <c r="J544" s="89"/>
      <c r="K544" s="89"/>
      <c r="L544" s="85"/>
      <c r="M544" s="85"/>
      <c r="N544" s="85"/>
      <c r="O544" s="85"/>
    </row>
    <row r="545" spans="1:15" x14ac:dyDescent="0.25">
      <c r="A545" s="89"/>
      <c r="B545" s="85"/>
      <c r="C545" s="85"/>
      <c r="D545" s="85"/>
      <c r="E545" s="85"/>
      <c r="F545" s="85"/>
      <c r="G545" s="80" t="str">
        <f>CVSSv3!$A$6</f>
        <v>Privilegios requeridos:</v>
      </c>
      <c r="H545" s="81" t="s">
        <v>710</v>
      </c>
      <c r="I545" s="88"/>
      <c r="J545" s="89"/>
      <c r="K545" s="89"/>
      <c r="L545" s="85"/>
      <c r="M545" s="85"/>
      <c r="N545" s="85"/>
      <c r="O545" s="85"/>
    </row>
    <row r="546" spans="1:15" x14ac:dyDescent="0.25">
      <c r="A546" s="89"/>
      <c r="B546" s="85"/>
      <c r="C546" s="85"/>
      <c r="D546" s="85"/>
      <c r="E546" s="85"/>
      <c r="F546" s="85"/>
      <c r="G546" s="80" t="str">
        <f>CVSSv3!$A$7</f>
        <v>Interacción del usuario:</v>
      </c>
      <c r="H546" s="81" t="s">
        <v>711</v>
      </c>
      <c r="I546" s="88"/>
      <c r="J546" s="89"/>
      <c r="K546" s="89"/>
      <c r="L546" s="85"/>
      <c r="M546" s="85"/>
      <c r="N546" s="85"/>
      <c r="O546" s="85"/>
    </row>
    <row r="547" spans="1:15" x14ac:dyDescent="0.25">
      <c r="A547" s="89"/>
      <c r="B547" s="85"/>
      <c r="C547" s="85"/>
      <c r="D547" s="85"/>
      <c r="E547" s="85"/>
      <c r="F547" s="85"/>
      <c r="G547" s="80" t="str">
        <f>CVSSv3!$A$8</f>
        <v>Alcance:</v>
      </c>
      <c r="H547" s="81" t="s">
        <v>712</v>
      </c>
      <c r="I547" s="88"/>
      <c r="J547" s="89"/>
      <c r="K547" s="89"/>
      <c r="L547" s="85"/>
      <c r="M547" s="85"/>
      <c r="N547" s="85"/>
      <c r="O547" s="85"/>
    </row>
    <row r="548" spans="1:15" x14ac:dyDescent="0.25">
      <c r="A548" s="89"/>
      <c r="B548" s="85"/>
      <c r="C548" s="85"/>
      <c r="D548" s="85"/>
      <c r="E548" s="85"/>
      <c r="F548" s="85"/>
      <c r="G548" s="80" t="str">
        <f>CVSSv3!$A$9</f>
        <v>Impacto a la confidencialidad:</v>
      </c>
      <c r="H548" s="81" t="s">
        <v>713</v>
      </c>
      <c r="I548" s="88"/>
      <c r="J548" s="89"/>
      <c r="K548" s="89"/>
      <c r="L548" s="85"/>
      <c r="M548" s="85"/>
      <c r="N548" s="85"/>
      <c r="O548" s="85"/>
    </row>
    <row r="549" spans="1:15" x14ac:dyDescent="0.25">
      <c r="A549" s="89"/>
      <c r="B549" s="85"/>
      <c r="C549" s="85"/>
      <c r="D549" s="85"/>
      <c r="E549" s="85"/>
      <c r="F549" s="85"/>
      <c r="G549" s="80" t="str">
        <f>CVSSv3!$A$10</f>
        <v>Impacto a la integridad:</v>
      </c>
      <c r="H549" s="81" t="s">
        <v>713</v>
      </c>
      <c r="I549" s="88"/>
      <c r="J549" s="89"/>
      <c r="K549" s="89"/>
      <c r="L549" s="85"/>
      <c r="M549" s="85"/>
      <c r="N549" s="85"/>
      <c r="O549" s="85"/>
    </row>
    <row r="550" spans="1:15" x14ac:dyDescent="0.25">
      <c r="A550" s="89"/>
      <c r="B550" s="85"/>
      <c r="C550" s="85"/>
      <c r="D550" s="85"/>
      <c r="E550" s="85"/>
      <c r="F550" s="85"/>
      <c r="G550" s="80" t="str">
        <f>CVSSv3!$A$11</f>
        <v>Impacto a la disponibilidad:</v>
      </c>
      <c r="H550" s="81" t="s">
        <v>713</v>
      </c>
      <c r="I550" s="88"/>
      <c r="J550" s="89"/>
      <c r="K550" s="89"/>
      <c r="L550" s="85"/>
      <c r="M550" s="85"/>
      <c r="N550" s="85"/>
      <c r="O550" s="85"/>
    </row>
    <row r="551" spans="1:15" x14ac:dyDescent="0.25">
      <c r="A551" s="89"/>
      <c r="B551" s="85"/>
      <c r="C551" s="85"/>
      <c r="D551" s="85"/>
      <c r="E551" s="85"/>
      <c r="F551" s="85"/>
      <c r="G551" s="80" t="str">
        <f>CVSSv3!$A$12</f>
        <v>Explotabilidad:</v>
      </c>
      <c r="H551" s="81" t="s">
        <v>709</v>
      </c>
      <c r="I551" s="88"/>
      <c r="J551" s="89"/>
      <c r="K551" s="89"/>
      <c r="L551" s="85"/>
      <c r="M551" s="85"/>
      <c r="N551" s="85"/>
      <c r="O551" s="85"/>
    </row>
    <row r="552" spans="1:15" x14ac:dyDescent="0.25">
      <c r="A552" s="89"/>
      <c r="B552" s="85"/>
      <c r="C552" s="85"/>
      <c r="D552" s="85"/>
      <c r="E552" s="85"/>
      <c r="F552" s="85"/>
      <c r="G552" s="80" t="str">
        <f>CVSSv3!$A$13</f>
        <v>Nivel de resolución:</v>
      </c>
      <c r="H552" s="81" t="s">
        <v>714</v>
      </c>
      <c r="I552" s="88"/>
      <c r="J552" s="89"/>
      <c r="K552" s="89"/>
      <c r="L552" s="85"/>
      <c r="M552" s="85"/>
      <c r="N552" s="85"/>
      <c r="O552" s="85"/>
    </row>
    <row r="553" spans="1:15" x14ac:dyDescent="0.25">
      <c r="A553" s="89"/>
      <c r="B553" s="85"/>
      <c r="C553" s="85"/>
      <c r="D553" s="85"/>
      <c r="E553" s="85"/>
      <c r="F553" s="85"/>
      <c r="G553" s="80" t="str">
        <f>CVSSv3!$A$14</f>
        <v>Nivel de confianza</v>
      </c>
      <c r="H553" s="81" t="s">
        <v>715</v>
      </c>
      <c r="I553" s="88"/>
      <c r="J553" s="89"/>
      <c r="K553" s="89"/>
      <c r="L553" s="85"/>
      <c r="M553" s="85"/>
      <c r="N553" s="85"/>
      <c r="O553" s="85"/>
    </row>
    <row r="554" spans="1:15" x14ac:dyDescent="0.25">
      <c r="A554" s="89"/>
      <c r="B554" s="85"/>
      <c r="C554" s="85"/>
      <c r="D554" s="85"/>
      <c r="E554" s="85"/>
      <c r="F554" s="85"/>
      <c r="G554" s="86" t="str">
        <f>"("&amp;CVSSv3!$B$4&amp;":"&amp;IF(H543=CVSSv3!$C$4,CVSSv3!$C$30,IF(H543=CVSSv3!$D$4,CVSSv3!$D$30,IF(H543=CVSSv3!$E$4,CVSSv3!$E$30,IF(H543=CVSSv3!$F$4,CVSSv3!$F$30,""))))&amp;"/"&amp;CVSSv3!$B$5&amp;":"&amp;IF(H544=CVSSv3!$C$5,CVSSv3!$C$31,IF(H544=CVSSv3!$D$5,CVSSv3!$D$31,""))&amp;"/"&amp;CVSSv3!$B$6&amp;":"&amp;IF(H545=CVSSv3!$C$6,CVSSv3!$C$32,IF(H545=CVSSv3!$D$6,CVSSv3!$D$32,IF(H545=CVSSv3!$E$6,CVSSv3!$E$32,"")))&amp;"/"&amp;CVSSv3!$B$7&amp;":"&amp;IF(H546=CVSSv3!$C$7,CVSSv3!$C$33,IF(H546=CVSSv3!$D$7,CVSSv3!$D$33,""))&amp;"/"&amp;CVSSv3!$B$8&amp;":"&amp;IF(H547=CVSSv3!$C$8,CVSSv3!$C$34,IF(H547=CVSSv3!$D$8,CVSSv3!$D$34,""))&amp;"/"&amp;CVSSv3!$B$9&amp;":"&amp;IF(H548=CVSSv3!$C$9,CVSSv3!$C$35,IF(H548=CVSSv3!$D$9,CVSSv3!$D$35,IF(H548=CVSSv3!$E$9,CVSSv3!$E$35,"")))&amp;"/"&amp;CVSSv3!$B$10&amp;":"&amp;IF(H549=CVSSv3!$C$10,CVSSv3!$C$36,IF(H549=CVSSv3!$D$10,CVSSv3!$D$36,IF(H549=CVSSv3!$E$10,CVSSv3!$E$36,"")))&amp;"/"&amp;CVSSv3!$B$11&amp;":"&amp;IF(H550=CVSSv3!$C$11,CVSSv3!$C$37,IF(H550=CVSSv3!$D$11,CVSSv3!$D$37,IF(H550=CVSSv3!$E$11,CVSSv3!$E$37,"")))&amp;"/"&amp;CVSSv3!$B$12&amp;":"&amp;IF(H551=CVSSv3!$C$12,CVSSv3!$C$38,IF(H551=CVSSv3!$D$12,CVSSv3!$D$38,IF(H551=CVSSv3!$E$12,CVSSv3!$E$38,IF(H551=CVSSv3!$F$12,CVSSv3!$F$38,""))))&amp;"/"&amp;CVSSv3!$B$13&amp;":"&amp;IF(H552=CVSSv3!$C$13,CVSSv3!$C$39,IF(H552=CVSSv3!$D$13,CVSSv3!$D$39,IF(H552=CVSSv3!$E$13,CVSSv3!$E$39,IF(H552=CVSSv3!$F$13,CVSSv3!$F$39,""))))&amp;"/"&amp;CVSSv3!$B$14&amp;":"&amp;IF(H553=CVSSv3!$C$14,CVSSv3!$C$40,IF(H553=CVSSv3!$D$14,CVSSv3!$D$40,IF(H553=CVSSv3!$E$14,CVSSv3!$E$40,"")))&amp;")"</f>
        <v>(AV:N/AC:H/PR:N/UI:N/S:C/C:H/I:H/A:H/E:H/RL:U/RC:C)</v>
      </c>
      <c r="H554" s="87"/>
      <c r="I554" s="88"/>
      <c r="J554" s="89"/>
      <c r="K554" s="89"/>
      <c r="L554" s="85"/>
      <c r="M554" s="85"/>
      <c r="N554" s="85"/>
      <c r="O554" s="85"/>
    </row>
    <row r="555" spans="1:15" x14ac:dyDescent="0.25">
      <c r="A555" s="89">
        <v>47</v>
      </c>
      <c r="B555" s="85" t="s">
        <v>760</v>
      </c>
      <c r="C555" s="85" t="s">
        <v>17</v>
      </c>
      <c r="D555" s="85" t="s">
        <v>17</v>
      </c>
      <c r="E555" s="85" t="s">
        <v>17</v>
      </c>
      <c r="F555"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55" s="82" t="str">
        <f>CVSSv3!$A$4</f>
        <v>Vector de ataque:</v>
      </c>
      <c r="H555" s="84" t="s">
        <v>706</v>
      </c>
      <c r="I555" s="88">
        <f>ROUNDUP((IF((IF(H559=CVSSv3!$C$8,(6.42*(1-((1-(IF(H560=CVSSv3!$C$9,CVSSv3!$C$22,(IF(H560=CVSSv3!$D$9,CVSSv3!$D$22,(IF(H560=CVSSv3!$E$9,CVSSv3!$E$22,"")))))))*(1-(IF(H561=CVSSv3!$C$10,CVSSv3!$C$23,(IF(H561=CVSSv3!$D$10,CVSSv3!$D$23,(IF(H561=CVSSv3!$E$10,CVSSv3!$E$23,"")))))))*(1-(IF(H562=CVSSv3!$C$11,CVSSv3!$C$24,(IF(H562=CVSSv3!$D$11,CVSSv3!$D$24,(IF(H562=CVSSv3!$E$11,CVSSv3!$E$24,"")))))))))),((7.52*((1-((1-(IF(H560=CVSSv3!$C$9,CVSSv3!$C$22,(IF(H560=CVSSv3!$D$9,CVSSv3!$D$22,(IF(H560=CVSSv3!$E$9,CVSSv3!$E$22,"")))))))*(1-(IF(H561=CVSSv3!$C$10,CVSSv3!$C$23,(IF(H561=CVSSv3!$D$10,CVSSv3!$D$23,(IF(H561=CVSSv3!$E$10,CVSSv3!$E$23,"")))))))*(1-(IF(H562=CVSSv3!$C$11,CVSSv3!$C$24,(IF(H562=CVSSv3!$D$11,CVSSv3!$D$24,(IF(H562=CVSSv3!$E$11,CVSSv3!$E$24,"")))))))))-0.029))-(3.25*POWER(((1-((1-(IF(H560=CVSSv3!$C$9,CVSSv3!$C$22,(IF(H560=CVSSv3!$D$9,CVSSv3!$D$22,(IF(H560=CVSSv3!$E$9,CVSSv3!$E$22,"")))))))*(1-(IF(H561=CVSSv3!$C$10,CVSSv3!$C$23,(IF(H561=CVSSv3!$D$10,CVSSv3!$D$23,(IF(H561=CVSSv3!$E$10,CVSSv3!$E$23,"")))))))*(1-(IF(H562=CVSSv3!$C$11,CVSSv3!$C$24,(IF(H562=CVSSv3!$D$11,CVSSv3!$D$24,(IF(H562=CVSSv3!$E$11,CVSSv3!$E$24,"")))))))))-0.02),15)))))&lt;=0,0,(IF(H559=CVSSv3!$C$8,ROUNDUP((MIN((IF(H559=CVSSv3!$C$8,(6.42*(1-((1-(IF(H560=CVSSv3!$C$9,CVSSv3!$C$22,(IF(H560=CVSSv3!$D$9,CVSSv3!$D$22,(IF(H560=CVSSv3!$E$9,CVSSv3!$E$22,"")))))))*(1-(IF(H561=CVSSv3!$C$10,CVSSv3!$C$23,(IF(H561=CVSSv3!$D$10,CVSSv3!$D$23,(IF(H561=CVSSv3!$E$10,CVSSv3!$E$23,"")))))))*(1-(IF(H562=CVSSv3!$C$11,CVSSv3!$C$24,(IF(H562=CVSSv3!$D$11,CVSSv3!$D$24,(IF(H562=CVSSv3!$E$11,CVSSv3!$E$24,"")))))))))),((7.52*((1-((1-(IF(H560=CVSSv3!$C$9,CVSSv3!$C$22,(IF(H560=CVSSv3!$D$9,CVSSv3!$D$22,(IF(H560=CVSSv3!$E$9,CVSSv3!$E$22,"")))))))*(1-(IF(H561=CVSSv3!$C$10,CVSSv3!$C$23,(IF(H561=CVSSv3!$D$10,CVSSv3!$D$23,(IF(H561=CVSSv3!$E$10,CVSSv3!$E$23,"")))))))*(1-(IF(H562=CVSSv3!$C$11,CVSSv3!$C$24,(IF(H562=CVSSv3!$D$11,CVSSv3!$D$24,(IF(H562=CVSSv3!$E$11,CVSSv3!$E$24,"")))))))))-0.029))-(3.25*POWER(((1-((1-(IF(H560=CVSSv3!$C$9,CVSSv3!$C$22,(IF(H560=CVSSv3!$D$9,CVSSv3!$D$22,(IF(H560=CVSSv3!$E$9,CVSSv3!$E$22,"")))))))*(1-(IF(H561=CVSSv3!$C$10,CVSSv3!$C$23,(IF(H561=CVSSv3!$D$10,CVSSv3!$D$23,(IF(H561=CVSSv3!$E$10,CVSSv3!$E$23,"")))))))*(1-(IF(H562=CVSSv3!$C$11,CVSSv3!$C$24,(IF(H562=CVSSv3!$D$11,CVSSv3!$D$24,(IF(H562=CVSSv3!$E$11,CVSSv3!$E$24,"")))))))))-0.02),15)))))+(8.22*(IF(H555=CVSSv3!$C$4,CVSSv3!$C$17,(IF(H555=CVSSv3!$D$4,CVSSv3!$D$17,(IF(H555=CVSSv3!$E$4,CVSSv3!$E$17,(IF(H555=CVSSv3!$F$4,CVSSv3!$F$17,""))))))))*(IF(H556=CVSSv3!$C$5,CVSSv3!$C$18,(IF(H556=CVSSv3!$D$5,CVSSv3!$D$18,""))))*(IF(H557=CVSSv3!$C$6,CVSSv3!$C$19,(IF(H557=CVSSv3!$D$6,(IF(H559=CVSSv3!$D$8,0.68,CVSSv3!$D$19)),(IF(H557=CVSSv3!$E$6,(IF(H559=CVSSv3!$D$8,0.5,CVSSv3!$E$19))))))))*(IF(H558=CVSSv3!$C$7,CVSSv3!$C$20,(IF(H558=CVSSv3!$D$7,CVSSv3!$D$20,""))))),10)),1),ROUNDUP((MIN(1.08*((IF(H559=CVSSv3!$C$8,(6.42*(1-((1-(IF(H560=CVSSv3!$C$9,CVSSv3!$C$22,(IF(H560=CVSSv3!$D$9,CVSSv3!$D$22,(IF(H560=CVSSv3!$E$9,CVSSv3!$E$22,"")))))))*(1-(IF(H561=CVSSv3!$C$10,CVSSv3!$C$23,(IF(H561=CVSSv3!$D$10,CVSSv3!$D$23,(IF(H561=CVSSv3!$E$10,CVSSv3!$E$23,"")))))))*(1-(IF(H562=CVSSv3!$C$11,CVSSv3!$C$24,(IF(H562=CVSSv3!$D$11,CVSSv3!$D$24,(IF(H562=CVSSv3!$E$11,CVSSv3!$E$24,"")))))))))),((7.52*((1-((1-(IF(H560=CVSSv3!$C$9,CVSSv3!$C$22,(IF(H560=CVSSv3!$D$9,CVSSv3!$D$22,(IF(H560=CVSSv3!$E$9,CVSSv3!$E$22,"")))))))*(1-(IF(H561=CVSSv3!$C$10,CVSSv3!$C$23,(IF(H561=CVSSv3!$D$10,CVSSv3!$D$23,(IF(H561=CVSSv3!$E$10,CVSSv3!$E$23,"")))))))*(1-(IF(H562=CVSSv3!$C$11,CVSSv3!$C$24,(IF(H562=CVSSv3!$D$11,CVSSv3!$D$24,(IF(H562=CVSSv3!$E$11,CVSSv3!$E$24,"")))))))))-0.029))-(3.25*POWER(((1-((1-(IF(H560=CVSSv3!$C$9,CVSSv3!$C$22,(IF(H560=CVSSv3!$D$9,CVSSv3!$D$22,(IF(H560=CVSSv3!$E$9,CVSSv3!$E$22,"")))))))*(1-(IF(H561=CVSSv3!$C$10,CVSSv3!$C$23,(IF(H561=CVSSv3!$D$10,CVSSv3!$D$23,(IF(H561=CVSSv3!$E$10,CVSSv3!$E$23,"")))))))*(1-(IF(H562=CVSSv3!$C$11,CVSSv3!$C$24,(IF(H562=CVSSv3!$D$11,CVSSv3!$D$24,(IF(H562=CVSSv3!$E$11,CVSSv3!$E$24,"")))))))))-0.02),15)))))+(8.22*(IF(H555=CVSSv3!$C$4,CVSSv3!$C$17,(IF(H555=CVSSv3!$D$4,CVSSv3!$D$17,(IF(H555=CVSSv3!$E$4,CVSSv3!$E$17,(IF(H555=CVSSv3!$F$4,CVSSv3!$F$17,""))))))))*(IF(H556=CVSSv3!$C$5,CVSSv3!$C$18,(IF(H556=CVSSv3!$D$5,CVSSv3!$D$18,""))))*(IF(H557=CVSSv3!$C$6,CVSSv3!$C$19,(IF(H557=CVSSv3!$D$6,(IF(H559=CVSSv3!$D$8,0.68,CVSSv3!$D$19)),(IF(H557=CVSSv3!$E$6,(IF(H559=CVSSv3!$D$8,0.5,CVSSv3!$E$19))))))))*(IF(H558=CVSSv3!$C$7,CVSSv3!$C$20,(IF(H558=CVSSv3!$D$7,CVSSv3!$D$20,"")))))),10)),1))))*(IF(H563=CVSSv3!$C$12,CVSSv3!$C$25,(IF(H563=CVSSv3!$D$12,CVSSv3!$D$25,(IF(H563=CVSSv3!$E$12,CVSSv3!$E$25,(IF(H563=CVSSv3!$F$12,CVSSv3!$F$25,""))))))))*(IF(H564=CVSSv3!$C$13,CVSSv3!$C$26,(IF(H564=CVSSv3!$D$13,CVSSv3!$D$26,(IF(H564=CVSSv3!$E$13,CVSSv3!$E$26,(IF(H564=CVSSv3!$F$13,CVSSv3!$F$26,""))))))))*(IF(H565=CVSSv3!$C$14,CVSSv3!$C$27,(IF(H565=CVSSv3!$D$14,CVSSv3!$D$27,(IF(H565=CVSSv3!$E$14,CVSSv3!$E$27,""))))))),1)</f>
        <v>9</v>
      </c>
      <c r="J555" s="89">
        <v>0</v>
      </c>
      <c r="K555" s="89">
        <v>0</v>
      </c>
      <c r="L555" s="85" t="s">
        <v>17</v>
      </c>
      <c r="M555" s="85" t="s">
        <v>17</v>
      </c>
      <c r="N555" s="85" t="s">
        <v>707</v>
      </c>
      <c r="O555" s="85" t="s">
        <v>708</v>
      </c>
    </row>
    <row r="556" spans="1:15" x14ac:dyDescent="0.25">
      <c r="A556" s="89"/>
      <c r="B556" s="85"/>
      <c r="C556" s="85"/>
      <c r="D556" s="85"/>
      <c r="E556" s="85"/>
      <c r="F556" s="85"/>
      <c r="G556" s="80" t="str">
        <f>CVSSv3!$A$5</f>
        <v>Complejidad de ataque:</v>
      </c>
      <c r="H556" s="81" t="s">
        <v>709</v>
      </c>
      <c r="I556" s="88"/>
      <c r="J556" s="89"/>
      <c r="K556" s="89"/>
      <c r="L556" s="85"/>
      <c r="M556" s="85"/>
      <c r="N556" s="85"/>
      <c r="O556" s="85"/>
    </row>
    <row r="557" spans="1:15" x14ac:dyDescent="0.25">
      <c r="A557" s="89"/>
      <c r="B557" s="85"/>
      <c r="C557" s="85"/>
      <c r="D557" s="85"/>
      <c r="E557" s="85"/>
      <c r="F557" s="85"/>
      <c r="G557" s="80" t="str">
        <f>CVSSv3!$A$6</f>
        <v>Privilegios requeridos:</v>
      </c>
      <c r="H557" s="81" t="s">
        <v>710</v>
      </c>
      <c r="I557" s="88"/>
      <c r="J557" s="89"/>
      <c r="K557" s="89"/>
      <c r="L557" s="85"/>
      <c r="M557" s="85"/>
      <c r="N557" s="85"/>
      <c r="O557" s="85"/>
    </row>
    <row r="558" spans="1:15" x14ac:dyDescent="0.25">
      <c r="A558" s="89"/>
      <c r="B558" s="85"/>
      <c r="C558" s="85"/>
      <c r="D558" s="85"/>
      <c r="E558" s="85"/>
      <c r="F558" s="85"/>
      <c r="G558" s="80" t="str">
        <f>CVSSv3!$A$7</f>
        <v>Interacción del usuario:</v>
      </c>
      <c r="H558" s="81" t="s">
        <v>711</v>
      </c>
      <c r="I558" s="88"/>
      <c r="J558" s="89"/>
      <c r="K558" s="89"/>
      <c r="L558" s="85"/>
      <c r="M558" s="85"/>
      <c r="N558" s="85"/>
      <c r="O558" s="85"/>
    </row>
    <row r="559" spans="1:15" x14ac:dyDescent="0.25">
      <c r="A559" s="89"/>
      <c r="B559" s="85"/>
      <c r="C559" s="85"/>
      <c r="D559" s="85"/>
      <c r="E559" s="85"/>
      <c r="F559" s="85"/>
      <c r="G559" s="80" t="str">
        <f>CVSSv3!$A$8</f>
        <v>Alcance:</v>
      </c>
      <c r="H559" s="81" t="s">
        <v>712</v>
      </c>
      <c r="I559" s="88"/>
      <c r="J559" s="89"/>
      <c r="K559" s="89"/>
      <c r="L559" s="85"/>
      <c r="M559" s="85"/>
      <c r="N559" s="85"/>
      <c r="O559" s="85"/>
    </row>
    <row r="560" spans="1:15" x14ac:dyDescent="0.25">
      <c r="A560" s="89"/>
      <c r="B560" s="85"/>
      <c r="C560" s="85"/>
      <c r="D560" s="85"/>
      <c r="E560" s="85"/>
      <c r="F560" s="85"/>
      <c r="G560" s="80" t="str">
        <f>CVSSv3!$A$9</f>
        <v>Impacto a la confidencialidad:</v>
      </c>
      <c r="H560" s="81" t="s">
        <v>713</v>
      </c>
      <c r="I560" s="88"/>
      <c r="J560" s="89"/>
      <c r="K560" s="89"/>
      <c r="L560" s="85"/>
      <c r="M560" s="85"/>
      <c r="N560" s="85"/>
      <c r="O560" s="85"/>
    </row>
    <row r="561" spans="1:15" x14ac:dyDescent="0.25">
      <c r="A561" s="89"/>
      <c r="B561" s="85"/>
      <c r="C561" s="85"/>
      <c r="D561" s="85"/>
      <c r="E561" s="85"/>
      <c r="F561" s="85"/>
      <c r="G561" s="80" t="str">
        <f>CVSSv3!$A$10</f>
        <v>Impacto a la integridad:</v>
      </c>
      <c r="H561" s="81" t="s">
        <v>713</v>
      </c>
      <c r="I561" s="88"/>
      <c r="J561" s="89"/>
      <c r="K561" s="89"/>
      <c r="L561" s="85"/>
      <c r="M561" s="85"/>
      <c r="N561" s="85"/>
      <c r="O561" s="85"/>
    </row>
    <row r="562" spans="1:15" x14ac:dyDescent="0.25">
      <c r="A562" s="89"/>
      <c r="B562" s="85"/>
      <c r="C562" s="85"/>
      <c r="D562" s="85"/>
      <c r="E562" s="85"/>
      <c r="F562" s="85"/>
      <c r="G562" s="80" t="str">
        <f>CVSSv3!$A$11</f>
        <v>Impacto a la disponibilidad:</v>
      </c>
      <c r="H562" s="81" t="s">
        <v>713</v>
      </c>
      <c r="I562" s="88"/>
      <c r="J562" s="89"/>
      <c r="K562" s="89"/>
      <c r="L562" s="85"/>
      <c r="M562" s="85"/>
      <c r="N562" s="85"/>
      <c r="O562" s="85"/>
    </row>
    <row r="563" spans="1:15" x14ac:dyDescent="0.25">
      <c r="A563" s="89"/>
      <c r="B563" s="85"/>
      <c r="C563" s="85"/>
      <c r="D563" s="85"/>
      <c r="E563" s="85"/>
      <c r="F563" s="85"/>
      <c r="G563" s="80" t="str">
        <f>CVSSv3!$A$12</f>
        <v>Explotabilidad:</v>
      </c>
      <c r="H563" s="81" t="s">
        <v>709</v>
      </c>
      <c r="I563" s="88"/>
      <c r="J563" s="89"/>
      <c r="K563" s="89"/>
      <c r="L563" s="85"/>
      <c r="M563" s="85"/>
      <c r="N563" s="85"/>
      <c r="O563" s="85"/>
    </row>
    <row r="564" spans="1:15" x14ac:dyDescent="0.25">
      <c r="A564" s="89"/>
      <c r="B564" s="85"/>
      <c r="C564" s="85"/>
      <c r="D564" s="85"/>
      <c r="E564" s="85"/>
      <c r="F564" s="85"/>
      <c r="G564" s="80" t="str">
        <f>CVSSv3!$A$13</f>
        <v>Nivel de resolución:</v>
      </c>
      <c r="H564" s="81" t="s">
        <v>714</v>
      </c>
      <c r="I564" s="88"/>
      <c r="J564" s="89"/>
      <c r="K564" s="89"/>
      <c r="L564" s="85"/>
      <c r="M564" s="85"/>
      <c r="N564" s="85"/>
      <c r="O564" s="85"/>
    </row>
    <row r="565" spans="1:15" x14ac:dyDescent="0.25">
      <c r="A565" s="89"/>
      <c r="B565" s="85"/>
      <c r="C565" s="85"/>
      <c r="D565" s="85"/>
      <c r="E565" s="85"/>
      <c r="F565" s="85"/>
      <c r="G565" s="80" t="str">
        <f>CVSSv3!$A$14</f>
        <v>Nivel de confianza</v>
      </c>
      <c r="H565" s="81" t="s">
        <v>715</v>
      </c>
      <c r="I565" s="88"/>
      <c r="J565" s="89"/>
      <c r="K565" s="89"/>
      <c r="L565" s="85"/>
      <c r="M565" s="85"/>
      <c r="N565" s="85"/>
      <c r="O565" s="85"/>
    </row>
    <row r="566" spans="1:15" x14ac:dyDescent="0.25">
      <c r="A566" s="89"/>
      <c r="B566" s="85"/>
      <c r="C566" s="85"/>
      <c r="D566" s="85"/>
      <c r="E566" s="85"/>
      <c r="F566" s="85"/>
      <c r="G566" s="86" t="str">
        <f>"("&amp;CVSSv3!$B$4&amp;":"&amp;IF(H555=CVSSv3!$C$4,CVSSv3!$C$30,IF(H555=CVSSv3!$D$4,CVSSv3!$D$30,IF(H555=CVSSv3!$E$4,CVSSv3!$E$30,IF(H555=CVSSv3!$F$4,CVSSv3!$F$30,""))))&amp;"/"&amp;CVSSv3!$B$5&amp;":"&amp;IF(H556=CVSSv3!$C$5,CVSSv3!$C$31,IF(H556=CVSSv3!$D$5,CVSSv3!$D$31,""))&amp;"/"&amp;CVSSv3!$B$6&amp;":"&amp;IF(H557=CVSSv3!$C$6,CVSSv3!$C$32,IF(H557=CVSSv3!$D$6,CVSSv3!$D$32,IF(H557=CVSSv3!$E$6,CVSSv3!$E$32,"")))&amp;"/"&amp;CVSSv3!$B$7&amp;":"&amp;IF(H558=CVSSv3!$C$7,CVSSv3!$C$33,IF(H558=CVSSv3!$D$7,CVSSv3!$D$33,""))&amp;"/"&amp;CVSSv3!$B$8&amp;":"&amp;IF(H559=CVSSv3!$C$8,CVSSv3!$C$34,IF(H559=CVSSv3!$D$8,CVSSv3!$D$34,""))&amp;"/"&amp;CVSSv3!$B$9&amp;":"&amp;IF(H560=CVSSv3!$C$9,CVSSv3!$C$35,IF(H560=CVSSv3!$D$9,CVSSv3!$D$35,IF(H560=CVSSv3!$E$9,CVSSv3!$E$35,"")))&amp;"/"&amp;CVSSv3!$B$10&amp;":"&amp;IF(H561=CVSSv3!$C$10,CVSSv3!$C$36,IF(H561=CVSSv3!$D$10,CVSSv3!$D$36,IF(H561=CVSSv3!$E$10,CVSSv3!$E$36,"")))&amp;"/"&amp;CVSSv3!$B$11&amp;":"&amp;IF(H562=CVSSv3!$C$11,CVSSv3!$C$37,IF(H562=CVSSv3!$D$11,CVSSv3!$D$37,IF(H562=CVSSv3!$E$11,CVSSv3!$E$37,"")))&amp;"/"&amp;CVSSv3!$B$12&amp;":"&amp;IF(H563=CVSSv3!$C$12,CVSSv3!$C$38,IF(H563=CVSSv3!$D$12,CVSSv3!$D$38,IF(H563=CVSSv3!$E$12,CVSSv3!$E$38,IF(H563=CVSSv3!$F$12,CVSSv3!$F$38,""))))&amp;"/"&amp;CVSSv3!$B$13&amp;":"&amp;IF(H564=CVSSv3!$C$13,CVSSv3!$C$39,IF(H564=CVSSv3!$D$13,CVSSv3!$D$39,IF(H564=CVSSv3!$E$13,CVSSv3!$E$39,IF(H564=CVSSv3!$F$13,CVSSv3!$F$39,""))))&amp;"/"&amp;CVSSv3!$B$14&amp;":"&amp;IF(H565=CVSSv3!$C$14,CVSSv3!$C$40,IF(H565=CVSSv3!$D$14,CVSSv3!$D$40,IF(H565=CVSSv3!$E$14,CVSSv3!$E$40,"")))&amp;")"</f>
        <v>(AV:N/AC:H/PR:N/UI:N/S:C/C:H/I:H/A:H/E:H/RL:U/RC:C)</v>
      </c>
      <c r="H566" s="87"/>
      <c r="I566" s="88"/>
      <c r="J566" s="89"/>
      <c r="K566" s="89"/>
      <c r="L566" s="85"/>
      <c r="M566" s="85"/>
      <c r="N566" s="85"/>
      <c r="O566" s="85"/>
    </row>
    <row r="567" spans="1:15" x14ac:dyDescent="0.25">
      <c r="A567" s="89">
        <v>48</v>
      </c>
      <c r="B567" s="85" t="s">
        <v>761</v>
      </c>
      <c r="C567" s="85" t="s">
        <v>17</v>
      </c>
      <c r="D567" s="85" t="s">
        <v>17</v>
      </c>
      <c r="E567" s="85" t="s">
        <v>17</v>
      </c>
      <c r="F567"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67" s="82" t="str">
        <f>CVSSv3!$A$4</f>
        <v>Vector de ataque:</v>
      </c>
      <c r="H567" s="84" t="s">
        <v>706</v>
      </c>
      <c r="I567" s="88">
        <f>ROUNDUP((IF((IF(H571=CVSSv3!$C$8,(6.42*(1-((1-(IF(H572=CVSSv3!$C$9,CVSSv3!$C$22,(IF(H572=CVSSv3!$D$9,CVSSv3!$D$22,(IF(H572=CVSSv3!$E$9,CVSSv3!$E$22,"")))))))*(1-(IF(H573=CVSSv3!$C$10,CVSSv3!$C$23,(IF(H573=CVSSv3!$D$10,CVSSv3!$D$23,(IF(H573=CVSSv3!$E$10,CVSSv3!$E$23,"")))))))*(1-(IF(H574=CVSSv3!$C$11,CVSSv3!$C$24,(IF(H574=CVSSv3!$D$11,CVSSv3!$D$24,(IF(H574=CVSSv3!$E$11,CVSSv3!$E$24,"")))))))))),((7.52*((1-((1-(IF(H572=CVSSv3!$C$9,CVSSv3!$C$22,(IF(H572=CVSSv3!$D$9,CVSSv3!$D$22,(IF(H572=CVSSv3!$E$9,CVSSv3!$E$22,"")))))))*(1-(IF(H573=CVSSv3!$C$10,CVSSv3!$C$23,(IF(H573=CVSSv3!$D$10,CVSSv3!$D$23,(IF(H573=CVSSv3!$E$10,CVSSv3!$E$23,"")))))))*(1-(IF(H574=CVSSv3!$C$11,CVSSv3!$C$24,(IF(H574=CVSSv3!$D$11,CVSSv3!$D$24,(IF(H574=CVSSv3!$E$11,CVSSv3!$E$24,"")))))))))-0.029))-(3.25*POWER(((1-((1-(IF(H572=CVSSv3!$C$9,CVSSv3!$C$22,(IF(H572=CVSSv3!$D$9,CVSSv3!$D$22,(IF(H572=CVSSv3!$E$9,CVSSv3!$E$22,"")))))))*(1-(IF(H573=CVSSv3!$C$10,CVSSv3!$C$23,(IF(H573=CVSSv3!$D$10,CVSSv3!$D$23,(IF(H573=CVSSv3!$E$10,CVSSv3!$E$23,"")))))))*(1-(IF(H574=CVSSv3!$C$11,CVSSv3!$C$24,(IF(H574=CVSSv3!$D$11,CVSSv3!$D$24,(IF(H574=CVSSv3!$E$11,CVSSv3!$E$24,"")))))))))-0.02),15)))))&lt;=0,0,(IF(H571=CVSSv3!$C$8,ROUNDUP((MIN((IF(H571=CVSSv3!$C$8,(6.42*(1-((1-(IF(H572=CVSSv3!$C$9,CVSSv3!$C$22,(IF(H572=CVSSv3!$D$9,CVSSv3!$D$22,(IF(H572=CVSSv3!$E$9,CVSSv3!$E$22,"")))))))*(1-(IF(H573=CVSSv3!$C$10,CVSSv3!$C$23,(IF(H573=CVSSv3!$D$10,CVSSv3!$D$23,(IF(H573=CVSSv3!$E$10,CVSSv3!$E$23,"")))))))*(1-(IF(H574=CVSSv3!$C$11,CVSSv3!$C$24,(IF(H574=CVSSv3!$D$11,CVSSv3!$D$24,(IF(H574=CVSSv3!$E$11,CVSSv3!$E$24,"")))))))))),((7.52*((1-((1-(IF(H572=CVSSv3!$C$9,CVSSv3!$C$22,(IF(H572=CVSSv3!$D$9,CVSSv3!$D$22,(IF(H572=CVSSv3!$E$9,CVSSv3!$E$22,"")))))))*(1-(IF(H573=CVSSv3!$C$10,CVSSv3!$C$23,(IF(H573=CVSSv3!$D$10,CVSSv3!$D$23,(IF(H573=CVSSv3!$E$10,CVSSv3!$E$23,"")))))))*(1-(IF(H574=CVSSv3!$C$11,CVSSv3!$C$24,(IF(H574=CVSSv3!$D$11,CVSSv3!$D$24,(IF(H574=CVSSv3!$E$11,CVSSv3!$E$24,"")))))))))-0.029))-(3.25*POWER(((1-((1-(IF(H572=CVSSv3!$C$9,CVSSv3!$C$22,(IF(H572=CVSSv3!$D$9,CVSSv3!$D$22,(IF(H572=CVSSv3!$E$9,CVSSv3!$E$22,"")))))))*(1-(IF(H573=CVSSv3!$C$10,CVSSv3!$C$23,(IF(H573=CVSSv3!$D$10,CVSSv3!$D$23,(IF(H573=CVSSv3!$E$10,CVSSv3!$E$23,"")))))))*(1-(IF(H574=CVSSv3!$C$11,CVSSv3!$C$24,(IF(H574=CVSSv3!$D$11,CVSSv3!$D$24,(IF(H574=CVSSv3!$E$11,CVSSv3!$E$24,"")))))))))-0.02),15)))))+(8.22*(IF(H567=CVSSv3!$C$4,CVSSv3!$C$17,(IF(H567=CVSSv3!$D$4,CVSSv3!$D$17,(IF(H567=CVSSv3!$E$4,CVSSv3!$E$17,(IF(H567=CVSSv3!$F$4,CVSSv3!$F$17,""))))))))*(IF(H568=CVSSv3!$C$5,CVSSv3!$C$18,(IF(H568=CVSSv3!$D$5,CVSSv3!$D$18,""))))*(IF(H569=CVSSv3!$C$6,CVSSv3!$C$19,(IF(H569=CVSSv3!$D$6,(IF(H571=CVSSv3!$D$8,0.68,CVSSv3!$D$19)),(IF(H569=CVSSv3!$E$6,(IF(H571=CVSSv3!$D$8,0.5,CVSSv3!$E$19))))))))*(IF(H570=CVSSv3!$C$7,CVSSv3!$C$20,(IF(H570=CVSSv3!$D$7,CVSSv3!$D$20,""))))),10)),1),ROUNDUP((MIN(1.08*((IF(H571=CVSSv3!$C$8,(6.42*(1-((1-(IF(H572=CVSSv3!$C$9,CVSSv3!$C$22,(IF(H572=CVSSv3!$D$9,CVSSv3!$D$22,(IF(H572=CVSSv3!$E$9,CVSSv3!$E$22,"")))))))*(1-(IF(H573=CVSSv3!$C$10,CVSSv3!$C$23,(IF(H573=CVSSv3!$D$10,CVSSv3!$D$23,(IF(H573=CVSSv3!$E$10,CVSSv3!$E$23,"")))))))*(1-(IF(H574=CVSSv3!$C$11,CVSSv3!$C$24,(IF(H574=CVSSv3!$D$11,CVSSv3!$D$24,(IF(H574=CVSSv3!$E$11,CVSSv3!$E$24,"")))))))))),((7.52*((1-((1-(IF(H572=CVSSv3!$C$9,CVSSv3!$C$22,(IF(H572=CVSSv3!$D$9,CVSSv3!$D$22,(IF(H572=CVSSv3!$E$9,CVSSv3!$E$22,"")))))))*(1-(IF(H573=CVSSv3!$C$10,CVSSv3!$C$23,(IF(H573=CVSSv3!$D$10,CVSSv3!$D$23,(IF(H573=CVSSv3!$E$10,CVSSv3!$E$23,"")))))))*(1-(IF(H574=CVSSv3!$C$11,CVSSv3!$C$24,(IF(H574=CVSSv3!$D$11,CVSSv3!$D$24,(IF(H574=CVSSv3!$E$11,CVSSv3!$E$24,"")))))))))-0.029))-(3.25*POWER(((1-((1-(IF(H572=CVSSv3!$C$9,CVSSv3!$C$22,(IF(H572=CVSSv3!$D$9,CVSSv3!$D$22,(IF(H572=CVSSv3!$E$9,CVSSv3!$E$22,"")))))))*(1-(IF(H573=CVSSv3!$C$10,CVSSv3!$C$23,(IF(H573=CVSSv3!$D$10,CVSSv3!$D$23,(IF(H573=CVSSv3!$E$10,CVSSv3!$E$23,"")))))))*(1-(IF(H574=CVSSv3!$C$11,CVSSv3!$C$24,(IF(H574=CVSSv3!$D$11,CVSSv3!$D$24,(IF(H574=CVSSv3!$E$11,CVSSv3!$E$24,"")))))))))-0.02),15)))))+(8.22*(IF(H567=CVSSv3!$C$4,CVSSv3!$C$17,(IF(H567=CVSSv3!$D$4,CVSSv3!$D$17,(IF(H567=CVSSv3!$E$4,CVSSv3!$E$17,(IF(H567=CVSSv3!$F$4,CVSSv3!$F$17,""))))))))*(IF(H568=CVSSv3!$C$5,CVSSv3!$C$18,(IF(H568=CVSSv3!$D$5,CVSSv3!$D$18,""))))*(IF(H569=CVSSv3!$C$6,CVSSv3!$C$19,(IF(H569=CVSSv3!$D$6,(IF(H571=CVSSv3!$D$8,0.68,CVSSv3!$D$19)),(IF(H569=CVSSv3!$E$6,(IF(H571=CVSSv3!$D$8,0.5,CVSSv3!$E$19))))))))*(IF(H570=CVSSv3!$C$7,CVSSv3!$C$20,(IF(H570=CVSSv3!$D$7,CVSSv3!$D$20,"")))))),10)),1))))*(IF(H575=CVSSv3!$C$12,CVSSv3!$C$25,(IF(H575=CVSSv3!$D$12,CVSSv3!$D$25,(IF(H575=CVSSv3!$E$12,CVSSv3!$E$25,(IF(H575=CVSSv3!$F$12,CVSSv3!$F$25,""))))))))*(IF(H576=CVSSv3!$C$13,CVSSv3!$C$26,(IF(H576=CVSSv3!$D$13,CVSSv3!$D$26,(IF(H576=CVSSv3!$E$13,CVSSv3!$E$26,(IF(H576=CVSSv3!$F$13,CVSSv3!$F$26,""))))))))*(IF(H577=CVSSv3!$C$14,CVSSv3!$C$27,(IF(H577=CVSSv3!$D$14,CVSSv3!$D$27,(IF(H577=CVSSv3!$E$14,CVSSv3!$E$27,""))))))),1)</f>
        <v>9</v>
      </c>
      <c r="J567" s="89">
        <v>0</v>
      </c>
      <c r="K567" s="89">
        <v>0</v>
      </c>
      <c r="L567" s="85" t="s">
        <v>17</v>
      </c>
      <c r="M567" s="85" t="s">
        <v>17</v>
      </c>
      <c r="N567" s="85" t="s">
        <v>707</v>
      </c>
      <c r="O567" s="85" t="s">
        <v>708</v>
      </c>
    </row>
    <row r="568" spans="1:15" x14ac:dyDescent="0.25">
      <c r="A568" s="89"/>
      <c r="B568" s="85"/>
      <c r="C568" s="85"/>
      <c r="D568" s="85"/>
      <c r="E568" s="85"/>
      <c r="F568" s="85"/>
      <c r="G568" s="80" t="str">
        <f>CVSSv3!$A$5</f>
        <v>Complejidad de ataque:</v>
      </c>
      <c r="H568" s="81" t="s">
        <v>709</v>
      </c>
      <c r="I568" s="88"/>
      <c r="J568" s="89"/>
      <c r="K568" s="89"/>
      <c r="L568" s="85"/>
      <c r="M568" s="85"/>
      <c r="N568" s="85"/>
      <c r="O568" s="85"/>
    </row>
    <row r="569" spans="1:15" x14ac:dyDescent="0.25">
      <c r="A569" s="89"/>
      <c r="B569" s="85"/>
      <c r="C569" s="85"/>
      <c r="D569" s="85"/>
      <c r="E569" s="85"/>
      <c r="F569" s="85"/>
      <c r="G569" s="80" t="str">
        <f>CVSSv3!$A$6</f>
        <v>Privilegios requeridos:</v>
      </c>
      <c r="H569" s="81" t="s">
        <v>710</v>
      </c>
      <c r="I569" s="88"/>
      <c r="J569" s="89"/>
      <c r="K569" s="89"/>
      <c r="L569" s="85"/>
      <c r="M569" s="85"/>
      <c r="N569" s="85"/>
      <c r="O569" s="85"/>
    </row>
    <row r="570" spans="1:15" x14ac:dyDescent="0.25">
      <c r="A570" s="89"/>
      <c r="B570" s="85"/>
      <c r="C570" s="85"/>
      <c r="D570" s="85"/>
      <c r="E570" s="85"/>
      <c r="F570" s="85"/>
      <c r="G570" s="80" t="str">
        <f>CVSSv3!$A$7</f>
        <v>Interacción del usuario:</v>
      </c>
      <c r="H570" s="81" t="s">
        <v>711</v>
      </c>
      <c r="I570" s="88"/>
      <c r="J570" s="89"/>
      <c r="K570" s="89"/>
      <c r="L570" s="85"/>
      <c r="M570" s="85"/>
      <c r="N570" s="85"/>
      <c r="O570" s="85"/>
    </row>
    <row r="571" spans="1:15" x14ac:dyDescent="0.25">
      <c r="A571" s="89"/>
      <c r="B571" s="85"/>
      <c r="C571" s="85"/>
      <c r="D571" s="85"/>
      <c r="E571" s="85"/>
      <c r="F571" s="85"/>
      <c r="G571" s="80" t="str">
        <f>CVSSv3!$A$8</f>
        <v>Alcance:</v>
      </c>
      <c r="H571" s="81" t="s">
        <v>712</v>
      </c>
      <c r="I571" s="88"/>
      <c r="J571" s="89"/>
      <c r="K571" s="89"/>
      <c r="L571" s="85"/>
      <c r="M571" s="85"/>
      <c r="N571" s="85"/>
      <c r="O571" s="85"/>
    </row>
    <row r="572" spans="1:15" x14ac:dyDescent="0.25">
      <c r="A572" s="89"/>
      <c r="B572" s="85"/>
      <c r="C572" s="85"/>
      <c r="D572" s="85"/>
      <c r="E572" s="85"/>
      <c r="F572" s="85"/>
      <c r="G572" s="80" t="str">
        <f>CVSSv3!$A$9</f>
        <v>Impacto a la confidencialidad:</v>
      </c>
      <c r="H572" s="81" t="s">
        <v>713</v>
      </c>
      <c r="I572" s="88"/>
      <c r="J572" s="89"/>
      <c r="K572" s="89"/>
      <c r="L572" s="85"/>
      <c r="M572" s="85"/>
      <c r="N572" s="85"/>
      <c r="O572" s="85"/>
    </row>
    <row r="573" spans="1:15" x14ac:dyDescent="0.25">
      <c r="A573" s="89"/>
      <c r="B573" s="85"/>
      <c r="C573" s="85"/>
      <c r="D573" s="85"/>
      <c r="E573" s="85"/>
      <c r="F573" s="85"/>
      <c r="G573" s="80" t="str">
        <f>CVSSv3!$A$10</f>
        <v>Impacto a la integridad:</v>
      </c>
      <c r="H573" s="81" t="s">
        <v>713</v>
      </c>
      <c r="I573" s="88"/>
      <c r="J573" s="89"/>
      <c r="K573" s="89"/>
      <c r="L573" s="85"/>
      <c r="M573" s="85"/>
      <c r="N573" s="85"/>
      <c r="O573" s="85"/>
    </row>
    <row r="574" spans="1:15" x14ac:dyDescent="0.25">
      <c r="A574" s="89"/>
      <c r="B574" s="85"/>
      <c r="C574" s="85"/>
      <c r="D574" s="85"/>
      <c r="E574" s="85"/>
      <c r="F574" s="85"/>
      <c r="G574" s="80" t="str">
        <f>CVSSv3!$A$11</f>
        <v>Impacto a la disponibilidad:</v>
      </c>
      <c r="H574" s="81" t="s">
        <v>713</v>
      </c>
      <c r="I574" s="88"/>
      <c r="J574" s="89"/>
      <c r="K574" s="89"/>
      <c r="L574" s="85"/>
      <c r="M574" s="85"/>
      <c r="N574" s="85"/>
      <c r="O574" s="85"/>
    </row>
    <row r="575" spans="1:15" x14ac:dyDescent="0.25">
      <c r="A575" s="89"/>
      <c r="B575" s="85"/>
      <c r="C575" s="85"/>
      <c r="D575" s="85"/>
      <c r="E575" s="85"/>
      <c r="F575" s="85"/>
      <c r="G575" s="80" t="str">
        <f>CVSSv3!$A$12</f>
        <v>Explotabilidad:</v>
      </c>
      <c r="H575" s="81" t="s">
        <v>709</v>
      </c>
      <c r="I575" s="88"/>
      <c r="J575" s="89"/>
      <c r="K575" s="89"/>
      <c r="L575" s="85"/>
      <c r="M575" s="85"/>
      <c r="N575" s="85"/>
      <c r="O575" s="85"/>
    </row>
    <row r="576" spans="1:15" x14ac:dyDescent="0.25">
      <c r="A576" s="89"/>
      <c r="B576" s="85"/>
      <c r="C576" s="85"/>
      <c r="D576" s="85"/>
      <c r="E576" s="85"/>
      <c r="F576" s="85"/>
      <c r="G576" s="80" t="str">
        <f>CVSSv3!$A$13</f>
        <v>Nivel de resolución:</v>
      </c>
      <c r="H576" s="81" t="s">
        <v>714</v>
      </c>
      <c r="I576" s="88"/>
      <c r="J576" s="89"/>
      <c r="K576" s="89"/>
      <c r="L576" s="85"/>
      <c r="M576" s="85"/>
      <c r="N576" s="85"/>
      <c r="O576" s="85"/>
    </row>
    <row r="577" spans="1:15" x14ac:dyDescent="0.25">
      <c r="A577" s="89"/>
      <c r="B577" s="85"/>
      <c r="C577" s="85"/>
      <c r="D577" s="85"/>
      <c r="E577" s="85"/>
      <c r="F577" s="85"/>
      <c r="G577" s="80" t="str">
        <f>CVSSv3!$A$14</f>
        <v>Nivel de confianza</v>
      </c>
      <c r="H577" s="81" t="s">
        <v>715</v>
      </c>
      <c r="I577" s="88"/>
      <c r="J577" s="89"/>
      <c r="K577" s="89"/>
      <c r="L577" s="85"/>
      <c r="M577" s="85"/>
      <c r="N577" s="85"/>
      <c r="O577" s="85"/>
    </row>
    <row r="578" spans="1:15" x14ac:dyDescent="0.25">
      <c r="A578" s="89"/>
      <c r="B578" s="85"/>
      <c r="C578" s="85"/>
      <c r="D578" s="85"/>
      <c r="E578" s="85"/>
      <c r="F578" s="85"/>
      <c r="G578" s="86" t="str">
        <f>"("&amp;CVSSv3!$B$4&amp;":"&amp;IF(H567=CVSSv3!$C$4,CVSSv3!$C$30,IF(H567=CVSSv3!$D$4,CVSSv3!$D$30,IF(H567=CVSSv3!$E$4,CVSSv3!$E$30,IF(H567=CVSSv3!$F$4,CVSSv3!$F$30,""))))&amp;"/"&amp;CVSSv3!$B$5&amp;":"&amp;IF(H568=CVSSv3!$C$5,CVSSv3!$C$31,IF(H568=CVSSv3!$D$5,CVSSv3!$D$31,""))&amp;"/"&amp;CVSSv3!$B$6&amp;":"&amp;IF(H569=CVSSv3!$C$6,CVSSv3!$C$32,IF(H569=CVSSv3!$D$6,CVSSv3!$D$32,IF(H569=CVSSv3!$E$6,CVSSv3!$E$32,"")))&amp;"/"&amp;CVSSv3!$B$7&amp;":"&amp;IF(H570=CVSSv3!$C$7,CVSSv3!$C$33,IF(H570=CVSSv3!$D$7,CVSSv3!$D$33,""))&amp;"/"&amp;CVSSv3!$B$8&amp;":"&amp;IF(H571=CVSSv3!$C$8,CVSSv3!$C$34,IF(H571=CVSSv3!$D$8,CVSSv3!$D$34,""))&amp;"/"&amp;CVSSv3!$B$9&amp;":"&amp;IF(H572=CVSSv3!$C$9,CVSSv3!$C$35,IF(H572=CVSSv3!$D$9,CVSSv3!$D$35,IF(H572=CVSSv3!$E$9,CVSSv3!$E$35,"")))&amp;"/"&amp;CVSSv3!$B$10&amp;":"&amp;IF(H573=CVSSv3!$C$10,CVSSv3!$C$36,IF(H573=CVSSv3!$D$10,CVSSv3!$D$36,IF(H573=CVSSv3!$E$10,CVSSv3!$E$36,"")))&amp;"/"&amp;CVSSv3!$B$11&amp;":"&amp;IF(H574=CVSSv3!$C$11,CVSSv3!$C$37,IF(H574=CVSSv3!$D$11,CVSSv3!$D$37,IF(H574=CVSSv3!$E$11,CVSSv3!$E$37,"")))&amp;"/"&amp;CVSSv3!$B$12&amp;":"&amp;IF(H575=CVSSv3!$C$12,CVSSv3!$C$38,IF(H575=CVSSv3!$D$12,CVSSv3!$D$38,IF(H575=CVSSv3!$E$12,CVSSv3!$E$38,IF(H575=CVSSv3!$F$12,CVSSv3!$F$38,""))))&amp;"/"&amp;CVSSv3!$B$13&amp;":"&amp;IF(H576=CVSSv3!$C$13,CVSSv3!$C$39,IF(H576=CVSSv3!$D$13,CVSSv3!$D$39,IF(H576=CVSSv3!$E$13,CVSSv3!$E$39,IF(H576=CVSSv3!$F$13,CVSSv3!$F$39,""))))&amp;"/"&amp;CVSSv3!$B$14&amp;":"&amp;IF(H577=CVSSv3!$C$14,CVSSv3!$C$40,IF(H577=CVSSv3!$D$14,CVSSv3!$D$40,IF(H577=CVSSv3!$E$14,CVSSv3!$E$40,"")))&amp;")"</f>
        <v>(AV:N/AC:H/PR:N/UI:N/S:C/C:H/I:H/A:H/E:H/RL:U/RC:C)</v>
      </c>
      <c r="H578" s="87"/>
      <c r="I578" s="88"/>
      <c r="J578" s="89"/>
      <c r="K578" s="89"/>
      <c r="L578" s="85"/>
      <c r="M578" s="85"/>
      <c r="N578" s="85"/>
      <c r="O578" s="85"/>
    </row>
    <row r="579" spans="1:15" x14ac:dyDescent="0.25">
      <c r="A579" s="89">
        <v>49</v>
      </c>
      <c r="B579" s="85" t="s">
        <v>762</v>
      </c>
      <c r="C579" s="85" t="s">
        <v>17</v>
      </c>
      <c r="D579" s="85" t="s">
        <v>17</v>
      </c>
      <c r="E579" s="85" t="s">
        <v>17</v>
      </c>
      <c r="F579"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79" s="82" t="str">
        <f>CVSSv3!$A$4</f>
        <v>Vector de ataque:</v>
      </c>
      <c r="H579" s="84" t="s">
        <v>706</v>
      </c>
      <c r="I579" s="88">
        <f>ROUNDUP((IF((IF(H583=CVSSv3!$C$8,(6.42*(1-((1-(IF(H584=CVSSv3!$C$9,CVSSv3!$C$22,(IF(H584=CVSSv3!$D$9,CVSSv3!$D$22,(IF(H584=CVSSv3!$E$9,CVSSv3!$E$22,"")))))))*(1-(IF(H585=CVSSv3!$C$10,CVSSv3!$C$23,(IF(H585=CVSSv3!$D$10,CVSSv3!$D$23,(IF(H585=CVSSv3!$E$10,CVSSv3!$E$23,"")))))))*(1-(IF(H586=CVSSv3!$C$11,CVSSv3!$C$24,(IF(H586=CVSSv3!$D$11,CVSSv3!$D$24,(IF(H586=CVSSv3!$E$11,CVSSv3!$E$24,"")))))))))),((7.52*((1-((1-(IF(H584=CVSSv3!$C$9,CVSSv3!$C$22,(IF(H584=CVSSv3!$D$9,CVSSv3!$D$22,(IF(H584=CVSSv3!$E$9,CVSSv3!$E$22,"")))))))*(1-(IF(H585=CVSSv3!$C$10,CVSSv3!$C$23,(IF(H585=CVSSv3!$D$10,CVSSv3!$D$23,(IF(H585=CVSSv3!$E$10,CVSSv3!$E$23,"")))))))*(1-(IF(H586=CVSSv3!$C$11,CVSSv3!$C$24,(IF(H586=CVSSv3!$D$11,CVSSv3!$D$24,(IF(H586=CVSSv3!$E$11,CVSSv3!$E$24,"")))))))))-0.029))-(3.25*POWER(((1-((1-(IF(H584=CVSSv3!$C$9,CVSSv3!$C$22,(IF(H584=CVSSv3!$D$9,CVSSv3!$D$22,(IF(H584=CVSSv3!$E$9,CVSSv3!$E$22,"")))))))*(1-(IF(H585=CVSSv3!$C$10,CVSSv3!$C$23,(IF(H585=CVSSv3!$D$10,CVSSv3!$D$23,(IF(H585=CVSSv3!$E$10,CVSSv3!$E$23,"")))))))*(1-(IF(H586=CVSSv3!$C$11,CVSSv3!$C$24,(IF(H586=CVSSv3!$D$11,CVSSv3!$D$24,(IF(H586=CVSSv3!$E$11,CVSSv3!$E$24,"")))))))))-0.02),15)))))&lt;=0,0,(IF(H583=CVSSv3!$C$8,ROUNDUP((MIN((IF(H583=CVSSv3!$C$8,(6.42*(1-((1-(IF(H584=CVSSv3!$C$9,CVSSv3!$C$22,(IF(H584=CVSSv3!$D$9,CVSSv3!$D$22,(IF(H584=CVSSv3!$E$9,CVSSv3!$E$22,"")))))))*(1-(IF(H585=CVSSv3!$C$10,CVSSv3!$C$23,(IF(H585=CVSSv3!$D$10,CVSSv3!$D$23,(IF(H585=CVSSv3!$E$10,CVSSv3!$E$23,"")))))))*(1-(IF(H586=CVSSv3!$C$11,CVSSv3!$C$24,(IF(H586=CVSSv3!$D$11,CVSSv3!$D$24,(IF(H586=CVSSv3!$E$11,CVSSv3!$E$24,"")))))))))),((7.52*((1-((1-(IF(H584=CVSSv3!$C$9,CVSSv3!$C$22,(IF(H584=CVSSv3!$D$9,CVSSv3!$D$22,(IF(H584=CVSSv3!$E$9,CVSSv3!$E$22,"")))))))*(1-(IF(H585=CVSSv3!$C$10,CVSSv3!$C$23,(IF(H585=CVSSv3!$D$10,CVSSv3!$D$23,(IF(H585=CVSSv3!$E$10,CVSSv3!$E$23,"")))))))*(1-(IF(H586=CVSSv3!$C$11,CVSSv3!$C$24,(IF(H586=CVSSv3!$D$11,CVSSv3!$D$24,(IF(H586=CVSSv3!$E$11,CVSSv3!$E$24,"")))))))))-0.029))-(3.25*POWER(((1-((1-(IF(H584=CVSSv3!$C$9,CVSSv3!$C$22,(IF(H584=CVSSv3!$D$9,CVSSv3!$D$22,(IF(H584=CVSSv3!$E$9,CVSSv3!$E$22,"")))))))*(1-(IF(H585=CVSSv3!$C$10,CVSSv3!$C$23,(IF(H585=CVSSv3!$D$10,CVSSv3!$D$23,(IF(H585=CVSSv3!$E$10,CVSSv3!$E$23,"")))))))*(1-(IF(H586=CVSSv3!$C$11,CVSSv3!$C$24,(IF(H586=CVSSv3!$D$11,CVSSv3!$D$24,(IF(H586=CVSSv3!$E$11,CVSSv3!$E$24,"")))))))))-0.02),15)))))+(8.22*(IF(H579=CVSSv3!$C$4,CVSSv3!$C$17,(IF(H579=CVSSv3!$D$4,CVSSv3!$D$17,(IF(H579=CVSSv3!$E$4,CVSSv3!$E$17,(IF(H579=CVSSv3!$F$4,CVSSv3!$F$17,""))))))))*(IF(H580=CVSSv3!$C$5,CVSSv3!$C$18,(IF(H580=CVSSv3!$D$5,CVSSv3!$D$18,""))))*(IF(H581=CVSSv3!$C$6,CVSSv3!$C$19,(IF(H581=CVSSv3!$D$6,(IF(H583=CVSSv3!$D$8,0.68,CVSSv3!$D$19)),(IF(H581=CVSSv3!$E$6,(IF(H583=CVSSv3!$D$8,0.5,CVSSv3!$E$19))))))))*(IF(H582=CVSSv3!$C$7,CVSSv3!$C$20,(IF(H582=CVSSv3!$D$7,CVSSv3!$D$20,""))))),10)),1),ROUNDUP((MIN(1.08*((IF(H583=CVSSv3!$C$8,(6.42*(1-((1-(IF(H584=CVSSv3!$C$9,CVSSv3!$C$22,(IF(H584=CVSSv3!$D$9,CVSSv3!$D$22,(IF(H584=CVSSv3!$E$9,CVSSv3!$E$22,"")))))))*(1-(IF(H585=CVSSv3!$C$10,CVSSv3!$C$23,(IF(H585=CVSSv3!$D$10,CVSSv3!$D$23,(IF(H585=CVSSv3!$E$10,CVSSv3!$E$23,"")))))))*(1-(IF(H586=CVSSv3!$C$11,CVSSv3!$C$24,(IF(H586=CVSSv3!$D$11,CVSSv3!$D$24,(IF(H586=CVSSv3!$E$11,CVSSv3!$E$24,"")))))))))),((7.52*((1-((1-(IF(H584=CVSSv3!$C$9,CVSSv3!$C$22,(IF(H584=CVSSv3!$D$9,CVSSv3!$D$22,(IF(H584=CVSSv3!$E$9,CVSSv3!$E$22,"")))))))*(1-(IF(H585=CVSSv3!$C$10,CVSSv3!$C$23,(IF(H585=CVSSv3!$D$10,CVSSv3!$D$23,(IF(H585=CVSSv3!$E$10,CVSSv3!$E$23,"")))))))*(1-(IF(H586=CVSSv3!$C$11,CVSSv3!$C$24,(IF(H586=CVSSv3!$D$11,CVSSv3!$D$24,(IF(H586=CVSSv3!$E$11,CVSSv3!$E$24,"")))))))))-0.029))-(3.25*POWER(((1-((1-(IF(H584=CVSSv3!$C$9,CVSSv3!$C$22,(IF(H584=CVSSv3!$D$9,CVSSv3!$D$22,(IF(H584=CVSSv3!$E$9,CVSSv3!$E$22,"")))))))*(1-(IF(H585=CVSSv3!$C$10,CVSSv3!$C$23,(IF(H585=CVSSv3!$D$10,CVSSv3!$D$23,(IF(H585=CVSSv3!$E$10,CVSSv3!$E$23,"")))))))*(1-(IF(H586=CVSSv3!$C$11,CVSSv3!$C$24,(IF(H586=CVSSv3!$D$11,CVSSv3!$D$24,(IF(H586=CVSSv3!$E$11,CVSSv3!$E$24,"")))))))))-0.02),15)))))+(8.22*(IF(H579=CVSSv3!$C$4,CVSSv3!$C$17,(IF(H579=CVSSv3!$D$4,CVSSv3!$D$17,(IF(H579=CVSSv3!$E$4,CVSSv3!$E$17,(IF(H579=CVSSv3!$F$4,CVSSv3!$F$17,""))))))))*(IF(H580=CVSSv3!$C$5,CVSSv3!$C$18,(IF(H580=CVSSv3!$D$5,CVSSv3!$D$18,""))))*(IF(H581=CVSSv3!$C$6,CVSSv3!$C$19,(IF(H581=CVSSv3!$D$6,(IF(H583=CVSSv3!$D$8,0.68,CVSSv3!$D$19)),(IF(H581=CVSSv3!$E$6,(IF(H583=CVSSv3!$D$8,0.5,CVSSv3!$E$19))))))))*(IF(H582=CVSSv3!$C$7,CVSSv3!$C$20,(IF(H582=CVSSv3!$D$7,CVSSv3!$D$20,"")))))),10)),1))))*(IF(H587=CVSSv3!$C$12,CVSSv3!$C$25,(IF(H587=CVSSv3!$D$12,CVSSv3!$D$25,(IF(H587=CVSSv3!$E$12,CVSSv3!$E$25,(IF(H587=CVSSv3!$F$12,CVSSv3!$F$25,""))))))))*(IF(H588=CVSSv3!$C$13,CVSSv3!$C$26,(IF(H588=CVSSv3!$D$13,CVSSv3!$D$26,(IF(H588=CVSSv3!$E$13,CVSSv3!$E$26,(IF(H588=CVSSv3!$F$13,CVSSv3!$F$26,""))))))))*(IF(H589=CVSSv3!$C$14,CVSSv3!$C$27,(IF(H589=CVSSv3!$D$14,CVSSv3!$D$27,(IF(H589=CVSSv3!$E$14,CVSSv3!$E$27,""))))))),1)</f>
        <v>9</v>
      </c>
      <c r="J579" s="89">
        <v>0</v>
      </c>
      <c r="K579" s="89">
        <v>0</v>
      </c>
      <c r="L579" s="85" t="s">
        <v>17</v>
      </c>
      <c r="M579" s="85" t="s">
        <v>17</v>
      </c>
      <c r="N579" s="85" t="s">
        <v>707</v>
      </c>
      <c r="O579" s="85" t="s">
        <v>708</v>
      </c>
    </row>
    <row r="580" spans="1:15" x14ac:dyDescent="0.25">
      <c r="A580" s="89"/>
      <c r="B580" s="85"/>
      <c r="C580" s="85"/>
      <c r="D580" s="85"/>
      <c r="E580" s="85"/>
      <c r="F580" s="85"/>
      <c r="G580" s="80" t="str">
        <f>CVSSv3!$A$5</f>
        <v>Complejidad de ataque:</v>
      </c>
      <c r="H580" s="81" t="s">
        <v>709</v>
      </c>
      <c r="I580" s="88"/>
      <c r="J580" s="89"/>
      <c r="K580" s="89"/>
      <c r="L580" s="85"/>
      <c r="M580" s="85"/>
      <c r="N580" s="85"/>
      <c r="O580" s="85"/>
    </row>
    <row r="581" spans="1:15" x14ac:dyDescent="0.25">
      <c r="A581" s="89"/>
      <c r="B581" s="85"/>
      <c r="C581" s="85"/>
      <c r="D581" s="85"/>
      <c r="E581" s="85"/>
      <c r="F581" s="85"/>
      <c r="G581" s="80" t="str">
        <f>CVSSv3!$A$6</f>
        <v>Privilegios requeridos:</v>
      </c>
      <c r="H581" s="81" t="s">
        <v>710</v>
      </c>
      <c r="I581" s="88"/>
      <c r="J581" s="89"/>
      <c r="K581" s="89"/>
      <c r="L581" s="85"/>
      <c r="M581" s="85"/>
      <c r="N581" s="85"/>
      <c r="O581" s="85"/>
    </row>
    <row r="582" spans="1:15" x14ac:dyDescent="0.25">
      <c r="A582" s="89"/>
      <c r="B582" s="85"/>
      <c r="C582" s="85"/>
      <c r="D582" s="85"/>
      <c r="E582" s="85"/>
      <c r="F582" s="85"/>
      <c r="G582" s="80" t="str">
        <f>CVSSv3!$A$7</f>
        <v>Interacción del usuario:</v>
      </c>
      <c r="H582" s="81" t="s">
        <v>711</v>
      </c>
      <c r="I582" s="88"/>
      <c r="J582" s="89"/>
      <c r="K582" s="89"/>
      <c r="L582" s="85"/>
      <c r="M582" s="85"/>
      <c r="N582" s="85"/>
      <c r="O582" s="85"/>
    </row>
    <row r="583" spans="1:15" x14ac:dyDescent="0.25">
      <c r="A583" s="89"/>
      <c r="B583" s="85"/>
      <c r="C583" s="85"/>
      <c r="D583" s="85"/>
      <c r="E583" s="85"/>
      <c r="F583" s="85"/>
      <c r="G583" s="80" t="str">
        <f>CVSSv3!$A$8</f>
        <v>Alcance:</v>
      </c>
      <c r="H583" s="81" t="s">
        <v>712</v>
      </c>
      <c r="I583" s="88"/>
      <c r="J583" s="89"/>
      <c r="K583" s="89"/>
      <c r="L583" s="85"/>
      <c r="M583" s="85"/>
      <c r="N583" s="85"/>
      <c r="O583" s="85"/>
    </row>
    <row r="584" spans="1:15" x14ac:dyDescent="0.25">
      <c r="A584" s="89"/>
      <c r="B584" s="85"/>
      <c r="C584" s="85"/>
      <c r="D584" s="85"/>
      <c r="E584" s="85"/>
      <c r="F584" s="85"/>
      <c r="G584" s="80" t="str">
        <f>CVSSv3!$A$9</f>
        <v>Impacto a la confidencialidad:</v>
      </c>
      <c r="H584" s="81" t="s">
        <v>713</v>
      </c>
      <c r="I584" s="88"/>
      <c r="J584" s="89"/>
      <c r="K584" s="89"/>
      <c r="L584" s="85"/>
      <c r="M584" s="85"/>
      <c r="N584" s="85"/>
      <c r="O584" s="85"/>
    </row>
    <row r="585" spans="1:15" x14ac:dyDescent="0.25">
      <c r="A585" s="89"/>
      <c r="B585" s="85"/>
      <c r="C585" s="85"/>
      <c r="D585" s="85"/>
      <c r="E585" s="85"/>
      <c r="F585" s="85"/>
      <c r="G585" s="80" t="str">
        <f>CVSSv3!$A$10</f>
        <v>Impacto a la integridad:</v>
      </c>
      <c r="H585" s="81" t="s">
        <v>713</v>
      </c>
      <c r="I585" s="88"/>
      <c r="J585" s="89"/>
      <c r="K585" s="89"/>
      <c r="L585" s="85"/>
      <c r="M585" s="85"/>
      <c r="N585" s="85"/>
      <c r="O585" s="85"/>
    </row>
    <row r="586" spans="1:15" x14ac:dyDescent="0.25">
      <c r="A586" s="89"/>
      <c r="B586" s="85"/>
      <c r="C586" s="85"/>
      <c r="D586" s="85"/>
      <c r="E586" s="85"/>
      <c r="F586" s="85"/>
      <c r="G586" s="80" t="str">
        <f>CVSSv3!$A$11</f>
        <v>Impacto a la disponibilidad:</v>
      </c>
      <c r="H586" s="81" t="s">
        <v>713</v>
      </c>
      <c r="I586" s="88"/>
      <c r="J586" s="89"/>
      <c r="K586" s="89"/>
      <c r="L586" s="85"/>
      <c r="M586" s="85"/>
      <c r="N586" s="85"/>
      <c r="O586" s="85"/>
    </row>
    <row r="587" spans="1:15" x14ac:dyDescent="0.25">
      <c r="A587" s="89"/>
      <c r="B587" s="85"/>
      <c r="C587" s="85"/>
      <c r="D587" s="85"/>
      <c r="E587" s="85"/>
      <c r="F587" s="85"/>
      <c r="G587" s="80" t="str">
        <f>CVSSv3!$A$12</f>
        <v>Explotabilidad:</v>
      </c>
      <c r="H587" s="81" t="s">
        <v>709</v>
      </c>
      <c r="I587" s="88"/>
      <c r="J587" s="89"/>
      <c r="K587" s="89"/>
      <c r="L587" s="85"/>
      <c r="M587" s="85"/>
      <c r="N587" s="85"/>
      <c r="O587" s="85"/>
    </row>
    <row r="588" spans="1:15" x14ac:dyDescent="0.25">
      <c r="A588" s="89"/>
      <c r="B588" s="85"/>
      <c r="C588" s="85"/>
      <c r="D588" s="85"/>
      <c r="E588" s="85"/>
      <c r="F588" s="85"/>
      <c r="G588" s="80" t="str">
        <f>CVSSv3!$A$13</f>
        <v>Nivel de resolución:</v>
      </c>
      <c r="H588" s="81" t="s">
        <v>714</v>
      </c>
      <c r="I588" s="88"/>
      <c r="J588" s="89"/>
      <c r="K588" s="89"/>
      <c r="L588" s="85"/>
      <c r="M588" s="85"/>
      <c r="N588" s="85"/>
      <c r="O588" s="85"/>
    </row>
    <row r="589" spans="1:15" x14ac:dyDescent="0.25">
      <c r="A589" s="89"/>
      <c r="B589" s="85"/>
      <c r="C589" s="85"/>
      <c r="D589" s="85"/>
      <c r="E589" s="85"/>
      <c r="F589" s="85"/>
      <c r="G589" s="80" t="str">
        <f>CVSSv3!$A$14</f>
        <v>Nivel de confianza</v>
      </c>
      <c r="H589" s="81" t="s">
        <v>715</v>
      </c>
      <c r="I589" s="88"/>
      <c r="J589" s="89"/>
      <c r="K589" s="89"/>
      <c r="L589" s="85"/>
      <c r="M589" s="85"/>
      <c r="N589" s="85"/>
      <c r="O589" s="85"/>
    </row>
    <row r="590" spans="1:15" x14ac:dyDescent="0.25">
      <c r="A590" s="89"/>
      <c r="B590" s="85"/>
      <c r="C590" s="85"/>
      <c r="D590" s="85"/>
      <c r="E590" s="85"/>
      <c r="F590" s="85"/>
      <c r="G590" s="86" t="str">
        <f>"("&amp;CVSSv3!$B$4&amp;":"&amp;IF(H579=CVSSv3!$C$4,CVSSv3!$C$30,IF(H579=CVSSv3!$D$4,CVSSv3!$D$30,IF(H579=CVSSv3!$E$4,CVSSv3!$E$30,IF(H579=CVSSv3!$F$4,CVSSv3!$F$30,""))))&amp;"/"&amp;CVSSv3!$B$5&amp;":"&amp;IF(H580=CVSSv3!$C$5,CVSSv3!$C$31,IF(H580=CVSSv3!$D$5,CVSSv3!$D$31,""))&amp;"/"&amp;CVSSv3!$B$6&amp;":"&amp;IF(H581=CVSSv3!$C$6,CVSSv3!$C$32,IF(H581=CVSSv3!$D$6,CVSSv3!$D$32,IF(H581=CVSSv3!$E$6,CVSSv3!$E$32,"")))&amp;"/"&amp;CVSSv3!$B$7&amp;":"&amp;IF(H582=CVSSv3!$C$7,CVSSv3!$C$33,IF(H582=CVSSv3!$D$7,CVSSv3!$D$33,""))&amp;"/"&amp;CVSSv3!$B$8&amp;":"&amp;IF(H583=CVSSv3!$C$8,CVSSv3!$C$34,IF(H583=CVSSv3!$D$8,CVSSv3!$D$34,""))&amp;"/"&amp;CVSSv3!$B$9&amp;":"&amp;IF(H584=CVSSv3!$C$9,CVSSv3!$C$35,IF(H584=CVSSv3!$D$9,CVSSv3!$D$35,IF(H584=CVSSv3!$E$9,CVSSv3!$E$35,"")))&amp;"/"&amp;CVSSv3!$B$10&amp;":"&amp;IF(H585=CVSSv3!$C$10,CVSSv3!$C$36,IF(H585=CVSSv3!$D$10,CVSSv3!$D$36,IF(H585=CVSSv3!$E$10,CVSSv3!$E$36,"")))&amp;"/"&amp;CVSSv3!$B$11&amp;":"&amp;IF(H586=CVSSv3!$C$11,CVSSv3!$C$37,IF(H586=CVSSv3!$D$11,CVSSv3!$D$37,IF(H586=CVSSv3!$E$11,CVSSv3!$E$37,"")))&amp;"/"&amp;CVSSv3!$B$12&amp;":"&amp;IF(H587=CVSSv3!$C$12,CVSSv3!$C$38,IF(H587=CVSSv3!$D$12,CVSSv3!$D$38,IF(H587=CVSSv3!$E$12,CVSSv3!$E$38,IF(H587=CVSSv3!$F$12,CVSSv3!$F$38,""))))&amp;"/"&amp;CVSSv3!$B$13&amp;":"&amp;IF(H588=CVSSv3!$C$13,CVSSv3!$C$39,IF(H588=CVSSv3!$D$13,CVSSv3!$D$39,IF(H588=CVSSv3!$E$13,CVSSv3!$E$39,IF(H588=CVSSv3!$F$13,CVSSv3!$F$39,""))))&amp;"/"&amp;CVSSv3!$B$14&amp;":"&amp;IF(H589=CVSSv3!$C$14,CVSSv3!$C$40,IF(H589=CVSSv3!$D$14,CVSSv3!$D$40,IF(H589=CVSSv3!$E$14,CVSSv3!$E$40,"")))&amp;")"</f>
        <v>(AV:N/AC:H/PR:N/UI:N/S:C/C:H/I:H/A:H/E:H/RL:U/RC:C)</v>
      </c>
      <c r="H590" s="87"/>
      <c r="I590" s="88"/>
      <c r="J590" s="89"/>
      <c r="K590" s="89"/>
      <c r="L590" s="85"/>
      <c r="M590" s="85"/>
      <c r="N590" s="85"/>
      <c r="O590" s="85"/>
    </row>
    <row r="591" spans="1:15" x14ac:dyDescent="0.25">
      <c r="A591" s="89">
        <v>50</v>
      </c>
      <c r="B591" s="85" t="s">
        <v>763</v>
      </c>
      <c r="C591" s="85" t="s">
        <v>17</v>
      </c>
      <c r="D591" s="85" t="s">
        <v>17</v>
      </c>
      <c r="E591" s="85" t="s">
        <v>17</v>
      </c>
      <c r="F591" s="85"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91" s="82" t="str">
        <f>CVSSv3!$A$4</f>
        <v>Vector de ataque:</v>
      </c>
      <c r="H591" s="84" t="s">
        <v>706</v>
      </c>
      <c r="I591" s="88">
        <f>ROUNDUP((IF((IF(H595=CVSSv3!$C$8,(6.42*(1-((1-(IF(H596=CVSSv3!$C$9,CVSSv3!$C$22,(IF(H596=CVSSv3!$D$9,CVSSv3!$D$22,(IF(H596=CVSSv3!$E$9,CVSSv3!$E$22,"")))))))*(1-(IF(H597=CVSSv3!$C$10,CVSSv3!$C$23,(IF(H597=CVSSv3!$D$10,CVSSv3!$D$23,(IF(H597=CVSSv3!$E$10,CVSSv3!$E$23,"")))))))*(1-(IF(H598=CVSSv3!$C$11,CVSSv3!$C$24,(IF(H598=CVSSv3!$D$11,CVSSv3!$D$24,(IF(H598=CVSSv3!$E$11,CVSSv3!$E$24,"")))))))))),((7.52*((1-((1-(IF(H596=CVSSv3!$C$9,CVSSv3!$C$22,(IF(H596=CVSSv3!$D$9,CVSSv3!$D$22,(IF(H596=CVSSv3!$E$9,CVSSv3!$E$22,"")))))))*(1-(IF(H597=CVSSv3!$C$10,CVSSv3!$C$23,(IF(H597=CVSSv3!$D$10,CVSSv3!$D$23,(IF(H597=CVSSv3!$E$10,CVSSv3!$E$23,"")))))))*(1-(IF(H598=CVSSv3!$C$11,CVSSv3!$C$24,(IF(H598=CVSSv3!$D$11,CVSSv3!$D$24,(IF(H598=CVSSv3!$E$11,CVSSv3!$E$24,"")))))))))-0.029))-(3.25*POWER(((1-((1-(IF(H596=CVSSv3!$C$9,CVSSv3!$C$22,(IF(H596=CVSSv3!$D$9,CVSSv3!$D$22,(IF(H596=CVSSv3!$E$9,CVSSv3!$E$22,"")))))))*(1-(IF(H597=CVSSv3!$C$10,CVSSv3!$C$23,(IF(H597=CVSSv3!$D$10,CVSSv3!$D$23,(IF(H597=CVSSv3!$E$10,CVSSv3!$E$23,"")))))))*(1-(IF(H598=CVSSv3!$C$11,CVSSv3!$C$24,(IF(H598=CVSSv3!$D$11,CVSSv3!$D$24,(IF(H598=CVSSv3!$E$11,CVSSv3!$E$24,"")))))))))-0.02),15)))))&lt;=0,0,(IF(H595=CVSSv3!$C$8,ROUNDUP((MIN((IF(H595=CVSSv3!$C$8,(6.42*(1-((1-(IF(H596=CVSSv3!$C$9,CVSSv3!$C$22,(IF(H596=CVSSv3!$D$9,CVSSv3!$D$22,(IF(H596=CVSSv3!$E$9,CVSSv3!$E$22,"")))))))*(1-(IF(H597=CVSSv3!$C$10,CVSSv3!$C$23,(IF(H597=CVSSv3!$D$10,CVSSv3!$D$23,(IF(H597=CVSSv3!$E$10,CVSSv3!$E$23,"")))))))*(1-(IF(H598=CVSSv3!$C$11,CVSSv3!$C$24,(IF(H598=CVSSv3!$D$11,CVSSv3!$D$24,(IF(H598=CVSSv3!$E$11,CVSSv3!$E$24,"")))))))))),((7.52*((1-((1-(IF(H596=CVSSv3!$C$9,CVSSv3!$C$22,(IF(H596=CVSSv3!$D$9,CVSSv3!$D$22,(IF(H596=CVSSv3!$E$9,CVSSv3!$E$22,"")))))))*(1-(IF(H597=CVSSv3!$C$10,CVSSv3!$C$23,(IF(H597=CVSSv3!$D$10,CVSSv3!$D$23,(IF(H597=CVSSv3!$E$10,CVSSv3!$E$23,"")))))))*(1-(IF(H598=CVSSv3!$C$11,CVSSv3!$C$24,(IF(H598=CVSSv3!$D$11,CVSSv3!$D$24,(IF(H598=CVSSv3!$E$11,CVSSv3!$E$24,"")))))))))-0.029))-(3.25*POWER(((1-((1-(IF(H596=CVSSv3!$C$9,CVSSv3!$C$22,(IF(H596=CVSSv3!$D$9,CVSSv3!$D$22,(IF(H596=CVSSv3!$E$9,CVSSv3!$E$22,"")))))))*(1-(IF(H597=CVSSv3!$C$10,CVSSv3!$C$23,(IF(H597=CVSSv3!$D$10,CVSSv3!$D$23,(IF(H597=CVSSv3!$E$10,CVSSv3!$E$23,"")))))))*(1-(IF(H598=CVSSv3!$C$11,CVSSv3!$C$24,(IF(H598=CVSSv3!$D$11,CVSSv3!$D$24,(IF(H598=CVSSv3!$E$11,CVSSv3!$E$24,"")))))))))-0.02),15)))))+(8.22*(IF(H591=CVSSv3!$C$4,CVSSv3!$C$17,(IF(H591=CVSSv3!$D$4,CVSSv3!$D$17,(IF(H591=CVSSv3!$E$4,CVSSv3!$E$17,(IF(H591=CVSSv3!$F$4,CVSSv3!$F$17,""))))))))*(IF(H592=CVSSv3!$C$5,CVSSv3!$C$18,(IF(H592=CVSSv3!$D$5,CVSSv3!$D$18,""))))*(IF(H593=CVSSv3!$C$6,CVSSv3!$C$19,(IF(H593=CVSSv3!$D$6,(IF(H595=CVSSv3!$D$8,0.68,CVSSv3!$D$19)),(IF(H593=CVSSv3!$E$6,(IF(H595=CVSSv3!$D$8,0.5,CVSSv3!$E$19))))))))*(IF(H594=CVSSv3!$C$7,CVSSv3!$C$20,(IF(H594=CVSSv3!$D$7,CVSSv3!$D$20,""))))),10)),1),ROUNDUP((MIN(1.08*((IF(H595=CVSSv3!$C$8,(6.42*(1-((1-(IF(H596=CVSSv3!$C$9,CVSSv3!$C$22,(IF(H596=CVSSv3!$D$9,CVSSv3!$D$22,(IF(H596=CVSSv3!$E$9,CVSSv3!$E$22,"")))))))*(1-(IF(H597=CVSSv3!$C$10,CVSSv3!$C$23,(IF(H597=CVSSv3!$D$10,CVSSv3!$D$23,(IF(H597=CVSSv3!$E$10,CVSSv3!$E$23,"")))))))*(1-(IF(H598=CVSSv3!$C$11,CVSSv3!$C$24,(IF(H598=CVSSv3!$D$11,CVSSv3!$D$24,(IF(H598=CVSSv3!$E$11,CVSSv3!$E$24,"")))))))))),((7.52*((1-((1-(IF(H596=CVSSv3!$C$9,CVSSv3!$C$22,(IF(H596=CVSSv3!$D$9,CVSSv3!$D$22,(IF(H596=CVSSv3!$E$9,CVSSv3!$E$22,"")))))))*(1-(IF(H597=CVSSv3!$C$10,CVSSv3!$C$23,(IF(H597=CVSSv3!$D$10,CVSSv3!$D$23,(IF(H597=CVSSv3!$E$10,CVSSv3!$E$23,"")))))))*(1-(IF(H598=CVSSv3!$C$11,CVSSv3!$C$24,(IF(H598=CVSSv3!$D$11,CVSSv3!$D$24,(IF(H598=CVSSv3!$E$11,CVSSv3!$E$24,"")))))))))-0.029))-(3.25*POWER(((1-((1-(IF(H596=CVSSv3!$C$9,CVSSv3!$C$22,(IF(H596=CVSSv3!$D$9,CVSSv3!$D$22,(IF(H596=CVSSv3!$E$9,CVSSv3!$E$22,"")))))))*(1-(IF(H597=CVSSv3!$C$10,CVSSv3!$C$23,(IF(H597=CVSSv3!$D$10,CVSSv3!$D$23,(IF(H597=CVSSv3!$E$10,CVSSv3!$E$23,"")))))))*(1-(IF(H598=CVSSv3!$C$11,CVSSv3!$C$24,(IF(H598=CVSSv3!$D$11,CVSSv3!$D$24,(IF(H598=CVSSv3!$E$11,CVSSv3!$E$24,"")))))))))-0.02),15)))))+(8.22*(IF(H591=CVSSv3!$C$4,CVSSv3!$C$17,(IF(H591=CVSSv3!$D$4,CVSSv3!$D$17,(IF(H591=CVSSv3!$E$4,CVSSv3!$E$17,(IF(H591=CVSSv3!$F$4,CVSSv3!$F$17,""))))))))*(IF(H592=CVSSv3!$C$5,CVSSv3!$C$18,(IF(H592=CVSSv3!$D$5,CVSSv3!$D$18,""))))*(IF(H593=CVSSv3!$C$6,CVSSv3!$C$19,(IF(H593=CVSSv3!$D$6,(IF(H595=CVSSv3!$D$8,0.68,CVSSv3!$D$19)),(IF(H593=CVSSv3!$E$6,(IF(H595=CVSSv3!$D$8,0.5,CVSSv3!$E$19))))))))*(IF(H594=CVSSv3!$C$7,CVSSv3!$C$20,(IF(H594=CVSSv3!$D$7,CVSSv3!$D$20,"")))))),10)),1))))*(IF(H599=CVSSv3!$C$12,CVSSv3!$C$25,(IF(H599=CVSSv3!$D$12,CVSSv3!$D$25,(IF(H599=CVSSv3!$E$12,CVSSv3!$E$25,(IF(H599=CVSSv3!$F$12,CVSSv3!$F$25,""))))))))*(IF(H600=CVSSv3!$C$13,CVSSv3!$C$26,(IF(H600=CVSSv3!$D$13,CVSSv3!$D$26,(IF(H600=CVSSv3!$E$13,CVSSv3!$E$26,(IF(H600=CVSSv3!$F$13,CVSSv3!$F$26,""))))))))*(IF(H601=CVSSv3!$C$14,CVSSv3!$C$27,(IF(H601=CVSSv3!$D$14,CVSSv3!$D$27,(IF(H601=CVSSv3!$E$14,CVSSv3!$E$27,""))))))),1)</f>
        <v>9</v>
      </c>
      <c r="J591" s="89">
        <v>0</v>
      </c>
      <c r="K591" s="89">
        <v>0</v>
      </c>
      <c r="L591" s="85" t="s">
        <v>17</v>
      </c>
      <c r="M591" s="85" t="s">
        <v>17</v>
      </c>
      <c r="N591" s="85" t="s">
        <v>707</v>
      </c>
      <c r="O591" s="85" t="s">
        <v>708</v>
      </c>
    </row>
    <row r="592" spans="1:15" x14ac:dyDescent="0.25">
      <c r="A592" s="89"/>
      <c r="B592" s="85"/>
      <c r="C592" s="85"/>
      <c r="D592" s="85"/>
      <c r="E592" s="85"/>
      <c r="F592" s="85"/>
      <c r="G592" s="80" t="str">
        <f>CVSSv3!$A$5</f>
        <v>Complejidad de ataque:</v>
      </c>
      <c r="H592" s="81" t="s">
        <v>709</v>
      </c>
      <c r="I592" s="88"/>
      <c r="J592" s="89"/>
      <c r="K592" s="89"/>
      <c r="L592" s="85"/>
      <c r="M592" s="85"/>
      <c r="N592" s="85"/>
      <c r="O592" s="85"/>
    </row>
    <row r="593" spans="1:15" x14ac:dyDescent="0.25">
      <c r="A593" s="89"/>
      <c r="B593" s="85"/>
      <c r="C593" s="85"/>
      <c r="D593" s="85"/>
      <c r="E593" s="85"/>
      <c r="F593" s="85"/>
      <c r="G593" s="80" t="str">
        <f>CVSSv3!$A$6</f>
        <v>Privilegios requeridos:</v>
      </c>
      <c r="H593" s="81" t="s">
        <v>710</v>
      </c>
      <c r="I593" s="88"/>
      <c r="J593" s="89"/>
      <c r="K593" s="89"/>
      <c r="L593" s="85"/>
      <c r="M593" s="85"/>
      <c r="N593" s="85"/>
      <c r="O593" s="85"/>
    </row>
    <row r="594" spans="1:15" x14ac:dyDescent="0.25">
      <c r="A594" s="89"/>
      <c r="B594" s="85"/>
      <c r="C594" s="85"/>
      <c r="D594" s="85"/>
      <c r="E594" s="85"/>
      <c r="F594" s="85"/>
      <c r="G594" s="80" t="str">
        <f>CVSSv3!$A$7</f>
        <v>Interacción del usuario:</v>
      </c>
      <c r="H594" s="81" t="s">
        <v>711</v>
      </c>
      <c r="I594" s="88"/>
      <c r="J594" s="89"/>
      <c r="K594" s="89"/>
      <c r="L594" s="85"/>
      <c r="M594" s="85"/>
      <c r="N594" s="85"/>
      <c r="O594" s="85"/>
    </row>
    <row r="595" spans="1:15" x14ac:dyDescent="0.25">
      <c r="A595" s="89"/>
      <c r="B595" s="85"/>
      <c r="C595" s="85"/>
      <c r="D595" s="85"/>
      <c r="E595" s="85"/>
      <c r="F595" s="85"/>
      <c r="G595" s="80" t="str">
        <f>CVSSv3!$A$8</f>
        <v>Alcance:</v>
      </c>
      <c r="H595" s="81" t="s">
        <v>712</v>
      </c>
      <c r="I595" s="88"/>
      <c r="J595" s="89"/>
      <c r="K595" s="89"/>
      <c r="L595" s="85"/>
      <c r="M595" s="85"/>
      <c r="N595" s="85"/>
      <c r="O595" s="85"/>
    </row>
    <row r="596" spans="1:15" x14ac:dyDescent="0.25">
      <c r="A596" s="89"/>
      <c r="B596" s="85"/>
      <c r="C596" s="85"/>
      <c r="D596" s="85"/>
      <c r="E596" s="85"/>
      <c r="F596" s="85"/>
      <c r="G596" s="80" t="str">
        <f>CVSSv3!$A$9</f>
        <v>Impacto a la confidencialidad:</v>
      </c>
      <c r="H596" s="81" t="s">
        <v>713</v>
      </c>
      <c r="I596" s="88"/>
      <c r="J596" s="89"/>
      <c r="K596" s="89"/>
      <c r="L596" s="85"/>
      <c r="M596" s="85"/>
      <c r="N596" s="85"/>
      <c r="O596" s="85"/>
    </row>
    <row r="597" spans="1:15" x14ac:dyDescent="0.25">
      <c r="A597" s="89"/>
      <c r="B597" s="85"/>
      <c r="C597" s="85"/>
      <c r="D597" s="85"/>
      <c r="E597" s="85"/>
      <c r="F597" s="85"/>
      <c r="G597" s="80" t="str">
        <f>CVSSv3!$A$10</f>
        <v>Impacto a la integridad:</v>
      </c>
      <c r="H597" s="81" t="s">
        <v>713</v>
      </c>
      <c r="I597" s="88"/>
      <c r="J597" s="89"/>
      <c r="K597" s="89"/>
      <c r="L597" s="85"/>
      <c r="M597" s="85"/>
      <c r="N597" s="85"/>
      <c r="O597" s="85"/>
    </row>
    <row r="598" spans="1:15" x14ac:dyDescent="0.25">
      <c r="A598" s="89"/>
      <c r="B598" s="85"/>
      <c r="C598" s="85"/>
      <c r="D598" s="85"/>
      <c r="E598" s="85"/>
      <c r="F598" s="85"/>
      <c r="G598" s="80" t="str">
        <f>CVSSv3!$A$11</f>
        <v>Impacto a la disponibilidad:</v>
      </c>
      <c r="H598" s="81" t="s">
        <v>713</v>
      </c>
      <c r="I598" s="88"/>
      <c r="J598" s="89"/>
      <c r="K598" s="89"/>
      <c r="L598" s="85"/>
      <c r="M598" s="85"/>
      <c r="N598" s="85"/>
      <c r="O598" s="85"/>
    </row>
    <row r="599" spans="1:15" x14ac:dyDescent="0.25">
      <c r="A599" s="89"/>
      <c r="B599" s="85"/>
      <c r="C599" s="85"/>
      <c r="D599" s="85"/>
      <c r="E599" s="85"/>
      <c r="F599" s="85"/>
      <c r="G599" s="80" t="str">
        <f>CVSSv3!$A$12</f>
        <v>Explotabilidad:</v>
      </c>
      <c r="H599" s="81" t="s">
        <v>709</v>
      </c>
      <c r="I599" s="88"/>
      <c r="J599" s="89"/>
      <c r="K599" s="89"/>
      <c r="L599" s="85"/>
      <c r="M599" s="85"/>
      <c r="N599" s="85"/>
      <c r="O599" s="85"/>
    </row>
    <row r="600" spans="1:15" x14ac:dyDescent="0.25">
      <c r="A600" s="89"/>
      <c r="B600" s="85"/>
      <c r="C600" s="85"/>
      <c r="D600" s="85"/>
      <c r="E600" s="85"/>
      <c r="F600" s="85"/>
      <c r="G600" s="80" t="str">
        <f>CVSSv3!$A$13</f>
        <v>Nivel de resolución:</v>
      </c>
      <c r="H600" s="81" t="s">
        <v>714</v>
      </c>
      <c r="I600" s="88"/>
      <c r="J600" s="89"/>
      <c r="K600" s="89"/>
      <c r="L600" s="85"/>
      <c r="M600" s="85"/>
      <c r="N600" s="85"/>
      <c r="O600" s="85"/>
    </row>
    <row r="601" spans="1:15" x14ac:dyDescent="0.25">
      <c r="A601" s="89"/>
      <c r="B601" s="85"/>
      <c r="C601" s="85"/>
      <c r="D601" s="85"/>
      <c r="E601" s="85"/>
      <c r="F601" s="85"/>
      <c r="G601" s="80" t="str">
        <f>CVSSv3!$A$14</f>
        <v>Nivel de confianza</v>
      </c>
      <c r="H601" s="81" t="s">
        <v>715</v>
      </c>
      <c r="I601" s="88"/>
      <c r="J601" s="89"/>
      <c r="K601" s="89"/>
      <c r="L601" s="85"/>
      <c r="M601" s="85"/>
      <c r="N601" s="85"/>
      <c r="O601" s="85"/>
    </row>
    <row r="602" spans="1:15" x14ac:dyDescent="0.25">
      <c r="A602" s="89"/>
      <c r="B602" s="85"/>
      <c r="C602" s="85"/>
      <c r="D602" s="85"/>
      <c r="E602" s="85"/>
      <c r="F602" s="85"/>
      <c r="G602" s="86" t="str">
        <f>"("&amp;CVSSv3!$B$4&amp;":"&amp;IF(H591=CVSSv3!$C$4,CVSSv3!$C$30,IF(H591=CVSSv3!$D$4,CVSSv3!$D$30,IF(H591=CVSSv3!$E$4,CVSSv3!$E$30,IF(H591=CVSSv3!$F$4,CVSSv3!$F$30,""))))&amp;"/"&amp;CVSSv3!$B$5&amp;":"&amp;IF(H592=CVSSv3!$C$5,CVSSv3!$C$31,IF(H592=CVSSv3!$D$5,CVSSv3!$D$31,""))&amp;"/"&amp;CVSSv3!$B$6&amp;":"&amp;IF(H593=CVSSv3!$C$6,CVSSv3!$C$32,IF(H593=CVSSv3!$D$6,CVSSv3!$D$32,IF(H593=CVSSv3!$E$6,CVSSv3!$E$32,"")))&amp;"/"&amp;CVSSv3!$B$7&amp;":"&amp;IF(H594=CVSSv3!$C$7,CVSSv3!$C$33,IF(H594=CVSSv3!$D$7,CVSSv3!$D$33,""))&amp;"/"&amp;CVSSv3!$B$8&amp;":"&amp;IF(H595=CVSSv3!$C$8,CVSSv3!$C$34,IF(H595=CVSSv3!$D$8,CVSSv3!$D$34,""))&amp;"/"&amp;CVSSv3!$B$9&amp;":"&amp;IF(H596=CVSSv3!$C$9,CVSSv3!$C$35,IF(H596=CVSSv3!$D$9,CVSSv3!$D$35,IF(H596=CVSSv3!$E$9,CVSSv3!$E$35,"")))&amp;"/"&amp;CVSSv3!$B$10&amp;":"&amp;IF(H597=CVSSv3!$C$10,CVSSv3!$C$36,IF(H597=CVSSv3!$D$10,CVSSv3!$D$36,IF(H597=CVSSv3!$E$10,CVSSv3!$E$36,"")))&amp;"/"&amp;CVSSv3!$B$11&amp;":"&amp;IF(H598=CVSSv3!$C$11,CVSSv3!$C$37,IF(H598=CVSSv3!$D$11,CVSSv3!$D$37,IF(H598=CVSSv3!$E$11,CVSSv3!$E$37,"")))&amp;"/"&amp;CVSSv3!$B$12&amp;":"&amp;IF(H599=CVSSv3!$C$12,CVSSv3!$C$38,IF(H599=CVSSv3!$D$12,CVSSv3!$D$38,IF(H599=CVSSv3!$E$12,CVSSv3!$E$38,IF(H599=CVSSv3!$F$12,CVSSv3!$F$38,""))))&amp;"/"&amp;CVSSv3!$B$13&amp;":"&amp;IF(H600=CVSSv3!$C$13,CVSSv3!$C$39,IF(H600=CVSSv3!$D$13,CVSSv3!$D$39,IF(H600=CVSSv3!$E$13,CVSSv3!$E$39,IF(H600=CVSSv3!$F$13,CVSSv3!$F$39,""))))&amp;"/"&amp;CVSSv3!$B$14&amp;":"&amp;IF(H601=CVSSv3!$C$14,CVSSv3!$C$40,IF(H601=CVSSv3!$D$14,CVSSv3!$D$40,IF(H601=CVSSv3!$E$14,CVSSv3!$E$40,"")))&amp;")"</f>
        <v>(AV:N/AC:H/PR:N/UI:N/S:C/C:H/I:H/A:H/E:H/RL:U/RC:C)</v>
      </c>
      <c r="H602" s="87"/>
      <c r="I602" s="88"/>
      <c r="J602" s="89"/>
      <c r="K602" s="89"/>
      <c r="L602" s="85"/>
      <c r="M602" s="85"/>
      <c r="N602" s="85"/>
      <c r="O602" s="85"/>
    </row>
  </sheetData>
  <mergeCells count="702">
    <mergeCell ref="M3:M14"/>
    <mergeCell ref="N3:N14"/>
    <mergeCell ref="O3:O14"/>
    <mergeCell ref="A1:O1"/>
    <mergeCell ref="G2:H2"/>
    <mergeCell ref="E3:E14"/>
    <mergeCell ref="D3:D14"/>
    <mergeCell ref="C3:C14"/>
    <mergeCell ref="B3:B14"/>
    <mergeCell ref="A3:A14"/>
    <mergeCell ref="I3:I14"/>
    <mergeCell ref="G14:H14"/>
    <mergeCell ref="F3:F14"/>
    <mergeCell ref="B15:B26"/>
    <mergeCell ref="C15:C26"/>
    <mergeCell ref="D15:D26"/>
    <mergeCell ref="E15:E26"/>
    <mergeCell ref="F15:F26"/>
    <mergeCell ref="J3:J14"/>
    <mergeCell ref="K3:K14"/>
    <mergeCell ref="L3:L14"/>
    <mergeCell ref="N27:N38"/>
    <mergeCell ref="O27:O38"/>
    <mergeCell ref="G38:H38"/>
    <mergeCell ref="O15:O26"/>
    <mergeCell ref="G26:H26"/>
    <mergeCell ref="A15:A26"/>
    <mergeCell ref="B27:B38"/>
    <mergeCell ref="C27:C38"/>
    <mergeCell ref="D27:D38"/>
    <mergeCell ref="E27:E38"/>
    <mergeCell ref="F27:F38"/>
    <mergeCell ref="I27:I38"/>
    <mergeCell ref="J27:J38"/>
    <mergeCell ref="I15:I26"/>
    <mergeCell ref="J15:J26"/>
    <mergeCell ref="K15:K26"/>
    <mergeCell ref="L15:L26"/>
    <mergeCell ref="M15:M26"/>
    <mergeCell ref="N15:N26"/>
    <mergeCell ref="A27:A38"/>
    <mergeCell ref="B39:B50"/>
    <mergeCell ref="C39:C50"/>
    <mergeCell ref="D39:D50"/>
    <mergeCell ref="E39:E50"/>
    <mergeCell ref="F39:F50"/>
    <mergeCell ref="K27:K38"/>
    <mergeCell ref="L27:L38"/>
    <mergeCell ref="M27:M38"/>
    <mergeCell ref="N51:N62"/>
    <mergeCell ref="O51:O62"/>
    <mergeCell ref="G62:H62"/>
    <mergeCell ref="O39:O50"/>
    <mergeCell ref="G50:H50"/>
    <mergeCell ref="A39:A50"/>
    <mergeCell ref="B51:B62"/>
    <mergeCell ref="C51:C62"/>
    <mergeCell ref="D51:D62"/>
    <mergeCell ref="E51:E62"/>
    <mergeCell ref="F51:F62"/>
    <mergeCell ref="I51:I62"/>
    <mergeCell ref="J51:J62"/>
    <mergeCell ref="I39:I50"/>
    <mergeCell ref="J39:J50"/>
    <mergeCell ref="K39:K50"/>
    <mergeCell ref="L39:L50"/>
    <mergeCell ref="M39:M50"/>
    <mergeCell ref="N39:N50"/>
    <mergeCell ref="A51:A62"/>
    <mergeCell ref="B63:B74"/>
    <mergeCell ref="C63:C74"/>
    <mergeCell ref="D63:D74"/>
    <mergeCell ref="E63:E74"/>
    <mergeCell ref="F63:F74"/>
    <mergeCell ref="K51:K62"/>
    <mergeCell ref="L51:L62"/>
    <mergeCell ref="M51:M62"/>
    <mergeCell ref="N75:N86"/>
    <mergeCell ref="O75:O86"/>
    <mergeCell ref="G86:H86"/>
    <mergeCell ref="O63:O74"/>
    <mergeCell ref="G74:H74"/>
    <mergeCell ref="A63:A74"/>
    <mergeCell ref="B75:B86"/>
    <mergeCell ref="C75:C86"/>
    <mergeCell ref="D75:D86"/>
    <mergeCell ref="E75:E86"/>
    <mergeCell ref="F75:F86"/>
    <mergeCell ref="I75:I86"/>
    <mergeCell ref="J75:J86"/>
    <mergeCell ref="I63:I74"/>
    <mergeCell ref="J63:J74"/>
    <mergeCell ref="K63:K74"/>
    <mergeCell ref="L63:L74"/>
    <mergeCell ref="M63:M74"/>
    <mergeCell ref="N63:N74"/>
    <mergeCell ref="A75:A86"/>
    <mergeCell ref="B87:B98"/>
    <mergeCell ref="C87:C98"/>
    <mergeCell ref="D87:D98"/>
    <mergeCell ref="E87:E98"/>
    <mergeCell ref="F87:F98"/>
    <mergeCell ref="K75:K86"/>
    <mergeCell ref="L75:L86"/>
    <mergeCell ref="M75:M86"/>
    <mergeCell ref="N99:N110"/>
    <mergeCell ref="O99:O110"/>
    <mergeCell ref="G110:H110"/>
    <mergeCell ref="O87:O98"/>
    <mergeCell ref="G98:H98"/>
    <mergeCell ref="A87:A98"/>
    <mergeCell ref="B99:B110"/>
    <mergeCell ref="C99:C110"/>
    <mergeCell ref="D99:D110"/>
    <mergeCell ref="E99:E110"/>
    <mergeCell ref="F99:F110"/>
    <mergeCell ref="I99:I110"/>
    <mergeCell ref="J99:J110"/>
    <mergeCell ref="I87:I98"/>
    <mergeCell ref="J87:J98"/>
    <mergeCell ref="K87:K98"/>
    <mergeCell ref="L87:L98"/>
    <mergeCell ref="M87:M98"/>
    <mergeCell ref="N87:N98"/>
    <mergeCell ref="A99:A110"/>
    <mergeCell ref="B111:B122"/>
    <mergeCell ref="C111:C122"/>
    <mergeCell ref="D111:D122"/>
    <mergeCell ref="E111:E122"/>
    <mergeCell ref="F111:F122"/>
    <mergeCell ref="K99:K110"/>
    <mergeCell ref="L99:L110"/>
    <mergeCell ref="M99:M110"/>
    <mergeCell ref="N123:N134"/>
    <mergeCell ref="O123:O134"/>
    <mergeCell ref="G134:H134"/>
    <mergeCell ref="O111:O122"/>
    <mergeCell ref="G122:H122"/>
    <mergeCell ref="A111:A122"/>
    <mergeCell ref="B123:B134"/>
    <mergeCell ref="C123:C134"/>
    <mergeCell ref="D123:D134"/>
    <mergeCell ref="E123:E134"/>
    <mergeCell ref="F123:F134"/>
    <mergeCell ref="I123:I134"/>
    <mergeCell ref="J123:J134"/>
    <mergeCell ref="I111:I122"/>
    <mergeCell ref="J111:J122"/>
    <mergeCell ref="K111:K122"/>
    <mergeCell ref="L111:L122"/>
    <mergeCell ref="M111:M122"/>
    <mergeCell ref="N111:N122"/>
    <mergeCell ref="A123:A134"/>
    <mergeCell ref="B135:B146"/>
    <mergeCell ref="C135:C146"/>
    <mergeCell ref="D135:D146"/>
    <mergeCell ref="E135:E146"/>
    <mergeCell ref="F135:F146"/>
    <mergeCell ref="K123:K134"/>
    <mergeCell ref="L123:L134"/>
    <mergeCell ref="M123:M134"/>
    <mergeCell ref="N147:N158"/>
    <mergeCell ref="O147:O158"/>
    <mergeCell ref="G158:H158"/>
    <mergeCell ref="O135:O146"/>
    <mergeCell ref="G146:H146"/>
    <mergeCell ref="A135:A146"/>
    <mergeCell ref="B147:B158"/>
    <mergeCell ref="C147:C158"/>
    <mergeCell ref="D147:D158"/>
    <mergeCell ref="E147:E158"/>
    <mergeCell ref="F147:F158"/>
    <mergeCell ref="I147:I158"/>
    <mergeCell ref="J147:J158"/>
    <mergeCell ref="I135:I146"/>
    <mergeCell ref="J135:J146"/>
    <mergeCell ref="K135:K146"/>
    <mergeCell ref="L135:L146"/>
    <mergeCell ref="M135:M146"/>
    <mergeCell ref="N135:N146"/>
    <mergeCell ref="A147:A158"/>
    <mergeCell ref="B159:B170"/>
    <mergeCell ref="C159:C170"/>
    <mergeCell ref="D159:D170"/>
    <mergeCell ref="E159:E170"/>
    <mergeCell ref="F159:F170"/>
    <mergeCell ref="K147:K158"/>
    <mergeCell ref="L147:L158"/>
    <mergeCell ref="M147:M158"/>
    <mergeCell ref="N171:N182"/>
    <mergeCell ref="O171:O182"/>
    <mergeCell ref="G182:H182"/>
    <mergeCell ref="O159:O170"/>
    <mergeCell ref="G170:H170"/>
    <mergeCell ref="A159:A170"/>
    <mergeCell ref="B171:B182"/>
    <mergeCell ref="C171:C182"/>
    <mergeCell ref="D171:D182"/>
    <mergeCell ref="E171:E182"/>
    <mergeCell ref="F171:F182"/>
    <mergeCell ref="I171:I182"/>
    <mergeCell ref="J171:J182"/>
    <mergeCell ref="I159:I170"/>
    <mergeCell ref="J159:J170"/>
    <mergeCell ref="K159:K170"/>
    <mergeCell ref="L159:L170"/>
    <mergeCell ref="M159:M170"/>
    <mergeCell ref="N159:N170"/>
    <mergeCell ref="A171:A182"/>
    <mergeCell ref="B183:B194"/>
    <mergeCell ref="C183:C194"/>
    <mergeCell ref="D183:D194"/>
    <mergeCell ref="E183:E194"/>
    <mergeCell ref="F183:F194"/>
    <mergeCell ref="K171:K182"/>
    <mergeCell ref="L171:L182"/>
    <mergeCell ref="M171:M182"/>
    <mergeCell ref="N195:N206"/>
    <mergeCell ref="O195:O206"/>
    <mergeCell ref="G206:H206"/>
    <mergeCell ref="O183:O194"/>
    <mergeCell ref="G194:H194"/>
    <mergeCell ref="A183:A194"/>
    <mergeCell ref="B195:B206"/>
    <mergeCell ref="C195:C206"/>
    <mergeCell ref="D195:D206"/>
    <mergeCell ref="E195:E206"/>
    <mergeCell ref="F195:F206"/>
    <mergeCell ref="I195:I206"/>
    <mergeCell ref="J195:J206"/>
    <mergeCell ref="I183:I194"/>
    <mergeCell ref="J183:J194"/>
    <mergeCell ref="K183:K194"/>
    <mergeCell ref="L183:L194"/>
    <mergeCell ref="M183:M194"/>
    <mergeCell ref="N183:N194"/>
    <mergeCell ref="A195:A206"/>
    <mergeCell ref="B207:B218"/>
    <mergeCell ref="C207:C218"/>
    <mergeCell ref="D207:D218"/>
    <mergeCell ref="E207:E218"/>
    <mergeCell ref="F207:F218"/>
    <mergeCell ref="K195:K206"/>
    <mergeCell ref="L195:L206"/>
    <mergeCell ref="M195:M206"/>
    <mergeCell ref="N219:N230"/>
    <mergeCell ref="O219:O230"/>
    <mergeCell ref="G230:H230"/>
    <mergeCell ref="O207:O218"/>
    <mergeCell ref="G218:H218"/>
    <mergeCell ref="A207:A218"/>
    <mergeCell ref="B219:B230"/>
    <mergeCell ref="C219:C230"/>
    <mergeCell ref="D219:D230"/>
    <mergeCell ref="E219:E230"/>
    <mergeCell ref="F219:F230"/>
    <mergeCell ref="I219:I230"/>
    <mergeCell ref="J219:J230"/>
    <mergeCell ref="I207:I218"/>
    <mergeCell ref="J207:J218"/>
    <mergeCell ref="K207:K218"/>
    <mergeCell ref="L207:L218"/>
    <mergeCell ref="M207:M218"/>
    <mergeCell ref="N207:N218"/>
    <mergeCell ref="A219:A230"/>
    <mergeCell ref="B231:B242"/>
    <mergeCell ref="C231:C242"/>
    <mergeCell ref="D231:D242"/>
    <mergeCell ref="E231:E242"/>
    <mergeCell ref="F231:F242"/>
    <mergeCell ref="K219:K230"/>
    <mergeCell ref="L219:L230"/>
    <mergeCell ref="M219:M230"/>
    <mergeCell ref="N243:N254"/>
    <mergeCell ref="O243:O254"/>
    <mergeCell ref="G254:H254"/>
    <mergeCell ref="O231:O242"/>
    <mergeCell ref="G242:H242"/>
    <mergeCell ref="A231:A242"/>
    <mergeCell ref="B243:B254"/>
    <mergeCell ref="C243:C254"/>
    <mergeCell ref="D243:D254"/>
    <mergeCell ref="E243:E254"/>
    <mergeCell ref="F243:F254"/>
    <mergeCell ref="I243:I254"/>
    <mergeCell ref="J243:J254"/>
    <mergeCell ref="I231:I242"/>
    <mergeCell ref="J231:J242"/>
    <mergeCell ref="K231:K242"/>
    <mergeCell ref="L231:L242"/>
    <mergeCell ref="M231:M242"/>
    <mergeCell ref="N231:N242"/>
    <mergeCell ref="A243:A254"/>
    <mergeCell ref="B255:B266"/>
    <mergeCell ref="C255:C266"/>
    <mergeCell ref="D255:D266"/>
    <mergeCell ref="E255:E266"/>
    <mergeCell ref="F255:F266"/>
    <mergeCell ref="K243:K254"/>
    <mergeCell ref="L243:L254"/>
    <mergeCell ref="M243:M254"/>
    <mergeCell ref="N267:N278"/>
    <mergeCell ref="O267:O278"/>
    <mergeCell ref="G278:H278"/>
    <mergeCell ref="O255:O266"/>
    <mergeCell ref="G266:H266"/>
    <mergeCell ref="A255:A266"/>
    <mergeCell ref="B267:B278"/>
    <mergeCell ref="C267:C278"/>
    <mergeCell ref="D267:D278"/>
    <mergeCell ref="E267:E278"/>
    <mergeCell ref="F267:F278"/>
    <mergeCell ref="I267:I278"/>
    <mergeCell ref="J267:J278"/>
    <mergeCell ref="I255:I266"/>
    <mergeCell ref="J255:J266"/>
    <mergeCell ref="K255:K266"/>
    <mergeCell ref="L255:L266"/>
    <mergeCell ref="M255:M266"/>
    <mergeCell ref="N255:N266"/>
    <mergeCell ref="A267:A278"/>
    <mergeCell ref="B279:B290"/>
    <mergeCell ref="C279:C290"/>
    <mergeCell ref="D279:D290"/>
    <mergeCell ref="E279:E290"/>
    <mergeCell ref="F279:F290"/>
    <mergeCell ref="K267:K278"/>
    <mergeCell ref="L267:L278"/>
    <mergeCell ref="M267:M278"/>
    <mergeCell ref="N291:N302"/>
    <mergeCell ref="O291:O302"/>
    <mergeCell ref="G302:H302"/>
    <mergeCell ref="O279:O290"/>
    <mergeCell ref="G290:H290"/>
    <mergeCell ref="A279:A290"/>
    <mergeCell ref="B291:B302"/>
    <mergeCell ref="C291:C302"/>
    <mergeCell ref="D291:D302"/>
    <mergeCell ref="E291:E302"/>
    <mergeCell ref="F291:F302"/>
    <mergeCell ref="I291:I302"/>
    <mergeCell ref="J291:J302"/>
    <mergeCell ref="I279:I290"/>
    <mergeCell ref="J279:J290"/>
    <mergeCell ref="K279:K290"/>
    <mergeCell ref="L279:L290"/>
    <mergeCell ref="M279:M290"/>
    <mergeCell ref="N279:N290"/>
    <mergeCell ref="A291:A302"/>
    <mergeCell ref="B303:B314"/>
    <mergeCell ref="C303:C314"/>
    <mergeCell ref="D303:D314"/>
    <mergeCell ref="E303:E314"/>
    <mergeCell ref="F303:F314"/>
    <mergeCell ref="K291:K302"/>
    <mergeCell ref="L291:L302"/>
    <mergeCell ref="M291:M302"/>
    <mergeCell ref="N315:N326"/>
    <mergeCell ref="O315:O326"/>
    <mergeCell ref="G326:H326"/>
    <mergeCell ref="O303:O314"/>
    <mergeCell ref="G314:H314"/>
    <mergeCell ref="A303:A314"/>
    <mergeCell ref="B315:B326"/>
    <mergeCell ref="C315:C326"/>
    <mergeCell ref="D315:D326"/>
    <mergeCell ref="E315:E326"/>
    <mergeCell ref="F315:F326"/>
    <mergeCell ref="I315:I326"/>
    <mergeCell ref="J315:J326"/>
    <mergeCell ref="I303:I314"/>
    <mergeCell ref="J303:J314"/>
    <mergeCell ref="K303:K314"/>
    <mergeCell ref="L303:L314"/>
    <mergeCell ref="M303:M314"/>
    <mergeCell ref="N303:N314"/>
    <mergeCell ref="A315:A326"/>
    <mergeCell ref="B327:B338"/>
    <mergeCell ref="C327:C338"/>
    <mergeCell ref="D327:D338"/>
    <mergeCell ref="E327:E338"/>
    <mergeCell ref="F327:F338"/>
    <mergeCell ref="K315:K326"/>
    <mergeCell ref="L315:L326"/>
    <mergeCell ref="M315:M326"/>
    <mergeCell ref="N339:N350"/>
    <mergeCell ref="O339:O350"/>
    <mergeCell ref="G350:H350"/>
    <mergeCell ref="O327:O338"/>
    <mergeCell ref="G338:H338"/>
    <mergeCell ref="A327:A338"/>
    <mergeCell ref="B339:B350"/>
    <mergeCell ref="C339:C350"/>
    <mergeCell ref="D339:D350"/>
    <mergeCell ref="E339:E350"/>
    <mergeCell ref="F339:F350"/>
    <mergeCell ref="I339:I350"/>
    <mergeCell ref="J339:J350"/>
    <mergeCell ref="I327:I338"/>
    <mergeCell ref="J327:J338"/>
    <mergeCell ref="K327:K338"/>
    <mergeCell ref="L327:L338"/>
    <mergeCell ref="M327:M338"/>
    <mergeCell ref="N327:N338"/>
    <mergeCell ref="A339:A350"/>
    <mergeCell ref="B351:B362"/>
    <mergeCell ref="C351:C362"/>
    <mergeCell ref="D351:D362"/>
    <mergeCell ref="E351:E362"/>
    <mergeCell ref="F351:F362"/>
    <mergeCell ref="K339:K350"/>
    <mergeCell ref="L339:L350"/>
    <mergeCell ref="M339:M350"/>
    <mergeCell ref="N363:N374"/>
    <mergeCell ref="O363:O374"/>
    <mergeCell ref="G374:H374"/>
    <mergeCell ref="O351:O362"/>
    <mergeCell ref="G362:H362"/>
    <mergeCell ref="A351:A362"/>
    <mergeCell ref="B363:B374"/>
    <mergeCell ref="C363:C374"/>
    <mergeCell ref="D363:D374"/>
    <mergeCell ref="E363:E374"/>
    <mergeCell ref="F363:F374"/>
    <mergeCell ref="I363:I374"/>
    <mergeCell ref="J363:J374"/>
    <mergeCell ref="I351:I362"/>
    <mergeCell ref="J351:J362"/>
    <mergeCell ref="K351:K362"/>
    <mergeCell ref="L351:L362"/>
    <mergeCell ref="M351:M362"/>
    <mergeCell ref="N351:N362"/>
    <mergeCell ref="A363:A374"/>
    <mergeCell ref="B375:B386"/>
    <mergeCell ref="C375:C386"/>
    <mergeCell ref="D375:D386"/>
    <mergeCell ref="E375:E386"/>
    <mergeCell ref="F375:F386"/>
    <mergeCell ref="K363:K374"/>
    <mergeCell ref="L363:L374"/>
    <mergeCell ref="M363:M374"/>
    <mergeCell ref="N387:N398"/>
    <mergeCell ref="O387:O398"/>
    <mergeCell ref="G398:H398"/>
    <mergeCell ref="O375:O386"/>
    <mergeCell ref="G386:H386"/>
    <mergeCell ref="A375:A386"/>
    <mergeCell ref="B387:B398"/>
    <mergeCell ref="C387:C398"/>
    <mergeCell ref="D387:D398"/>
    <mergeCell ref="E387:E398"/>
    <mergeCell ref="F387:F398"/>
    <mergeCell ref="I387:I398"/>
    <mergeCell ref="J387:J398"/>
    <mergeCell ref="I375:I386"/>
    <mergeCell ref="J375:J386"/>
    <mergeCell ref="K375:K386"/>
    <mergeCell ref="L375:L386"/>
    <mergeCell ref="M375:M386"/>
    <mergeCell ref="N375:N386"/>
    <mergeCell ref="A387:A398"/>
    <mergeCell ref="B399:B410"/>
    <mergeCell ref="C399:C410"/>
    <mergeCell ref="D399:D410"/>
    <mergeCell ref="E399:E410"/>
    <mergeCell ref="F399:F410"/>
    <mergeCell ref="K387:K398"/>
    <mergeCell ref="L387:L398"/>
    <mergeCell ref="M387:M398"/>
    <mergeCell ref="N411:N422"/>
    <mergeCell ref="O411:O422"/>
    <mergeCell ref="G422:H422"/>
    <mergeCell ref="O399:O410"/>
    <mergeCell ref="G410:H410"/>
    <mergeCell ref="A399:A410"/>
    <mergeCell ref="B411:B422"/>
    <mergeCell ref="C411:C422"/>
    <mergeCell ref="D411:D422"/>
    <mergeCell ref="E411:E422"/>
    <mergeCell ref="F411:F422"/>
    <mergeCell ref="I411:I422"/>
    <mergeCell ref="J411:J422"/>
    <mergeCell ref="I399:I410"/>
    <mergeCell ref="J399:J410"/>
    <mergeCell ref="K399:K410"/>
    <mergeCell ref="L399:L410"/>
    <mergeCell ref="M399:M410"/>
    <mergeCell ref="N399:N410"/>
    <mergeCell ref="A411:A422"/>
    <mergeCell ref="B423:B434"/>
    <mergeCell ref="C423:C434"/>
    <mergeCell ref="D423:D434"/>
    <mergeCell ref="E423:E434"/>
    <mergeCell ref="F423:F434"/>
    <mergeCell ref="K411:K422"/>
    <mergeCell ref="L411:L422"/>
    <mergeCell ref="M411:M422"/>
    <mergeCell ref="N435:N446"/>
    <mergeCell ref="O435:O446"/>
    <mergeCell ref="G446:H446"/>
    <mergeCell ref="O423:O434"/>
    <mergeCell ref="G434:H434"/>
    <mergeCell ref="A423:A434"/>
    <mergeCell ref="B435:B446"/>
    <mergeCell ref="C435:C446"/>
    <mergeCell ref="D435:D446"/>
    <mergeCell ref="E435:E446"/>
    <mergeCell ref="F435:F446"/>
    <mergeCell ref="I435:I446"/>
    <mergeCell ref="J435:J446"/>
    <mergeCell ref="I423:I434"/>
    <mergeCell ref="J423:J434"/>
    <mergeCell ref="K423:K434"/>
    <mergeCell ref="L423:L434"/>
    <mergeCell ref="M423:M434"/>
    <mergeCell ref="N423:N434"/>
    <mergeCell ref="A435:A446"/>
    <mergeCell ref="B447:B458"/>
    <mergeCell ref="C447:C458"/>
    <mergeCell ref="D447:D458"/>
    <mergeCell ref="E447:E458"/>
    <mergeCell ref="F447:F458"/>
    <mergeCell ref="K435:K446"/>
    <mergeCell ref="L435:L446"/>
    <mergeCell ref="M435:M446"/>
    <mergeCell ref="N459:N470"/>
    <mergeCell ref="O459:O470"/>
    <mergeCell ref="G470:H470"/>
    <mergeCell ref="O447:O458"/>
    <mergeCell ref="G458:H458"/>
    <mergeCell ref="A447:A458"/>
    <mergeCell ref="B459:B470"/>
    <mergeCell ref="C459:C470"/>
    <mergeCell ref="D459:D470"/>
    <mergeCell ref="E459:E470"/>
    <mergeCell ref="F459:F470"/>
    <mergeCell ref="I459:I470"/>
    <mergeCell ref="J459:J470"/>
    <mergeCell ref="I447:I458"/>
    <mergeCell ref="J447:J458"/>
    <mergeCell ref="K447:K458"/>
    <mergeCell ref="L447:L458"/>
    <mergeCell ref="M447:M458"/>
    <mergeCell ref="N447:N458"/>
    <mergeCell ref="A459:A470"/>
    <mergeCell ref="B471:B482"/>
    <mergeCell ref="C471:C482"/>
    <mergeCell ref="D471:D482"/>
    <mergeCell ref="E471:E482"/>
    <mergeCell ref="F471:F482"/>
    <mergeCell ref="K459:K470"/>
    <mergeCell ref="L459:L470"/>
    <mergeCell ref="M459:M470"/>
    <mergeCell ref="N483:N494"/>
    <mergeCell ref="O483:O494"/>
    <mergeCell ref="G494:H494"/>
    <mergeCell ref="O471:O482"/>
    <mergeCell ref="G482:H482"/>
    <mergeCell ref="A471:A482"/>
    <mergeCell ref="B483:B494"/>
    <mergeCell ref="C483:C494"/>
    <mergeCell ref="D483:D494"/>
    <mergeCell ref="E483:E494"/>
    <mergeCell ref="F483:F494"/>
    <mergeCell ref="I483:I494"/>
    <mergeCell ref="J483:J494"/>
    <mergeCell ref="I471:I482"/>
    <mergeCell ref="J471:J482"/>
    <mergeCell ref="K471:K482"/>
    <mergeCell ref="L471:L482"/>
    <mergeCell ref="M471:M482"/>
    <mergeCell ref="N471:N482"/>
    <mergeCell ref="A483:A494"/>
    <mergeCell ref="B495:B506"/>
    <mergeCell ref="C495:C506"/>
    <mergeCell ref="D495:D506"/>
    <mergeCell ref="E495:E506"/>
    <mergeCell ref="F495:F506"/>
    <mergeCell ref="K483:K494"/>
    <mergeCell ref="L483:L494"/>
    <mergeCell ref="M483:M494"/>
    <mergeCell ref="N507:N518"/>
    <mergeCell ref="O507:O518"/>
    <mergeCell ref="G518:H518"/>
    <mergeCell ref="O495:O506"/>
    <mergeCell ref="G506:H506"/>
    <mergeCell ref="A495:A506"/>
    <mergeCell ref="B507:B518"/>
    <mergeCell ref="C507:C518"/>
    <mergeCell ref="D507:D518"/>
    <mergeCell ref="E507:E518"/>
    <mergeCell ref="F507:F518"/>
    <mergeCell ref="I507:I518"/>
    <mergeCell ref="J507:J518"/>
    <mergeCell ref="I495:I506"/>
    <mergeCell ref="J495:J506"/>
    <mergeCell ref="K495:K506"/>
    <mergeCell ref="L495:L506"/>
    <mergeCell ref="M495:M506"/>
    <mergeCell ref="N495:N506"/>
    <mergeCell ref="A507:A518"/>
    <mergeCell ref="B519:B530"/>
    <mergeCell ref="C519:C530"/>
    <mergeCell ref="D519:D530"/>
    <mergeCell ref="E519:E530"/>
    <mergeCell ref="F519:F530"/>
    <mergeCell ref="K507:K518"/>
    <mergeCell ref="L507:L518"/>
    <mergeCell ref="M507:M518"/>
    <mergeCell ref="N531:N542"/>
    <mergeCell ref="O531:O542"/>
    <mergeCell ref="G542:H542"/>
    <mergeCell ref="O519:O530"/>
    <mergeCell ref="G530:H530"/>
    <mergeCell ref="A519:A530"/>
    <mergeCell ref="B531:B542"/>
    <mergeCell ref="C531:C542"/>
    <mergeCell ref="D531:D542"/>
    <mergeCell ref="E531:E542"/>
    <mergeCell ref="F531:F542"/>
    <mergeCell ref="I531:I542"/>
    <mergeCell ref="J531:J542"/>
    <mergeCell ref="I519:I530"/>
    <mergeCell ref="J519:J530"/>
    <mergeCell ref="K519:K530"/>
    <mergeCell ref="L519:L530"/>
    <mergeCell ref="M519:M530"/>
    <mergeCell ref="N519:N530"/>
    <mergeCell ref="A531:A542"/>
    <mergeCell ref="B543:B554"/>
    <mergeCell ref="C543:C554"/>
    <mergeCell ref="D543:D554"/>
    <mergeCell ref="E543:E554"/>
    <mergeCell ref="F543:F554"/>
    <mergeCell ref="K531:K542"/>
    <mergeCell ref="L531:L542"/>
    <mergeCell ref="M531:M542"/>
    <mergeCell ref="N555:N566"/>
    <mergeCell ref="O555:O566"/>
    <mergeCell ref="G566:H566"/>
    <mergeCell ref="O543:O554"/>
    <mergeCell ref="G554:H554"/>
    <mergeCell ref="A543:A554"/>
    <mergeCell ref="B555:B566"/>
    <mergeCell ref="C555:C566"/>
    <mergeCell ref="D555:D566"/>
    <mergeCell ref="E555:E566"/>
    <mergeCell ref="F555:F566"/>
    <mergeCell ref="I555:I566"/>
    <mergeCell ref="J555:J566"/>
    <mergeCell ref="I543:I554"/>
    <mergeCell ref="J543:J554"/>
    <mergeCell ref="K543:K554"/>
    <mergeCell ref="L543:L554"/>
    <mergeCell ref="M543:M554"/>
    <mergeCell ref="N543:N554"/>
    <mergeCell ref="A555:A566"/>
    <mergeCell ref="B567:B578"/>
    <mergeCell ref="C567:C578"/>
    <mergeCell ref="D567:D578"/>
    <mergeCell ref="E567:E578"/>
    <mergeCell ref="F567:F578"/>
    <mergeCell ref="K555:K566"/>
    <mergeCell ref="L555:L566"/>
    <mergeCell ref="M555:M566"/>
    <mergeCell ref="N579:N590"/>
    <mergeCell ref="O579:O590"/>
    <mergeCell ref="G590:H590"/>
    <mergeCell ref="O567:O578"/>
    <mergeCell ref="G578:H578"/>
    <mergeCell ref="A567:A578"/>
    <mergeCell ref="B579:B590"/>
    <mergeCell ref="C579:C590"/>
    <mergeCell ref="D579:D590"/>
    <mergeCell ref="E579:E590"/>
    <mergeCell ref="F579:F590"/>
    <mergeCell ref="I579:I590"/>
    <mergeCell ref="J579:J590"/>
    <mergeCell ref="I567:I578"/>
    <mergeCell ref="J567:J578"/>
    <mergeCell ref="K567:K578"/>
    <mergeCell ref="L567:L578"/>
    <mergeCell ref="M567:M578"/>
    <mergeCell ref="N567:N578"/>
    <mergeCell ref="A579:A590"/>
    <mergeCell ref="B591:B602"/>
    <mergeCell ref="C591:C602"/>
    <mergeCell ref="D591:D602"/>
    <mergeCell ref="E591:E602"/>
    <mergeCell ref="F591:F602"/>
    <mergeCell ref="K579:K590"/>
    <mergeCell ref="L579:L590"/>
    <mergeCell ref="M579:M590"/>
    <mergeCell ref="O591:O602"/>
    <mergeCell ref="G602:H602"/>
    <mergeCell ref="A591:A602"/>
    <mergeCell ref="I591:I602"/>
    <mergeCell ref="J591:J602"/>
    <mergeCell ref="K591:K602"/>
    <mergeCell ref="L591:L602"/>
    <mergeCell ref="M591:M602"/>
    <mergeCell ref="N591:N602"/>
  </mergeCells>
  <conditionalFormatting sqref="I3:I602">
    <cfRule type="cellIs" dxfId="3" priority="5" operator="between">
      <formula>9</formula>
      <formula>10</formula>
    </cfRule>
    <cfRule type="cellIs" dxfId="2" priority="6" operator="between">
      <formula>7</formula>
      <formula>8.9</formula>
    </cfRule>
    <cfRule type="cellIs" dxfId="1" priority="7" operator="between">
      <formula>4</formula>
      <formula>6.9</formula>
    </cfRule>
    <cfRule type="cellIs" dxfId="0" priority="8" operator="between">
      <formula>0</formula>
      <formula>3.9</formula>
    </cfRule>
  </conditionalFormatting>
  <pageMargins left="0.7" right="0.7" top="0.75" bottom="0.75" header="0.3" footer="0.3"/>
  <pageSetup paperSize="9" orientation="portrait" horizontalDpi="4294967295" verticalDpi="4294967295" r:id="rId1"/>
  <extLst>
    <ext xmlns:x14="http://schemas.microsoft.com/office/spreadsheetml/2009/9/main" uri="{CCE6A557-97BC-4b89-ADB6-D9C93CAAB3DF}">
      <x14:dataValidations xmlns:xm="http://schemas.microsoft.com/office/excel/2006/main" count="11">
        <x14:dataValidation type="list" allowBlank="1" showInputMessage="1" showErrorMessage="1" xr:uid="{9FB97E42-F1AD-4DA8-9D35-2062FEA80FC4}">
          <x14:formula1>
            <xm:f>CVSSv3!$C$4:$F$4</xm:f>
          </x14:formula1>
          <xm:sqref>H3 H15 H27 H39 H51 H63 H75 H87 H99 H111 H123 H135 H147 H159 H171 H183 H195 H207 H219 H231 H243 H255 H267 H279 H291 H303 H315 H327 H339 H351 H363 H375 H387 H399 H411 H423 H435 H447 H459 H471 H483 H495 H507 H519 H531 H543 H555 H567 H579 H591</xm:sqref>
        </x14:dataValidation>
        <x14:dataValidation type="list" allowBlank="1" showInputMessage="1" showErrorMessage="1" xr:uid="{FBE9B440-FB92-48DE-B3C2-8095B8B9BDD9}">
          <x14:formula1>
            <xm:f>CVSSv3!$C$5:$D$5</xm:f>
          </x14:formula1>
          <xm:sqref>H4 H16 H28 H40 H52 H64 H76 H88 H100 H112 H124 H136 H148 H160 H172 H184 H196 H208 H220 H232 H244 H256 H268 H280 H292 H304 H316 H328 H340 H352 H364 H376 H388 H400 H412 H424 H436 H448 H460 H472 H484 H496 H508 H520 H532 H544 H556 H568 H580 H592</xm:sqref>
        </x14:dataValidation>
        <x14:dataValidation type="list" allowBlank="1" showInputMessage="1" showErrorMessage="1" xr:uid="{9FC1991C-5EE7-4E48-BA92-8B0F2D8D315C}">
          <x14:formula1>
            <xm:f>CVSSv3!$C$6:$E$6</xm:f>
          </x14:formula1>
          <xm:sqref>H5 H17 H29 H41 H53 H65 H77 H89 H101 H113 H125 H137 H149 H161 H173 H185 H197 H209 H221 H233 H245 H257 H269 H281 H293 H305 H317 H329 H341 H353 H365 H377 H389 H401 H413 H425 H437 H449 H461 H473 H485 H497 H509 H521 H533 H545 H557 H569 H581 H593</xm:sqref>
        </x14:dataValidation>
        <x14:dataValidation type="list" allowBlank="1" showInputMessage="1" showErrorMessage="1" xr:uid="{FD265E6A-1CA4-4800-9BF8-5452E7D4AFFD}">
          <x14:formula1>
            <xm:f>CVSSv3!$C$7:$D$7</xm:f>
          </x14:formula1>
          <xm:sqref>H6 H18 H30 H42 H54 H66 H78 H90 H102 H114 H126 H138 H150 H162 H174 H186 H198 H210 H222 H234 H246 H258 H270 H282 H294 H306 H318 H330 H342 H354 H366 H378 H390 H402 H414 H426 H438 H450 H462 H474 H486 H498 H510 H522 H534 H546 H558 H570 H582 H594</xm:sqref>
        </x14:dataValidation>
        <x14:dataValidation type="list" allowBlank="1" showInputMessage="1" showErrorMessage="1" xr:uid="{6E79F1A2-AF87-4267-9E76-3EC3434B2881}">
          <x14:formula1>
            <xm:f>CVSSv3!$C$8:$D$8</xm:f>
          </x14:formula1>
          <xm:sqref>H7 H19 H31 H43 H55 H67 H79 H91 H103 H115 H127 H139 H151 H163 H175 H187 H199 H211 H223 H235 H247 H259 H271 H283 H295 H307 H319 H331 H343 H355 H367 H379 H391 H403 H415 H427 H439 H451 H463 H475 H487 H499 H511 H523 H535 H547 H559 H571 H583 H595</xm:sqref>
        </x14:dataValidation>
        <x14:dataValidation type="list" allowBlank="1" showInputMessage="1" showErrorMessage="1" xr:uid="{42DB728F-F23E-4558-8771-F5AFD09370E8}">
          <x14:formula1>
            <xm:f>CVSSv3!$C$9:$E$9</xm:f>
          </x14:formula1>
          <xm:sqref>H8 H20 H32 H44 H56 H68 H80 H92 H104 H116 H128 H140 H152 H164 H176 H188 H200 H212 H224 H236 H248 H260 H272 H284 H296 H308 H320 H332 H344 H356 H368 H380 H392 H404 H416 H428 H440 H452 H464 H476 H488 H500 H512 H524 H536 H548 H560 H572 H584 H596</xm:sqref>
        </x14:dataValidation>
        <x14:dataValidation type="list" allowBlank="1" showInputMessage="1" showErrorMessage="1" xr:uid="{2AB7CE8B-D061-450B-A700-F78105282750}">
          <x14:formula1>
            <xm:f>CVSSv3!$C$10:$E$10</xm:f>
          </x14:formula1>
          <xm:sqref>H9 H21 H33 H45 H57 H69 H81 H93 H105 H117 H129 H141 H153 H165 H177 H189 H201 H213 H225 H237 H249 H261 H273 H285 H297 H309 H321 H333 H345 H357 H369 H381 H393 H405 H417 H429 H441 H453 H465 H477 H489 H501 H513 H525 H537 H549 H561 H573 H585 H597</xm:sqref>
        </x14:dataValidation>
        <x14:dataValidation type="list" allowBlank="1" showInputMessage="1" showErrorMessage="1" xr:uid="{093FC7B6-B3F4-4BA6-8A03-7594AE52E8C5}">
          <x14:formula1>
            <xm:f>CVSSv3!$C$11:$E$11</xm:f>
          </x14:formula1>
          <xm:sqref>H10 H22 H34 H46 H58 H70 H82 H94 H106 H118 H130 H142 H154 H166 H178 H190 H202 H214 H226 H238 H250 H262 H274 H286 H298 H310 H322 H334 H346 H358 H370 H382 H394 H406 H418 H430 H442 H454 H466 H478 H490 H502 H514 H526 H538 H550 H562 H574 H586 H598</xm:sqref>
        </x14:dataValidation>
        <x14:dataValidation type="list" allowBlank="1" showInputMessage="1" showErrorMessage="1" xr:uid="{4CC7A3F6-AE29-4554-9E10-1FC96A38437B}">
          <x14:formula1>
            <xm:f>CVSSv3!$C$12:$F$12</xm:f>
          </x14:formula1>
          <xm:sqref>H11 H23 H35 H47 H59 H71 H83 H95 H107 H119 H131 H143 H155 H167 H179 H191 H203 H215 H227 H239 H251 H263 H275 H287 H299 H311 H323 H335 H347 H359 H371 H383 H395 H407 H419 H431 H443 H455 H467 H479 H491 H503 H515 H527 H539 H551 H563 H575 H587 H599</xm:sqref>
        </x14:dataValidation>
        <x14:dataValidation type="list" allowBlank="1" showInputMessage="1" showErrorMessage="1" xr:uid="{63C56795-2FDA-424C-98ED-F9206E933B59}">
          <x14:formula1>
            <xm:f>CVSSv3!$C$13:$F$13</xm:f>
          </x14:formula1>
          <xm:sqref>H12 H24 H36 H48 H60 H72 H84 H96 H108 H120 H132 H144 H156 H168 H180 H192 H204 H216 H228 H240 H252 H264 H276 H288 H300 H312 H324 H336 H348 H360 H372 H384 H396 H408 H420 H432 H444 H456 H468 H480 H492 H504 H516 H528 H540 H552 H564 H576 H588 H600</xm:sqref>
        </x14:dataValidation>
        <x14:dataValidation type="list" allowBlank="1" showInputMessage="1" showErrorMessage="1" xr:uid="{8AFE4EFE-15E6-46E5-8475-28737B145746}">
          <x14:formula1>
            <xm:f>CVSSv3!$C$14:$E$14</xm:f>
          </x14:formula1>
          <xm:sqref>H13 H25 H37 H49 H61 H73 H85 H97 H109 H121 H133 H145 H157 H169 H181 H193 H205 H217 H229 H241 H253 H265 H277 H289 H301 H313 H325 H337 H349 H361 H373 H385 H397 H409 H421 H433 H445 H457 H469 H481 H493 H505 H517 H529 H541 H553 H565 H577 H589 H601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29"/>
  <sheetViews>
    <sheetView workbookViewId="0"/>
  </sheetViews>
  <sheetFormatPr defaultRowHeight="15.75" x14ac:dyDescent="0.25"/>
  <sheetData>
    <row r="1" spans="1:12" ht="22.5" x14ac:dyDescent="0.3">
      <c r="A1" s="20" t="s">
        <v>764</v>
      </c>
      <c r="B1" s="20"/>
      <c r="C1" s="20"/>
      <c r="D1" s="20"/>
      <c r="E1" s="20"/>
      <c r="F1" s="20"/>
      <c r="G1" s="20"/>
      <c r="H1" s="20"/>
      <c r="I1" s="20"/>
      <c r="J1" s="20"/>
      <c r="K1" s="20"/>
      <c r="L1" s="21"/>
    </row>
    <row r="2" spans="1:12" ht="38.25" x14ac:dyDescent="0.25">
      <c r="A2" s="18" t="s">
        <v>765</v>
      </c>
      <c r="B2" s="18" t="s">
        <v>2</v>
      </c>
      <c r="C2" s="19" t="s">
        <v>3</v>
      </c>
      <c r="D2" s="19" t="s">
        <v>766</v>
      </c>
      <c r="E2" s="19" t="s">
        <v>5</v>
      </c>
      <c r="F2" s="19" t="s">
        <v>6</v>
      </c>
      <c r="G2" s="19" t="s">
        <v>7</v>
      </c>
      <c r="H2" s="19" t="s">
        <v>8</v>
      </c>
      <c r="I2" s="19" t="s">
        <v>9</v>
      </c>
      <c r="J2" s="19" t="s">
        <v>767</v>
      </c>
      <c r="K2" s="19" t="s">
        <v>10</v>
      </c>
      <c r="L2" s="22"/>
    </row>
    <row r="3" spans="1:12" ht="178.5" x14ac:dyDescent="0.25">
      <c r="A3" s="23" t="s">
        <v>11</v>
      </c>
      <c r="B3" s="23" t="s">
        <v>768</v>
      </c>
      <c r="C3" s="24" t="s">
        <v>41</v>
      </c>
      <c r="D3" s="25" t="s">
        <v>95</v>
      </c>
      <c r="E3" s="25" t="s">
        <v>81</v>
      </c>
      <c r="F3" s="25" t="s">
        <v>55</v>
      </c>
      <c r="G3" s="26" t="s">
        <v>17</v>
      </c>
      <c r="H3" s="26" t="s">
        <v>17</v>
      </c>
      <c r="I3" s="26" t="s">
        <v>17</v>
      </c>
      <c r="J3" s="26" t="str">
        <f t="shared" ref="J3:J66" si="0">IF(G3="Sí", IF(H3="Sí", "DP", "SP"), IF(H3="Sí", "SD", "-"))</f>
        <v>-</v>
      </c>
      <c r="K3" s="22" t="str">
        <f t="shared" ref="K3:K34" ca="1" si="1">IF(IFERROR(L3,7)=7,"",RIGHT(L3,LEN(L3)-2)&amp;".")</f>
        <v>/A.</v>
      </c>
      <c r="L3" s="22" t="str">
        <f ca="1">IFERROR(__xludf.dummyfunction("CONCATENATE(ArrayFormula(""; ""&amp;QUERY(Hallazgos!A:F,""SELECT B WHERE E CONTAINS '""&amp;A3&amp;""' LABEL B ''"")))"),"#N/A")</f>
        <v>#N/A</v>
      </c>
    </row>
    <row r="4" spans="1:12" ht="102" x14ac:dyDescent="0.25">
      <c r="A4" s="23" t="s">
        <v>18</v>
      </c>
      <c r="B4" s="23" t="s">
        <v>769</v>
      </c>
      <c r="C4" s="24" t="s">
        <v>13</v>
      </c>
      <c r="D4" s="25" t="s">
        <v>14</v>
      </c>
      <c r="E4" s="25" t="s">
        <v>15</v>
      </c>
      <c r="F4" s="25" t="s">
        <v>16</v>
      </c>
      <c r="G4" s="26" t="s">
        <v>17</v>
      </c>
      <c r="H4" s="26" t="s">
        <v>17</v>
      </c>
      <c r="I4" s="26" t="s">
        <v>17</v>
      </c>
      <c r="J4" s="26" t="str">
        <f t="shared" si="0"/>
        <v>-</v>
      </c>
      <c r="K4" s="22" t="str">
        <f t="shared" ca="1" si="1"/>
        <v>/A.</v>
      </c>
      <c r="L4" s="22" t="str">
        <f ca="1">IFERROR(__xludf.dummyfunction("CONCATENATE(ArrayFormula(""; ""&amp;QUERY(Hallazgos!A:F,""SELECT B WHERE E CONTAINS '""&amp;A4&amp;""' LABEL B ''"")))"),"#N/A")</f>
        <v>#N/A</v>
      </c>
    </row>
    <row r="5" spans="1:12" ht="127.5" x14ac:dyDescent="0.25">
      <c r="A5" s="23" t="s">
        <v>20</v>
      </c>
      <c r="B5" s="23" t="s">
        <v>770</v>
      </c>
      <c r="C5" s="24" t="s">
        <v>13</v>
      </c>
      <c r="D5" s="25" t="s">
        <v>14</v>
      </c>
      <c r="E5" s="25" t="s">
        <v>15</v>
      </c>
      <c r="F5" s="25" t="s">
        <v>16</v>
      </c>
      <c r="G5" s="26" t="s">
        <v>17</v>
      </c>
      <c r="H5" s="26" t="s">
        <v>17</v>
      </c>
      <c r="I5" s="26" t="s">
        <v>17</v>
      </c>
      <c r="J5" s="26" t="str">
        <f t="shared" si="0"/>
        <v>-</v>
      </c>
      <c r="K5" s="22" t="str">
        <f t="shared" ca="1" si="1"/>
        <v>/A.</v>
      </c>
      <c r="L5" s="22" t="str">
        <f ca="1">IFERROR(__xludf.dummyfunction("CONCATENATE(ArrayFormula(""; ""&amp;QUERY(Hallazgos!A:F,""SELECT B WHERE E CONTAINS '""&amp;A5&amp;""' LABEL B ''"")))"),"#N/A")</f>
        <v>#N/A</v>
      </c>
    </row>
    <row r="6" spans="1:12" ht="114.75" x14ac:dyDescent="0.25">
      <c r="A6" s="23" t="s">
        <v>22</v>
      </c>
      <c r="B6" s="23" t="s">
        <v>25</v>
      </c>
      <c r="C6" s="24" t="s">
        <v>13</v>
      </c>
      <c r="D6" s="25" t="s">
        <v>14</v>
      </c>
      <c r="E6" s="25" t="s">
        <v>15</v>
      </c>
      <c r="F6" s="25" t="s">
        <v>16</v>
      </c>
      <c r="G6" s="26" t="s">
        <v>17</v>
      </c>
      <c r="H6" s="26" t="s">
        <v>17</v>
      </c>
      <c r="I6" s="26" t="s">
        <v>17</v>
      </c>
      <c r="J6" s="26" t="str">
        <f t="shared" si="0"/>
        <v>-</v>
      </c>
      <c r="K6" s="22" t="str">
        <f t="shared" ca="1" si="1"/>
        <v>/A.</v>
      </c>
      <c r="L6" s="22" t="str">
        <f ca="1">IFERROR(__xludf.dummyfunction("CONCATENATE(ArrayFormula(""; ""&amp;QUERY(Hallazgos!A:F,""SELECT B WHERE E CONTAINS '""&amp;A6&amp;""' LABEL B ''"")))"),"#N/A")</f>
        <v>#N/A</v>
      </c>
    </row>
    <row r="7" spans="1:12" ht="153" x14ac:dyDescent="0.25">
      <c r="A7" s="23" t="s">
        <v>24</v>
      </c>
      <c r="B7" s="23" t="s">
        <v>27</v>
      </c>
      <c r="C7" s="24" t="s">
        <v>13</v>
      </c>
      <c r="D7" s="25" t="s">
        <v>14</v>
      </c>
      <c r="E7" s="25" t="s">
        <v>15</v>
      </c>
      <c r="F7" s="25" t="s">
        <v>16</v>
      </c>
      <c r="G7" s="26" t="s">
        <v>17</v>
      </c>
      <c r="H7" s="26" t="s">
        <v>17</v>
      </c>
      <c r="I7" s="26" t="s">
        <v>17</v>
      </c>
      <c r="J7" s="26" t="str">
        <f t="shared" si="0"/>
        <v>-</v>
      </c>
      <c r="K7" s="22" t="str">
        <f t="shared" ca="1" si="1"/>
        <v>/A.</v>
      </c>
      <c r="L7" s="22" t="str">
        <f ca="1">IFERROR(__xludf.dummyfunction("CONCATENATE(ArrayFormula(""; ""&amp;QUERY(Hallazgos!A:F,""SELECT B WHERE E CONTAINS '""&amp;A7&amp;""' LABEL B ''"")))"),"#N/A")</f>
        <v>#N/A</v>
      </c>
    </row>
    <row r="8" spans="1:12" ht="216.75" x14ac:dyDescent="0.25">
      <c r="A8" s="23" t="s">
        <v>26</v>
      </c>
      <c r="B8" s="23" t="s">
        <v>771</v>
      </c>
      <c r="C8" s="24" t="s">
        <v>13</v>
      </c>
      <c r="D8" s="25" t="s">
        <v>14</v>
      </c>
      <c r="E8" s="25" t="s">
        <v>15</v>
      </c>
      <c r="F8" s="25" t="s">
        <v>16</v>
      </c>
      <c r="G8" s="26" t="s">
        <v>17</v>
      </c>
      <c r="H8" s="26" t="s">
        <v>17</v>
      </c>
      <c r="I8" s="26" t="s">
        <v>17</v>
      </c>
      <c r="J8" s="26" t="str">
        <f t="shared" si="0"/>
        <v>-</v>
      </c>
      <c r="K8" s="22" t="str">
        <f t="shared" ca="1" si="1"/>
        <v>/A.</v>
      </c>
      <c r="L8" s="22" t="str">
        <f ca="1">IFERROR(__xludf.dummyfunction("CONCATENATE(ArrayFormula(""; ""&amp;QUERY(Hallazgos!A:F,""SELECT B WHERE E CONTAINS '""&amp;A8&amp;""' LABEL B ''"")))"),"#N/A")</f>
        <v>#N/A</v>
      </c>
    </row>
    <row r="9" spans="1:12" ht="153" x14ac:dyDescent="0.25">
      <c r="A9" s="23" t="s">
        <v>28</v>
      </c>
      <c r="B9" s="23" t="s">
        <v>33</v>
      </c>
      <c r="C9" s="24" t="s">
        <v>13</v>
      </c>
      <c r="D9" s="25" t="s">
        <v>14</v>
      </c>
      <c r="E9" s="25" t="s">
        <v>15</v>
      </c>
      <c r="F9" s="25" t="s">
        <v>16</v>
      </c>
      <c r="G9" s="26" t="s">
        <v>17</v>
      </c>
      <c r="H9" s="26" t="s">
        <v>17</v>
      </c>
      <c r="I9" s="26" t="s">
        <v>17</v>
      </c>
      <c r="J9" s="26" t="str">
        <f t="shared" si="0"/>
        <v>-</v>
      </c>
      <c r="K9" s="22" t="str">
        <f t="shared" ca="1" si="1"/>
        <v>/A.</v>
      </c>
      <c r="L9" s="22" t="str">
        <f ca="1">IFERROR(__xludf.dummyfunction("CONCATENATE(ArrayFormula(""; ""&amp;QUERY(Hallazgos!A:F,""SELECT B WHERE E CONTAINS '""&amp;A9&amp;""' LABEL B ''"")))"),"#N/A")</f>
        <v>#N/A</v>
      </c>
    </row>
    <row r="10" spans="1:12" ht="127.5" x14ac:dyDescent="0.25">
      <c r="A10" s="23" t="s">
        <v>30</v>
      </c>
      <c r="B10" s="23" t="s">
        <v>35</v>
      </c>
      <c r="C10" s="24" t="s">
        <v>13</v>
      </c>
      <c r="D10" s="25" t="s">
        <v>14</v>
      </c>
      <c r="E10" s="25" t="s">
        <v>15</v>
      </c>
      <c r="F10" s="25" t="s">
        <v>16</v>
      </c>
      <c r="G10" s="26" t="s">
        <v>17</v>
      </c>
      <c r="H10" s="26" t="s">
        <v>17</v>
      </c>
      <c r="I10" s="26" t="s">
        <v>17</v>
      </c>
      <c r="J10" s="26" t="str">
        <f t="shared" si="0"/>
        <v>-</v>
      </c>
      <c r="K10" s="22" t="str">
        <f t="shared" ca="1" si="1"/>
        <v>/A.</v>
      </c>
      <c r="L10" s="22" t="str">
        <f ca="1">IFERROR(__xludf.dummyfunction("CONCATENATE(ArrayFormula(""; ""&amp;QUERY(Hallazgos!A:F,""SELECT B WHERE E CONTAINS '""&amp;A10&amp;""' LABEL B ''"")))"),"#N/A")</f>
        <v>#N/A</v>
      </c>
    </row>
    <row r="11" spans="1:12" ht="165.75" x14ac:dyDescent="0.25">
      <c r="A11" s="23" t="s">
        <v>32</v>
      </c>
      <c r="B11" s="23" t="s">
        <v>37</v>
      </c>
      <c r="C11" s="24" t="s">
        <v>38</v>
      </c>
      <c r="D11" s="25" t="s">
        <v>14</v>
      </c>
      <c r="E11" s="25" t="s">
        <v>15</v>
      </c>
      <c r="F11" s="25" t="s">
        <v>16</v>
      </c>
      <c r="G11" s="26" t="s">
        <v>17</v>
      </c>
      <c r="H11" s="26" t="s">
        <v>17</v>
      </c>
      <c r="I11" s="26" t="s">
        <v>17</v>
      </c>
      <c r="J11" s="26" t="str">
        <f t="shared" si="0"/>
        <v>-</v>
      </c>
      <c r="K11" s="22" t="str">
        <f t="shared" ca="1" si="1"/>
        <v>/A.</v>
      </c>
      <c r="L11" s="22" t="str">
        <f ca="1">IFERROR(__xludf.dummyfunction("CONCATENATE(ArrayFormula(""; ""&amp;QUERY(Hallazgos!A:F,""SELECT B WHERE E CONTAINS '""&amp;A11&amp;""' LABEL B ''"")))"),"#N/A")</f>
        <v>#N/A</v>
      </c>
    </row>
    <row r="12" spans="1:12" ht="191.25" x14ac:dyDescent="0.25">
      <c r="A12" s="23" t="s">
        <v>34</v>
      </c>
      <c r="B12" s="23" t="s">
        <v>772</v>
      </c>
      <c r="C12" s="24" t="s">
        <v>38</v>
      </c>
      <c r="D12" s="25" t="s">
        <v>773</v>
      </c>
      <c r="E12" s="25" t="s">
        <v>15</v>
      </c>
      <c r="F12" s="25" t="s">
        <v>16</v>
      </c>
      <c r="G12" s="26" t="s">
        <v>17</v>
      </c>
      <c r="H12" s="26" t="s">
        <v>17</v>
      </c>
      <c r="I12" s="26" t="s">
        <v>17</v>
      </c>
      <c r="J12" s="26" t="str">
        <f t="shared" si="0"/>
        <v>-</v>
      </c>
      <c r="K12" s="22" t="str">
        <f t="shared" ca="1" si="1"/>
        <v>/A.</v>
      </c>
      <c r="L12" s="22" t="str">
        <f ca="1">IFERROR(__xludf.dummyfunction("CONCATENATE(ArrayFormula(""; ""&amp;QUERY(Hallazgos!A:F,""SELECT B WHERE E CONTAINS '""&amp;A12&amp;""' LABEL B ''"")))"),"#N/A")</f>
        <v>#N/A</v>
      </c>
    </row>
    <row r="13" spans="1:12" ht="89.25" x14ac:dyDescent="0.25">
      <c r="A13" s="23" t="s">
        <v>36</v>
      </c>
      <c r="B13" s="23" t="s">
        <v>40</v>
      </c>
      <c r="C13" s="24" t="s">
        <v>41</v>
      </c>
      <c r="D13" s="25" t="s">
        <v>14</v>
      </c>
      <c r="E13" s="25" t="s">
        <v>15</v>
      </c>
      <c r="F13" s="25" t="s">
        <v>16</v>
      </c>
      <c r="G13" s="26" t="s">
        <v>17</v>
      </c>
      <c r="H13" s="26" t="s">
        <v>17</v>
      </c>
      <c r="I13" s="26" t="s">
        <v>17</v>
      </c>
      <c r="J13" s="26" t="str">
        <f t="shared" si="0"/>
        <v>-</v>
      </c>
      <c r="K13" s="22" t="str">
        <f t="shared" ca="1" si="1"/>
        <v>/A.</v>
      </c>
      <c r="L13" s="22" t="str">
        <f ca="1">IFERROR(__xludf.dummyfunction("CONCATENATE(ArrayFormula(""; ""&amp;QUERY(Hallazgos!A:F,""SELECT B WHERE E CONTAINS '""&amp;A13&amp;""' LABEL B ''"")))"),"#N/A")</f>
        <v>#N/A</v>
      </c>
    </row>
    <row r="14" spans="1:12" ht="114.75" x14ac:dyDescent="0.25">
      <c r="A14" s="23" t="s">
        <v>39</v>
      </c>
      <c r="B14" s="23" t="s">
        <v>774</v>
      </c>
      <c r="C14" s="24" t="s">
        <v>41</v>
      </c>
      <c r="D14" s="25" t="s">
        <v>103</v>
      </c>
      <c r="E14" s="25" t="s">
        <v>81</v>
      </c>
      <c r="F14" s="25" t="s">
        <v>104</v>
      </c>
      <c r="G14" s="26" t="s">
        <v>17</v>
      </c>
      <c r="H14" s="26" t="s">
        <v>17</v>
      </c>
      <c r="I14" s="26" t="s">
        <v>17</v>
      </c>
      <c r="J14" s="26" t="str">
        <f t="shared" si="0"/>
        <v>-</v>
      </c>
      <c r="K14" s="22" t="str">
        <f t="shared" ca="1" si="1"/>
        <v>/A.</v>
      </c>
      <c r="L14" s="22" t="str">
        <f ca="1">IFERROR(__xludf.dummyfunction("CONCATENATE(ArrayFormula(""; ""&amp;QUERY(Hallazgos!A:F,""SELECT B WHERE E CONTAINS '""&amp;A14&amp;""' LABEL B ''"")))"),"#N/A")</f>
        <v>#N/A</v>
      </c>
    </row>
    <row r="15" spans="1:12" ht="114.75" x14ac:dyDescent="0.25">
      <c r="A15" s="23" t="s">
        <v>42</v>
      </c>
      <c r="B15" s="23" t="s">
        <v>775</v>
      </c>
      <c r="C15" s="24" t="s">
        <v>41</v>
      </c>
      <c r="D15" s="25" t="s">
        <v>103</v>
      </c>
      <c r="E15" s="25" t="s">
        <v>81</v>
      </c>
      <c r="F15" s="25" t="s">
        <v>73</v>
      </c>
      <c r="G15" s="26" t="s">
        <v>17</v>
      </c>
      <c r="H15" s="26" t="s">
        <v>17</v>
      </c>
      <c r="I15" s="26" t="s">
        <v>17</v>
      </c>
      <c r="J15" s="26" t="str">
        <f t="shared" si="0"/>
        <v>-</v>
      </c>
      <c r="K15" s="22" t="str">
        <f t="shared" ca="1" si="1"/>
        <v>/A.</v>
      </c>
      <c r="L15" s="22" t="str">
        <f ca="1">IFERROR(__xludf.dummyfunction("CONCATENATE(ArrayFormula(""; ""&amp;QUERY(Hallazgos!A:F,""SELECT B WHERE E CONTAINS '""&amp;A15&amp;""' LABEL B ''"")))"),"#N/A")</f>
        <v>#N/A</v>
      </c>
    </row>
    <row r="16" spans="1:12" ht="114.75" x14ac:dyDescent="0.25">
      <c r="A16" s="23" t="s">
        <v>45</v>
      </c>
      <c r="B16" s="23" t="s">
        <v>108</v>
      </c>
      <c r="C16" s="24" t="s">
        <v>41</v>
      </c>
      <c r="D16" s="25" t="s">
        <v>103</v>
      </c>
      <c r="E16" s="25" t="s">
        <v>76</v>
      </c>
      <c r="F16" s="25" t="s">
        <v>55</v>
      </c>
      <c r="G16" s="26" t="s">
        <v>17</v>
      </c>
      <c r="H16" s="26" t="s">
        <v>17</v>
      </c>
      <c r="I16" s="26" t="s">
        <v>17</v>
      </c>
      <c r="J16" s="26" t="str">
        <f t="shared" si="0"/>
        <v>-</v>
      </c>
      <c r="K16" s="22" t="str">
        <f t="shared" ca="1" si="1"/>
        <v>/A.</v>
      </c>
      <c r="L16" s="22" t="str">
        <f ca="1">IFERROR(__xludf.dummyfunction("CONCATENATE(ArrayFormula(""; ""&amp;QUERY(Hallazgos!A:F,""SELECT B WHERE E CONTAINS '""&amp;A16&amp;""' LABEL B ''"")))"),"#N/A")</f>
        <v>#N/A</v>
      </c>
    </row>
    <row r="17" spans="1:12" ht="178.5" x14ac:dyDescent="0.25">
      <c r="A17" s="23" t="s">
        <v>47</v>
      </c>
      <c r="B17" s="23" t="s">
        <v>776</v>
      </c>
      <c r="C17" s="24" t="s">
        <v>41</v>
      </c>
      <c r="D17" s="25" t="s">
        <v>506</v>
      </c>
      <c r="E17" s="25" t="s">
        <v>81</v>
      </c>
      <c r="F17" s="25" t="s">
        <v>55</v>
      </c>
      <c r="G17" s="26" t="s">
        <v>17</v>
      </c>
      <c r="H17" s="26" t="s">
        <v>17</v>
      </c>
      <c r="I17" s="26" t="s">
        <v>17</v>
      </c>
      <c r="J17" s="26" t="str">
        <f t="shared" si="0"/>
        <v>-</v>
      </c>
      <c r="K17" s="22" t="str">
        <f t="shared" ca="1" si="1"/>
        <v>/A.</v>
      </c>
      <c r="L17" s="22" t="str">
        <f ca="1">IFERROR(__xludf.dummyfunction("CONCATENATE(ArrayFormula(""; ""&amp;QUERY(Hallazgos!A:F,""SELECT B WHERE E CONTAINS '""&amp;A17&amp;""' LABEL B ''"")))"),"#N/A")</f>
        <v>#N/A</v>
      </c>
    </row>
    <row r="18" spans="1:12" ht="127.5" x14ac:dyDescent="0.25">
      <c r="A18" s="23" t="s">
        <v>50</v>
      </c>
      <c r="B18" s="23" t="s">
        <v>113</v>
      </c>
      <c r="C18" s="24" t="s">
        <v>41</v>
      </c>
      <c r="D18" s="25" t="s">
        <v>103</v>
      </c>
      <c r="E18" s="25" t="s">
        <v>76</v>
      </c>
      <c r="F18" s="25" t="s">
        <v>55</v>
      </c>
      <c r="G18" s="26" t="s">
        <v>17</v>
      </c>
      <c r="H18" s="26" t="s">
        <v>17</v>
      </c>
      <c r="I18" s="26" t="s">
        <v>17</v>
      </c>
      <c r="J18" s="26" t="str">
        <f t="shared" si="0"/>
        <v>-</v>
      </c>
      <c r="K18" s="22" t="str">
        <f t="shared" ca="1" si="1"/>
        <v>/A.</v>
      </c>
      <c r="L18" s="22" t="str">
        <f ca="1">IFERROR(__xludf.dummyfunction("CONCATENATE(ArrayFormula(""; ""&amp;QUERY(Hallazgos!A:F,""SELECT B WHERE E CONTAINS '""&amp;A18&amp;""' LABEL B ''"")))"),"#N/A")</f>
        <v>#N/A</v>
      </c>
    </row>
    <row r="19" spans="1:12" ht="178.5" x14ac:dyDescent="0.25">
      <c r="A19" s="23" t="s">
        <v>52</v>
      </c>
      <c r="B19" s="23" t="s">
        <v>115</v>
      </c>
      <c r="C19" s="24" t="s">
        <v>41</v>
      </c>
      <c r="D19" s="25" t="s">
        <v>103</v>
      </c>
      <c r="E19" s="25" t="s">
        <v>116</v>
      </c>
      <c r="F19" s="25" t="s">
        <v>55</v>
      </c>
      <c r="G19" s="26" t="s">
        <v>17</v>
      </c>
      <c r="H19" s="26" t="s">
        <v>17</v>
      </c>
      <c r="I19" s="26" t="s">
        <v>17</v>
      </c>
      <c r="J19" s="26" t="str">
        <f t="shared" si="0"/>
        <v>-</v>
      </c>
      <c r="K19" s="22" t="str">
        <f t="shared" ca="1" si="1"/>
        <v>/A.</v>
      </c>
      <c r="L19" s="22" t="str">
        <f ca="1">IFERROR(__xludf.dummyfunction("CONCATENATE(ArrayFormula(""; ""&amp;QUERY(Hallazgos!A:F,""SELECT B WHERE E CONTAINS '""&amp;A19&amp;""' LABEL B ''"")))"),"#N/A")</f>
        <v>#N/A</v>
      </c>
    </row>
    <row r="20" spans="1:12" ht="165.75" x14ac:dyDescent="0.25">
      <c r="A20" s="23" t="s">
        <v>56</v>
      </c>
      <c r="B20" s="23" t="s">
        <v>777</v>
      </c>
      <c r="C20" s="24" t="s">
        <v>41</v>
      </c>
      <c r="D20" s="25" t="s">
        <v>103</v>
      </c>
      <c r="E20" s="25" t="s">
        <v>76</v>
      </c>
      <c r="F20" s="25" t="s">
        <v>55</v>
      </c>
      <c r="G20" s="26" t="s">
        <v>17</v>
      </c>
      <c r="H20" s="26" t="s">
        <v>17</v>
      </c>
      <c r="I20" s="26" t="s">
        <v>17</v>
      </c>
      <c r="J20" s="26" t="str">
        <f t="shared" si="0"/>
        <v>-</v>
      </c>
      <c r="K20" s="22" t="str">
        <f t="shared" ca="1" si="1"/>
        <v>/A.</v>
      </c>
      <c r="L20" s="22" t="str">
        <f ca="1">IFERROR(__xludf.dummyfunction("CONCATENATE(ArrayFormula(""; ""&amp;QUERY(Hallazgos!A:F,""SELECT B WHERE E CONTAINS '""&amp;A20&amp;""' LABEL B ''"")))"),"#N/A")</f>
        <v>#N/A</v>
      </c>
    </row>
    <row r="21" spans="1:12" ht="89.25" x14ac:dyDescent="0.25">
      <c r="A21" s="23" t="s">
        <v>59</v>
      </c>
      <c r="B21" s="23" t="s">
        <v>351</v>
      </c>
      <c r="C21" s="24" t="s">
        <v>41</v>
      </c>
      <c r="D21" s="25" t="s">
        <v>352</v>
      </c>
      <c r="E21" s="25" t="s">
        <v>181</v>
      </c>
      <c r="F21" s="25" t="s">
        <v>73</v>
      </c>
      <c r="G21" s="26" t="s">
        <v>17</v>
      </c>
      <c r="H21" s="26" t="s">
        <v>17</v>
      </c>
      <c r="I21" s="26" t="s">
        <v>17</v>
      </c>
      <c r="J21" s="26" t="str">
        <f t="shared" si="0"/>
        <v>-</v>
      </c>
      <c r="K21" s="22" t="str">
        <f t="shared" ca="1" si="1"/>
        <v>/A.</v>
      </c>
      <c r="L21" s="22" t="str">
        <f ca="1">IFERROR(__xludf.dummyfunction("CONCATENATE(ArrayFormula(""; ""&amp;QUERY(Hallazgos!A:F,""SELECT B WHERE E CONTAINS '""&amp;A21&amp;""' LABEL B ''"")))"),"#N/A")</f>
        <v>#N/A</v>
      </c>
    </row>
    <row r="22" spans="1:12" ht="267.75" x14ac:dyDescent="0.25">
      <c r="A22" s="23" t="s">
        <v>65</v>
      </c>
      <c r="B22" s="23" t="s">
        <v>778</v>
      </c>
      <c r="C22" s="24" t="s">
        <v>41</v>
      </c>
      <c r="D22" s="25" t="s">
        <v>506</v>
      </c>
      <c r="E22" s="25" t="s">
        <v>81</v>
      </c>
      <c r="F22" s="25" t="s">
        <v>55</v>
      </c>
      <c r="G22" s="26" t="s">
        <v>17</v>
      </c>
      <c r="H22" s="26" t="s">
        <v>17</v>
      </c>
      <c r="I22" s="26" t="s">
        <v>17</v>
      </c>
      <c r="J22" s="26" t="str">
        <f t="shared" si="0"/>
        <v>-</v>
      </c>
      <c r="K22" s="22" t="str">
        <f t="shared" ca="1" si="1"/>
        <v>/A.</v>
      </c>
      <c r="L22" s="22" t="str">
        <f ca="1">IFERROR(__xludf.dummyfunction("CONCATENATE(ArrayFormula(""; ""&amp;QUERY(Hallazgos!A:F,""SELECT B WHERE E CONTAINS '""&amp;A22&amp;""' LABEL B ''"")))"),"#N/A")</f>
        <v>#N/A</v>
      </c>
    </row>
    <row r="23" spans="1:12" ht="165.75" x14ac:dyDescent="0.25">
      <c r="A23" s="23" t="s">
        <v>67</v>
      </c>
      <c r="B23" s="23" t="s">
        <v>505</v>
      </c>
      <c r="C23" s="24" t="s">
        <v>41</v>
      </c>
      <c r="D23" s="25" t="s">
        <v>506</v>
      </c>
      <c r="E23" s="25" t="s">
        <v>81</v>
      </c>
      <c r="F23" s="25" t="s">
        <v>55</v>
      </c>
      <c r="G23" s="26" t="s">
        <v>17</v>
      </c>
      <c r="H23" s="26" t="s">
        <v>17</v>
      </c>
      <c r="I23" s="26" t="s">
        <v>17</v>
      </c>
      <c r="J23" s="26" t="str">
        <f t="shared" si="0"/>
        <v>-</v>
      </c>
      <c r="K23" s="22" t="str">
        <f t="shared" ca="1" si="1"/>
        <v>/A.</v>
      </c>
      <c r="L23" s="22" t="str">
        <f ca="1">IFERROR(__xludf.dummyfunction("CONCATENATE(ArrayFormula(""; ""&amp;QUERY(Hallazgos!A:F,""SELECT B WHERE E CONTAINS '""&amp;A23&amp;""' LABEL B ''"")))"),"#N/A")</f>
        <v>#N/A</v>
      </c>
    </row>
    <row r="24" spans="1:12" ht="140.25" x14ac:dyDescent="0.25">
      <c r="A24" s="23" t="s">
        <v>70</v>
      </c>
      <c r="B24" s="23" t="s">
        <v>779</v>
      </c>
      <c r="C24" s="24" t="s">
        <v>41</v>
      </c>
      <c r="D24" s="25" t="s">
        <v>506</v>
      </c>
      <c r="E24" s="25" t="s">
        <v>111</v>
      </c>
      <c r="F24" s="25" t="s">
        <v>55</v>
      </c>
      <c r="G24" s="26" t="s">
        <v>17</v>
      </c>
      <c r="H24" s="26" t="s">
        <v>17</v>
      </c>
      <c r="I24" s="26" t="s">
        <v>17</v>
      </c>
      <c r="J24" s="26" t="str">
        <f t="shared" si="0"/>
        <v>-</v>
      </c>
      <c r="K24" s="22" t="str">
        <f t="shared" ca="1" si="1"/>
        <v>/A.</v>
      </c>
      <c r="L24" s="22" t="str">
        <f ca="1">IFERROR(__xludf.dummyfunction("CONCATENATE(ArrayFormula(""; ""&amp;QUERY(Hallazgos!A:F,""SELECT B WHERE E CONTAINS '""&amp;A24&amp;""' LABEL B ''"")))"),"#N/A")</f>
        <v>#N/A</v>
      </c>
    </row>
    <row r="25" spans="1:12" ht="216.75" x14ac:dyDescent="0.25">
      <c r="A25" s="23" t="s">
        <v>74</v>
      </c>
      <c r="B25" s="23" t="s">
        <v>780</v>
      </c>
      <c r="C25" s="24" t="s">
        <v>41</v>
      </c>
      <c r="D25" s="25" t="s">
        <v>506</v>
      </c>
      <c r="E25" s="25" t="s">
        <v>54</v>
      </c>
      <c r="F25" s="25" t="s">
        <v>55</v>
      </c>
      <c r="G25" s="26" t="s">
        <v>17</v>
      </c>
      <c r="H25" s="26" t="s">
        <v>17</v>
      </c>
      <c r="I25" s="26" t="s">
        <v>17</v>
      </c>
      <c r="J25" s="26" t="str">
        <f t="shared" si="0"/>
        <v>-</v>
      </c>
      <c r="K25" s="22" t="str">
        <f t="shared" ca="1" si="1"/>
        <v>/A.</v>
      </c>
      <c r="L25" s="22" t="str">
        <f ca="1">IFERROR(__xludf.dummyfunction("CONCATENATE(ArrayFormula(""; ""&amp;QUERY(Hallazgos!A:F,""SELECT B WHERE E CONTAINS '""&amp;A25&amp;""' LABEL B ''"")))"),"#N/A")</f>
        <v>#N/A</v>
      </c>
    </row>
    <row r="26" spans="1:12" ht="178.5" x14ac:dyDescent="0.25">
      <c r="A26" s="23" t="s">
        <v>77</v>
      </c>
      <c r="B26" s="23" t="s">
        <v>512</v>
      </c>
      <c r="C26" s="24" t="s">
        <v>41</v>
      </c>
      <c r="D26" s="25" t="s">
        <v>506</v>
      </c>
      <c r="E26" s="25" t="s">
        <v>72</v>
      </c>
      <c r="F26" s="25" t="s">
        <v>55</v>
      </c>
      <c r="G26" s="26" t="s">
        <v>17</v>
      </c>
      <c r="H26" s="26" t="s">
        <v>17</v>
      </c>
      <c r="I26" s="26" t="s">
        <v>17</v>
      </c>
      <c r="J26" s="26" t="str">
        <f t="shared" si="0"/>
        <v>-</v>
      </c>
      <c r="K26" s="22" t="str">
        <f t="shared" ca="1" si="1"/>
        <v>/A.</v>
      </c>
      <c r="L26" s="22" t="str">
        <f ca="1">IFERROR(__xludf.dummyfunction("CONCATENATE(ArrayFormula(""; ""&amp;QUERY(Hallazgos!A:F,""SELECT B WHERE E CONTAINS '""&amp;A26&amp;""' LABEL B ''"")))"),"#N/A")</f>
        <v>#N/A</v>
      </c>
    </row>
    <row r="27" spans="1:12" ht="178.5" x14ac:dyDescent="0.25">
      <c r="A27" s="23" t="s">
        <v>79</v>
      </c>
      <c r="B27" s="23" t="s">
        <v>781</v>
      </c>
      <c r="C27" s="24" t="s">
        <v>41</v>
      </c>
      <c r="D27" s="25" t="s">
        <v>506</v>
      </c>
      <c r="E27" s="25" t="s">
        <v>88</v>
      </c>
      <c r="F27" s="25" t="s">
        <v>55</v>
      </c>
      <c r="G27" s="26" t="s">
        <v>17</v>
      </c>
      <c r="H27" s="26" t="s">
        <v>17</v>
      </c>
      <c r="I27" s="26" t="s">
        <v>17</v>
      </c>
      <c r="J27" s="26" t="str">
        <f t="shared" si="0"/>
        <v>-</v>
      </c>
      <c r="K27" s="22" t="str">
        <f t="shared" ca="1" si="1"/>
        <v>/A.</v>
      </c>
      <c r="L27" s="22" t="str">
        <f ca="1">IFERROR(__xludf.dummyfunction("CONCATENATE(ArrayFormula(""; ""&amp;QUERY(Hallazgos!A:F,""SELECT B WHERE E CONTAINS '""&amp;A27&amp;""' LABEL B ''"")))"),"#N/A")</f>
        <v>#N/A</v>
      </c>
    </row>
    <row r="28" spans="1:12" ht="178.5" x14ac:dyDescent="0.25">
      <c r="A28" s="23" t="s">
        <v>82</v>
      </c>
      <c r="B28" s="23" t="s">
        <v>782</v>
      </c>
      <c r="C28" s="24" t="s">
        <v>41</v>
      </c>
      <c r="D28" s="25" t="s">
        <v>506</v>
      </c>
      <c r="E28" s="25" t="s">
        <v>88</v>
      </c>
      <c r="F28" s="25" t="s">
        <v>55</v>
      </c>
      <c r="G28" s="26" t="s">
        <v>17</v>
      </c>
      <c r="H28" s="26" t="s">
        <v>17</v>
      </c>
      <c r="I28" s="26" t="s">
        <v>17</v>
      </c>
      <c r="J28" s="26" t="str">
        <f t="shared" si="0"/>
        <v>-</v>
      </c>
      <c r="K28" s="22" t="str">
        <f t="shared" ca="1" si="1"/>
        <v>/A.</v>
      </c>
      <c r="L28" s="22" t="str">
        <f ca="1">IFERROR(__xludf.dummyfunction("CONCATENATE(ArrayFormula(""; ""&amp;QUERY(Hallazgos!A:F,""SELECT B WHERE E CONTAINS '""&amp;A28&amp;""' LABEL B ''"")))"),"#N/A")</f>
        <v>#N/A</v>
      </c>
    </row>
    <row r="29" spans="1:12" ht="216.75" x14ac:dyDescent="0.25">
      <c r="A29" s="23" t="s">
        <v>84</v>
      </c>
      <c r="B29" s="23" t="s">
        <v>518</v>
      </c>
      <c r="C29" s="24" t="s">
        <v>41</v>
      </c>
      <c r="D29" s="25" t="s">
        <v>506</v>
      </c>
      <c r="E29" s="25" t="s">
        <v>88</v>
      </c>
      <c r="F29" s="25" t="s">
        <v>55</v>
      </c>
      <c r="G29" s="26" t="s">
        <v>17</v>
      </c>
      <c r="H29" s="26" t="s">
        <v>17</v>
      </c>
      <c r="I29" s="26" t="s">
        <v>17</v>
      </c>
      <c r="J29" s="26" t="str">
        <f t="shared" si="0"/>
        <v>-</v>
      </c>
      <c r="K29" s="22" t="str">
        <f t="shared" ca="1" si="1"/>
        <v>/A.</v>
      </c>
      <c r="L29" s="22" t="str">
        <f ca="1">IFERROR(__xludf.dummyfunction("CONCATENATE(ArrayFormula(""; ""&amp;QUERY(Hallazgos!A:F,""SELECT B WHERE E CONTAINS '""&amp;A29&amp;""' LABEL B ''"")))"),"#N/A")</f>
        <v>#N/A</v>
      </c>
    </row>
    <row r="30" spans="1:12" ht="204" x14ac:dyDescent="0.25">
      <c r="A30" s="23" t="s">
        <v>86</v>
      </c>
      <c r="B30" s="23" t="s">
        <v>520</v>
      </c>
      <c r="C30" s="24" t="s">
        <v>41</v>
      </c>
      <c r="D30" s="25" t="s">
        <v>506</v>
      </c>
      <c r="E30" s="25" t="s">
        <v>88</v>
      </c>
      <c r="F30" s="25" t="s">
        <v>55</v>
      </c>
      <c r="G30" s="26" t="s">
        <v>17</v>
      </c>
      <c r="H30" s="26" t="s">
        <v>17</v>
      </c>
      <c r="I30" s="26" t="s">
        <v>17</v>
      </c>
      <c r="J30" s="26" t="str">
        <f t="shared" si="0"/>
        <v>-</v>
      </c>
      <c r="K30" s="22" t="str">
        <f t="shared" ca="1" si="1"/>
        <v>/A.</v>
      </c>
      <c r="L30" s="22" t="str">
        <f ca="1">IFERROR(__xludf.dummyfunction("CONCATENATE(ArrayFormula(""; ""&amp;QUERY(Hallazgos!A:F,""SELECT B WHERE E CONTAINS '""&amp;A30&amp;""' LABEL B ''"")))"),"#N/A")</f>
        <v>#N/A</v>
      </c>
    </row>
    <row r="31" spans="1:12" ht="191.25" x14ac:dyDescent="0.25">
      <c r="A31" s="23" t="s">
        <v>89</v>
      </c>
      <c r="B31" s="23" t="s">
        <v>216</v>
      </c>
      <c r="C31" s="24" t="s">
        <v>41</v>
      </c>
      <c r="D31" s="25" t="s">
        <v>217</v>
      </c>
      <c r="E31" s="25" t="s">
        <v>88</v>
      </c>
      <c r="F31" s="25" t="s">
        <v>55</v>
      </c>
      <c r="G31" s="26" t="s">
        <v>17</v>
      </c>
      <c r="H31" s="26" t="s">
        <v>17</v>
      </c>
      <c r="I31" s="26" t="s">
        <v>17</v>
      </c>
      <c r="J31" s="26" t="str">
        <f t="shared" si="0"/>
        <v>-</v>
      </c>
      <c r="K31" s="22" t="str">
        <f t="shared" ca="1" si="1"/>
        <v>/A.</v>
      </c>
      <c r="L31" s="22" t="str">
        <f ca="1">IFERROR(__xludf.dummyfunction("CONCATENATE(ArrayFormula(""; ""&amp;QUERY(Hallazgos!A:F,""SELECT B WHERE E CONTAINS '""&amp;A31&amp;""' LABEL B ''"")))"),"#N/A")</f>
        <v>#N/A</v>
      </c>
    </row>
    <row r="32" spans="1:12" ht="127.5" x14ac:dyDescent="0.25">
      <c r="A32" s="23" t="s">
        <v>91</v>
      </c>
      <c r="B32" s="23" t="s">
        <v>783</v>
      </c>
      <c r="C32" s="24" t="s">
        <v>41</v>
      </c>
      <c r="D32" s="25" t="s">
        <v>784</v>
      </c>
      <c r="E32" s="25" t="s">
        <v>111</v>
      </c>
      <c r="F32" s="25" t="s">
        <v>55</v>
      </c>
      <c r="G32" s="26" t="s">
        <v>17</v>
      </c>
      <c r="H32" s="26" t="s">
        <v>17</v>
      </c>
      <c r="I32" s="26" t="s">
        <v>17</v>
      </c>
      <c r="J32" s="26" t="str">
        <f t="shared" si="0"/>
        <v>-</v>
      </c>
      <c r="K32" s="22" t="str">
        <f t="shared" ca="1" si="1"/>
        <v>/A.</v>
      </c>
      <c r="L32" s="22" t="str">
        <f ca="1">IFERROR(__xludf.dummyfunction("CONCATENATE(ArrayFormula(""; ""&amp;QUERY(Hallazgos!A:F,""SELECT B WHERE E CONTAINS '""&amp;A32&amp;""' LABEL B ''"")))"),"#N/A")</f>
        <v>#N/A</v>
      </c>
    </row>
    <row r="33" spans="1:12" ht="178.5" x14ac:dyDescent="0.25">
      <c r="A33" s="23" t="s">
        <v>96</v>
      </c>
      <c r="B33" s="23" t="s">
        <v>785</v>
      </c>
      <c r="C33" s="24" t="s">
        <v>41</v>
      </c>
      <c r="D33" s="25" t="s">
        <v>506</v>
      </c>
      <c r="E33" s="25" t="s">
        <v>81</v>
      </c>
      <c r="F33" s="25" t="s">
        <v>55</v>
      </c>
      <c r="G33" s="26" t="s">
        <v>17</v>
      </c>
      <c r="H33" s="26" t="s">
        <v>17</v>
      </c>
      <c r="I33" s="26" t="s">
        <v>17</v>
      </c>
      <c r="J33" s="26" t="str">
        <f t="shared" si="0"/>
        <v>-</v>
      </c>
      <c r="K33" s="22" t="str">
        <f t="shared" ca="1" si="1"/>
        <v>/A.</v>
      </c>
      <c r="L33" s="22" t="str">
        <f ca="1">IFERROR(__xludf.dummyfunction("CONCATENATE(ArrayFormula(""; ""&amp;QUERY(Hallazgos!A:F,""SELECT B WHERE E CONTAINS '""&amp;A33&amp;""' LABEL B ''"")))"),"#N/A")</f>
        <v>#N/A</v>
      </c>
    </row>
    <row r="34" spans="1:12" ht="153" x14ac:dyDescent="0.25">
      <c r="A34" s="27" t="s">
        <v>99</v>
      </c>
      <c r="B34" s="27" t="s">
        <v>786</v>
      </c>
      <c r="C34" s="24" t="s">
        <v>41</v>
      </c>
      <c r="D34" s="25" t="s">
        <v>506</v>
      </c>
      <c r="E34" s="25" t="s">
        <v>88</v>
      </c>
      <c r="F34" s="25" t="s">
        <v>55</v>
      </c>
      <c r="G34" s="26" t="s">
        <v>17</v>
      </c>
      <c r="H34" s="26" t="s">
        <v>17</v>
      </c>
      <c r="I34" s="26" t="s">
        <v>17</v>
      </c>
      <c r="J34" s="26" t="str">
        <f t="shared" si="0"/>
        <v>-</v>
      </c>
      <c r="K34" s="22" t="str">
        <f t="shared" ca="1" si="1"/>
        <v>/A.</v>
      </c>
      <c r="L34" s="22" t="str">
        <f ca="1">IFERROR(__xludf.dummyfunction("CONCATENATE(ArrayFormula(""; ""&amp;QUERY(Hallazgos!A:F,""SELECT B WHERE E CONTAINS '""&amp;A34&amp;""' LABEL B ''"")))"),"#N/A")</f>
        <v>#N/A</v>
      </c>
    </row>
    <row r="35" spans="1:12" ht="127.5" x14ac:dyDescent="0.25">
      <c r="A35" s="23" t="s">
        <v>105</v>
      </c>
      <c r="B35" s="23" t="s">
        <v>528</v>
      </c>
      <c r="C35" s="24" t="s">
        <v>41</v>
      </c>
      <c r="D35" s="25" t="s">
        <v>506</v>
      </c>
      <c r="E35" s="25" t="s">
        <v>81</v>
      </c>
      <c r="F35" s="25" t="s">
        <v>55</v>
      </c>
      <c r="G35" s="26" t="s">
        <v>17</v>
      </c>
      <c r="H35" s="26" t="s">
        <v>17</v>
      </c>
      <c r="I35" s="26" t="s">
        <v>17</v>
      </c>
      <c r="J35" s="26" t="str">
        <f t="shared" si="0"/>
        <v>-</v>
      </c>
      <c r="K35" s="22" t="str">
        <f t="shared" ref="K35:K66" ca="1" si="2">IF(IFERROR(L35,7)=7,"",RIGHT(L35,LEN(L35)-2)&amp;".")</f>
        <v>/A.</v>
      </c>
      <c r="L35" s="22" t="str">
        <f ca="1">IFERROR(__xludf.dummyfunction("CONCATENATE(ArrayFormula(""; ""&amp;QUERY(Hallazgos!A:F,""SELECT B WHERE E CONTAINS '""&amp;A35&amp;""' LABEL B ''"")))"),"#N/A")</f>
        <v>#N/A</v>
      </c>
    </row>
    <row r="36" spans="1:12" ht="178.5" x14ac:dyDescent="0.25">
      <c r="A36" s="23" t="s">
        <v>107</v>
      </c>
      <c r="B36" s="23" t="s">
        <v>787</v>
      </c>
      <c r="C36" s="24" t="s">
        <v>41</v>
      </c>
      <c r="D36" s="25" t="s">
        <v>506</v>
      </c>
      <c r="E36" s="25" t="s">
        <v>54</v>
      </c>
      <c r="F36" s="25" t="s">
        <v>55</v>
      </c>
      <c r="G36" s="26" t="s">
        <v>17</v>
      </c>
      <c r="H36" s="26" t="s">
        <v>17</v>
      </c>
      <c r="I36" s="26" t="s">
        <v>17</v>
      </c>
      <c r="J36" s="26" t="str">
        <f t="shared" si="0"/>
        <v>-</v>
      </c>
      <c r="K36" s="22" t="str">
        <f t="shared" ca="1" si="2"/>
        <v>/A.</v>
      </c>
      <c r="L36" s="22" t="str">
        <f ca="1">IFERROR(__xludf.dummyfunction("CONCATENATE(ArrayFormula(""; ""&amp;QUERY(Hallazgos!A:F,""SELECT B WHERE E CONTAINS '""&amp;A36&amp;""' LABEL B ''"")))"),"#N/A")</f>
        <v>#N/A</v>
      </c>
    </row>
    <row r="37" spans="1:12" ht="165.75" x14ac:dyDescent="0.25">
      <c r="A37" s="23" t="s">
        <v>109</v>
      </c>
      <c r="B37" s="23" t="s">
        <v>788</v>
      </c>
      <c r="C37" s="24" t="s">
        <v>41</v>
      </c>
      <c r="D37" s="25" t="s">
        <v>95</v>
      </c>
      <c r="E37" s="25" t="s">
        <v>98</v>
      </c>
      <c r="F37" s="25" t="s">
        <v>55</v>
      </c>
      <c r="G37" s="26" t="s">
        <v>17</v>
      </c>
      <c r="H37" s="26" t="s">
        <v>17</v>
      </c>
      <c r="I37" s="26" t="s">
        <v>17</v>
      </c>
      <c r="J37" s="26" t="str">
        <f t="shared" si="0"/>
        <v>-</v>
      </c>
      <c r="K37" s="22" t="str">
        <f t="shared" ca="1" si="2"/>
        <v>/A.</v>
      </c>
      <c r="L37" s="22" t="str">
        <f ca="1">IFERROR(__xludf.dummyfunction("CONCATENATE(ArrayFormula(""; ""&amp;QUERY(Hallazgos!A:F,""SELECT B WHERE E CONTAINS '""&amp;A37&amp;""' LABEL B ''"")))"),"#N/A")</f>
        <v>#N/A</v>
      </c>
    </row>
    <row r="38" spans="1:12" ht="191.25" x14ac:dyDescent="0.25">
      <c r="A38" s="23" t="s">
        <v>112</v>
      </c>
      <c r="B38" s="23" t="s">
        <v>789</v>
      </c>
      <c r="C38" s="24" t="s">
        <v>41</v>
      </c>
      <c r="D38" s="25" t="s">
        <v>790</v>
      </c>
      <c r="E38" s="25" t="s">
        <v>98</v>
      </c>
      <c r="F38" s="25" t="s">
        <v>55</v>
      </c>
      <c r="G38" s="26" t="s">
        <v>17</v>
      </c>
      <c r="H38" s="26" t="s">
        <v>17</v>
      </c>
      <c r="I38" s="26" t="s">
        <v>17</v>
      </c>
      <c r="J38" s="26" t="str">
        <f t="shared" si="0"/>
        <v>-</v>
      </c>
      <c r="K38" s="22" t="str">
        <f t="shared" ca="1" si="2"/>
        <v>/A.</v>
      </c>
      <c r="L38" s="22" t="str">
        <f ca="1">IFERROR(__xludf.dummyfunction("CONCATENATE(ArrayFormula(""; ""&amp;QUERY(Hallazgos!A:F,""SELECT B WHERE E CONTAINS '""&amp;A38&amp;""' LABEL B ''"")))"),"#N/A")</f>
        <v>#N/A</v>
      </c>
    </row>
    <row r="39" spans="1:12" ht="140.25" x14ac:dyDescent="0.25">
      <c r="A39" s="23" t="s">
        <v>114</v>
      </c>
      <c r="B39" s="23" t="s">
        <v>298</v>
      </c>
      <c r="C39" s="24" t="s">
        <v>41</v>
      </c>
      <c r="D39" s="25" t="s">
        <v>784</v>
      </c>
      <c r="E39" s="25" t="s">
        <v>111</v>
      </c>
      <c r="F39" s="25" t="s">
        <v>55</v>
      </c>
      <c r="G39" s="26" t="s">
        <v>17</v>
      </c>
      <c r="H39" s="26" t="s">
        <v>17</v>
      </c>
      <c r="I39" s="26" t="s">
        <v>17</v>
      </c>
      <c r="J39" s="26" t="str">
        <f t="shared" si="0"/>
        <v>-</v>
      </c>
      <c r="K39" s="22" t="str">
        <f t="shared" ca="1" si="2"/>
        <v>/A.</v>
      </c>
      <c r="L39" s="22" t="str">
        <f ca="1">IFERROR(__xludf.dummyfunction("CONCATENATE(ArrayFormula(""; ""&amp;QUERY(Hallazgos!A:F,""SELECT B WHERE E CONTAINS '""&amp;A39&amp;""' LABEL B ''"")))"),"#N/A")</f>
        <v>#N/A</v>
      </c>
    </row>
    <row r="40" spans="1:12" ht="153" x14ac:dyDescent="0.25">
      <c r="A40" s="23" t="s">
        <v>117</v>
      </c>
      <c r="B40" s="23" t="s">
        <v>791</v>
      </c>
      <c r="C40" s="24" t="s">
        <v>13</v>
      </c>
      <c r="D40" s="25" t="s">
        <v>599</v>
      </c>
      <c r="E40" s="25" t="s">
        <v>116</v>
      </c>
      <c r="F40" s="25" t="s">
        <v>55</v>
      </c>
      <c r="G40" s="26" t="s">
        <v>17</v>
      </c>
      <c r="H40" s="26" t="s">
        <v>17</v>
      </c>
      <c r="I40" s="26" t="s">
        <v>17</v>
      </c>
      <c r="J40" s="26" t="str">
        <f t="shared" si="0"/>
        <v>-</v>
      </c>
      <c r="K40" s="22" t="str">
        <f t="shared" ca="1" si="2"/>
        <v>/A.</v>
      </c>
      <c r="L40" s="22" t="str">
        <f ca="1">IFERROR(__xludf.dummyfunction("CONCATENATE(ArrayFormula(""; ""&amp;QUERY(Hallazgos!A:F,""SELECT B WHERE E CONTAINS '""&amp;A40&amp;""' LABEL B ''"")))"),"#N/A")</f>
        <v>#N/A</v>
      </c>
    </row>
    <row r="41" spans="1:12" ht="127.5" x14ac:dyDescent="0.25">
      <c r="A41" s="23" t="s">
        <v>119</v>
      </c>
      <c r="B41" s="23" t="s">
        <v>100</v>
      </c>
      <c r="C41" s="24" t="s">
        <v>41</v>
      </c>
      <c r="D41" s="25" t="s">
        <v>95</v>
      </c>
      <c r="E41" s="25" t="s">
        <v>98</v>
      </c>
      <c r="F41" s="25" t="s">
        <v>55</v>
      </c>
      <c r="G41" s="26" t="s">
        <v>17</v>
      </c>
      <c r="H41" s="26" t="s">
        <v>17</v>
      </c>
      <c r="I41" s="26" t="s">
        <v>17</v>
      </c>
      <c r="J41" s="26" t="str">
        <f t="shared" si="0"/>
        <v>-</v>
      </c>
      <c r="K41" s="22" t="str">
        <f t="shared" ca="1" si="2"/>
        <v>/A.</v>
      </c>
      <c r="L41" s="22" t="str">
        <f ca="1">IFERROR(__xludf.dummyfunction("CONCATENATE(ArrayFormula(""; ""&amp;QUERY(Hallazgos!A:F,""SELECT B WHERE E CONTAINS '""&amp;A41&amp;""' LABEL B ''"")))"),"#N/A")</f>
        <v>#N/A</v>
      </c>
    </row>
    <row r="42" spans="1:12" ht="191.25" x14ac:dyDescent="0.25">
      <c r="A42" s="23" t="s">
        <v>121</v>
      </c>
      <c r="B42" s="23" t="s">
        <v>792</v>
      </c>
      <c r="C42" s="24" t="s">
        <v>41</v>
      </c>
      <c r="D42" s="25" t="s">
        <v>399</v>
      </c>
      <c r="E42" s="25" t="s">
        <v>98</v>
      </c>
      <c r="F42" s="25" t="s">
        <v>55</v>
      </c>
      <c r="G42" s="26" t="s">
        <v>17</v>
      </c>
      <c r="H42" s="26" t="s">
        <v>17</v>
      </c>
      <c r="I42" s="26" t="s">
        <v>17</v>
      </c>
      <c r="J42" s="26" t="str">
        <f t="shared" si="0"/>
        <v>-</v>
      </c>
      <c r="K42" s="22" t="str">
        <f t="shared" ca="1" si="2"/>
        <v>/A.</v>
      </c>
      <c r="L42" s="22" t="str">
        <f ca="1">IFERROR(__xludf.dummyfunction("CONCATENATE(ArrayFormula(""; ""&amp;QUERY(Hallazgos!A:F,""SELECT B WHERE E CONTAINS '""&amp;A42&amp;""' LABEL B ''"")))"),"#N/A")</f>
        <v>#N/A</v>
      </c>
    </row>
    <row r="43" spans="1:12" ht="216.75" x14ac:dyDescent="0.25">
      <c r="A43" s="23" t="s">
        <v>123</v>
      </c>
      <c r="B43" s="23" t="s">
        <v>793</v>
      </c>
      <c r="C43" s="24" t="s">
        <v>41</v>
      </c>
      <c r="D43" s="25" t="s">
        <v>794</v>
      </c>
      <c r="E43" s="25" t="s">
        <v>98</v>
      </c>
      <c r="F43" s="25" t="s">
        <v>55</v>
      </c>
      <c r="G43" s="26" t="s">
        <v>17</v>
      </c>
      <c r="H43" s="26" t="s">
        <v>17</v>
      </c>
      <c r="I43" s="26" t="s">
        <v>17</v>
      </c>
      <c r="J43" s="26" t="str">
        <f t="shared" si="0"/>
        <v>-</v>
      </c>
      <c r="K43" s="22" t="str">
        <f t="shared" ca="1" si="2"/>
        <v>/A.</v>
      </c>
      <c r="L43" s="22" t="str">
        <f ca="1">IFERROR(__xludf.dummyfunction("CONCATENATE(ArrayFormula(""; ""&amp;QUERY(Hallazgos!A:F,""SELECT B WHERE E CONTAINS '""&amp;A43&amp;""' LABEL B ''"")))"),"#N/A")</f>
        <v>#N/A</v>
      </c>
    </row>
    <row r="44" spans="1:12" ht="140.25" x14ac:dyDescent="0.25">
      <c r="A44" s="23" t="s">
        <v>129</v>
      </c>
      <c r="B44" s="23" t="s">
        <v>795</v>
      </c>
      <c r="C44" s="24" t="s">
        <v>41</v>
      </c>
      <c r="D44" s="25" t="s">
        <v>189</v>
      </c>
      <c r="E44" s="25" t="s">
        <v>54</v>
      </c>
      <c r="F44" s="25" t="s">
        <v>55</v>
      </c>
      <c r="G44" s="26" t="s">
        <v>17</v>
      </c>
      <c r="H44" s="26" t="s">
        <v>17</v>
      </c>
      <c r="I44" s="26" t="s">
        <v>17</v>
      </c>
      <c r="J44" s="26" t="str">
        <f t="shared" si="0"/>
        <v>-</v>
      </c>
      <c r="K44" s="22" t="str">
        <f t="shared" ca="1" si="2"/>
        <v>/A.</v>
      </c>
      <c r="L44" s="22" t="str">
        <f ca="1">IFERROR(__xludf.dummyfunction("CONCATENATE(ArrayFormula(""; ""&amp;QUERY(Hallazgos!A:F,""SELECT B WHERE E CONTAINS '""&amp;A44&amp;""' LABEL B ''"")))"),"#N/A")</f>
        <v>#N/A</v>
      </c>
    </row>
    <row r="45" spans="1:12" ht="127.5" x14ac:dyDescent="0.25">
      <c r="A45" s="23" t="s">
        <v>133</v>
      </c>
      <c r="B45" s="23" t="s">
        <v>191</v>
      </c>
      <c r="C45" s="24" t="s">
        <v>41</v>
      </c>
      <c r="D45" s="25" t="s">
        <v>189</v>
      </c>
      <c r="E45" s="25" t="s">
        <v>192</v>
      </c>
      <c r="F45" s="25" t="s">
        <v>55</v>
      </c>
      <c r="G45" s="26" t="s">
        <v>17</v>
      </c>
      <c r="H45" s="26" t="s">
        <v>17</v>
      </c>
      <c r="I45" s="26" t="s">
        <v>17</v>
      </c>
      <c r="J45" s="26" t="str">
        <f t="shared" si="0"/>
        <v>-</v>
      </c>
      <c r="K45" s="22" t="str">
        <f t="shared" ca="1" si="2"/>
        <v>/A.</v>
      </c>
      <c r="L45" s="22" t="str">
        <f ca="1">IFERROR(__xludf.dummyfunction("CONCATENATE(ArrayFormula(""; ""&amp;QUERY(Hallazgos!A:F,""SELECT B WHERE E CONTAINS '""&amp;A45&amp;""' LABEL B ''"")))"),"#N/A")</f>
        <v>#N/A</v>
      </c>
    </row>
    <row r="46" spans="1:12" ht="153" x14ac:dyDescent="0.25">
      <c r="A46" s="23" t="s">
        <v>135</v>
      </c>
      <c r="B46" s="23" t="s">
        <v>196</v>
      </c>
      <c r="C46" s="24" t="s">
        <v>41</v>
      </c>
      <c r="D46" s="25" t="s">
        <v>189</v>
      </c>
      <c r="E46" s="25" t="s">
        <v>81</v>
      </c>
      <c r="F46" s="25" t="s">
        <v>55</v>
      </c>
      <c r="G46" s="26" t="s">
        <v>17</v>
      </c>
      <c r="H46" s="26" t="s">
        <v>17</v>
      </c>
      <c r="I46" s="26" t="s">
        <v>17</v>
      </c>
      <c r="J46" s="26" t="str">
        <f t="shared" si="0"/>
        <v>-</v>
      </c>
      <c r="K46" s="22" t="str">
        <f t="shared" ca="1" si="2"/>
        <v>/A.</v>
      </c>
      <c r="L46" s="22" t="str">
        <f ca="1">IFERROR(__xludf.dummyfunction("CONCATENATE(ArrayFormula(""; ""&amp;QUERY(Hallazgos!A:F,""SELECT B WHERE E CONTAINS '""&amp;A46&amp;""' LABEL B ''"")))"),"#N/A")</f>
        <v>#N/A</v>
      </c>
    </row>
    <row r="47" spans="1:12" ht="216.75" x14ac:dyDescent="0.25">
      <c r="A47" s="23" t="s">
        <v>137</v>
      </c>
      <c r="B47" s="23" t="s">
        <v>198</v>
      </c>
      <c r="C47" s="24" t="s">
        <v>41</v>
      </c>
      <c r="D47" s="25" t="s">
        <v>189</v>
      </c>
      <c r="E47" s="25" t="s">
        <v>54</v>
      </c>
      <c r="F47" s="25" t="s">
        <v>55</v>
      </c>
      <c r="G47" s="26" t="s">
        <v>17</v>
      </c>
      <c r="H47" s="26" t="s">
        <v>17</v>
      </c>
      <c r="I47" s="26" t="s">
        <v>17</v>
      </c>
      <c r="J47" s="26" t="str">
        <f t="shared" si="0"/>
        <v>-</v>
      </c>
      <c r="K47" s="22" t="str">
        <f t="shared" ca="1" si="2"/>
        <v>/A.</v>
      </c>
      <c r="L47" s="22" t="str">
        <f ca="1">IFERROR(__xludf.dummyfunction("CONCATENATE(ArrayFormula(""; ""&amp;QUERY(Hallazgos!A:F,""SELECT B WHERE E CONTAINS '""&amp;A47&amp;""' LABEL B ''"")))"),"#N/A")</f>
        <v>#N/A</v>
      </c>
    </row>
    <row r="48" spans="1:12" ht="102" x14ac:dyDescent="0.25">
      <c r="A48" s="23" t="s">
        <v>139</v>
      </c>
      <c r="B48" s="23" t="s">
        <v>200</v>
      </c>
      <c r="C48" s="24" t="s">
        <v>41</v>
      </c>
      <c r="D48" s="25" t="s">
        <v>189</v>
      </c>
      <c r="E48" s="25" t="s">
        <v>76</v>
      </c>
      <c r="F48" s="25" t="s">
        <v>55</v>
      </c>
      <c r="G48" s="26" t="s">
        <v>17</v>
      </c>
      <c r="H48" s="26" t="s">
        <v>17</v>
      </c>
      <c r="I48" s="26" t="s">
        <v>17</v>
      </c>
      <c r="J48" s="26" t="str">
        <f t="shared" si="0"/>
        <v>-</v>
      </c>
      <c r="K48" s="22" t="str">
        <f t="shared" ca="1" si="2"/>
        <v>/A.</v>
      </c>
      <c r="L48" s="22" t="str">
        <f ca="1">IFERROR(__xludf.dummyfunction("CONCATENATE(ArrayFormula(""; ""&amp;QUERY(Hallazgos!A:F,""SELECT B WHERE E CONTAINS '""&amp;A48&amp;""' LABEL B ''"")))"),"#N/A")</f>
        <v>#N/A</v>
      </c>
    </row>
    <row r="49" spans="1:12" ht="153" x14ac:dyDescent="0.25">
      <c r="A49" s="23" t="s">
        <v>141</v>
      </c>
      <c r="B49" s="23" t="s">
        <v>796</v>
      </c>
      <c r="C49" s="24" t="s">
        <v>38</v>
      </c>
      <c r="D49" s="25" t="s">
        <v>189</v>
      </c>
      <c r="E49" s="25" t="s">
        <v>54</v>
      </c>
      <c r="F49" s="25" t="s">
        <v>55</v>
      </c>
      <c r="G49" s="26" t="s">
        <v>17</v>
      </c>
      <c r="H49" s="26" t="s">
        <v>17</v>
      </c>
      <c r="I49" s="26" t="s">
        <v>17</v>
      </c>
      <c r="J49" s="26" t="str">
        <f t="shared" si="0"/>
        <v>-</v>
      </c>
      <c r="K49" s="22" t="str">
        <f t="shared" ca="1" si="2"/>
        <v>/A.</v>
      </c>
      <c r="L49" s="22" t="str">
        <f ca="1">IFERROR(__xludf.dummyfunction("CONCATENATE(ArrayFormula(""; ""&amp;QUERY(Hallazgos!A:F,""SELECT B WHERE E CONTAINS '""&amp;A49&amp;""' LABEL B ''"")))"),"#N/A")</f>
        <v>#N/A</v>
      </c>
    </row>
    <row r="50" spans="1:12" ht="140.25" x14ac:dyDescent="0.25">
      <c r="A50" s="23" t="s">
        <v>143</v>
      </c>
      <c r="B50" s="23" t="s">
        <v>204</v>
      </c>
      <c r="C50" s="24" t="s">
        <v>13</v>
      </c>
      <c r="D50" s="25" t="s">
        <v>189</v>
      </c>
      <c r="E50" s="25" t="s">
        <v>76</v>
      </c>
      <c r="F50" s="25" t="s">
        <v>55</v>
      </c>
      <c r="G50" s="26" t="s">
        <v>17</v>
      </c>
      <c r="H50" s="26" t="s">
        <v>17</v>
      </c>
      <c r="I50" s="26" t="s">
        <v>17</v>
      </c>
      <c r="J50" s="26" t="str">
        <f t="shared" si="0"/>
        <v>-</v>
      </c>
      <c r="K50" s="22" t="str">
        <f t="shared" ca="1" si="2"/>
        <v>/A.</v>
      </c>
      <c r="L50" s="22" t="str">
        <f ca="1">IFERROR(__xludf.dummyfunction("CONCATENATE(ArrayFormula(""; ""&amp;QUERY(Hallazgos!A:F,""SELECT B WHERE E CONTAINS '""&amp;A50&amp;""' LABEL B ''"")))"),"#N/A")</f>
        <v>#N/A</v>
      </c>
    </row>
    <row r="51" spans="1:12" ht="127.5" x14ac:dyDescent="0.25">
      <c r="A51" s="23" t="s">
        <v>145</v>
      </c>
      <c r="B51" s="23" t="s">
        <v>206</v>
      </c>
      <c r="C51" s="24" t="s">
        <v>41</v>
      </c>
      <c r="D51" s="25" t="s">
        <v>189</v>
      </c>
      <c r="E51" s="25" t="s">
        <v>81</v>
      </c>
      <c r="F51" s="25" t="s">
        <v>55</v>
      </c>
      <c r="G51" s="26" t="s">
        <v>17</v>
      </c>
      <c r="H51" s="26" t="s">
        <v>17</v>
      </c>
      <c r="I51" s="26" t="s">
        <v>17</v>
      </c>
      <c r="J51" s="26" t="str">
        <f t="shared" si="0"/>
        <v>-</v>
      </c>
      <c r="K51" s="22" t="str">
        <f t="shared" ca="1" si="2"/>
        <v>/A.</v>
      </c>
      <c r="L51" s="22" t="str">
        <f ca="1">IFERROR(__xludf.dummyfunction("CONCATENATE(ArrayFormula(""; ""&amp;QUERY(Hallazgos!A:F,""SELECT B WHERE E CONTAINS '""&amp;A51&amp;""' LABEL B ''"")))"),"#N/A")</f>
        <v>#N/A</v>
      </c>
    </row>
    <row r="52" spans="1:12" ht="127.5" x14ac:dyDescent="0.25">
      <c r="A52" s="23" t="s">
        <v>147</v>
      </c>
      <c r="B52" s="23" t="s">
        <v>401</v>
      </c>
      <c r="C52" s="24" t="s">
        <v>41</v>
      </c>
      <c r="D52" s="25" t="s">
        <v>399</v>
      </c>
      <c r="E52" s="25" t="s">
        <v>81</v>
      </c>
      <c r="F52" s="25" t="s">
        <v>55</v>
      </c>
      <c r="G52" s="26" t="s">
        <v>17</v>
      </c>
      <c r="H52" s="26" t="s">
        <v>17</v>
      </c>
      <c r="I52" s="26" t="s">
        <v>17</v>
      </c>
      <c r="J52" s="26" t="str">
        <f t="shared" si="0"/>
        <v>-</v>
      </c>
      <c r="K52" s="22" t="str">
        <f t="shared" ca="1" si="2"/>
        <v>/A.</v>
      </c>
      <c r="L52" s="22" t="str">
        <f ca="1">IFERROR(__xludf.dummyfunction("CONCATENATE(ArrayFormula(""; ""&amp;QUERY(Hallazgos!A:F,""SELECT B WHERE E CONTAINS '""&amp;A52&amp;""' LABEL B ''"")))"),"#N/A")</f>
        <v>#N/A</v>
      </c>
    </row>
    <row r="53" spans="1:12" ht="178.5" x14ac:dyDescent="0.25">
      <c r="A53" s="23" t="s">
        <v>149</v>
      </c>
      <c r="B53" s="23" t="s">
        <v>797</v>
      </c>
      <c r="C53" s="24" t="s">
        <v>38</v>
      </c>
      <c r="D53" s="25" t="s">
        <v>352</v>
      </c>
      <c r="E53" s="25" t="s">
        <v>15</v>
      </c>
      <c r="F53" s="25" t="s">
        <v>73</v>
      </c>
      <c r="G53" s="26" t="s">
        <v>17</v>
      </c>
      <c r="H53" s="26" t="s">
        <v>17</v>
      </c>
      <c r="I53" s="26" t="s">
        <v>17</v>
      </c>
      <c r="J53" s="26" t="str">
        <f t="shared" si="0"/>
        <v>-</v>
      </c>
      <c r="K53" s="22" t="str">
        <f t="shared" ca="1" si="2"/>
        <v>/A.</v>
      </c>
      <c r="L53" s="22" t="str">
        <f ca="1">IFERROR(__xludf.dummyfunction("CONCATENATE(ArrayFormula(""; ""&amp;QUERY(Hallazgos!A:F,""SELECT B WHERE E CONTAINS '""&amp;A53&amp;""' LABEL B ''"")))"),"#N/A")</f>
        <v>#N/A</v>
      </c>
    </row>
    <row r="54" spans="1:12" ht="89.25" x14ac:dyDescent="0.25">
      <c r="A54" s="23" t="s">
        <v>151</v>
      </c>
      <c r="B54" s="23" t="s">
        <v>358</v>
      </c>
      <c r="C54" s="24" t="s">
        <v>38</v>
      </c>
      <c r="D54" s="25" t="s">
        <v>352</v>
      </c>
      <c r="E54" s="25" t="s">
        <v>116</v>
      </c>
      <c r="F54" s="25" t="s">
        <v>73</v>
      </c>
      <c r="G54" s="26" t="s">
        <v>17</v>
      </c>
      <c r="H54" s="26" t="s">
        <v>17</v>
      </c>
      <c r="I54" s="26" t="s">
        <v>17</v>
      </c>
      <c r="J54" s="26" t="str">
        <f t="shared" si="0"/>
        <v>-</v>
      </c>
      <c r="K54" s="22" t="str">
        <f t="shared" ca="1" si="2"/>
        <v>/A.</v>
      </c>
      <c r="L54" s="22" t="str">
        <f ca="1">IFERROR(__xludf.dummyfunction("CONCATENATE(ArrayFormula(""; ""&amp;QUERY(Hallazgos!A:F,""SELECT B WHERE E CONTAINS '""&amp;A54&amp;""' LABEL B ''"")))"),"#N/A")</f>
        <v>#N/A</v>
      </c>
    </row>
    <row r="55" spans="1:12" ht="76.5" x14ac:dyDescent="0.25">
      <c r="A55" s="23" t="s">
        <v>153</v>
      </c>
      <c r="B55" s="23" t="s">
        <v>360</v>
      </c>
      <c r="C55" s="24" t="s">
        <v>41</v>
      </c>
      <c r="D55" s="25" t="s">
        <v>352</v>
      </c>
      <c r="E55" s="25" t="s">
        <v>81</v>
      </c>
      <c r="F55" s="25" t="s">
        <v>73</v>
      </c>
      <c r="G55" s="26" t="s">
        <v>17</v>
      </c>
      <c r="H55" s="26" t="s">
        <v>17</v>
      </c>
      <c r="I55" s="26" t="s">
        <v>17</v>
      </c>
      <c r="J55" s="26" t="str">
        <f t="shared" si="0"/>
        <v>-</v>
      </c>
      <c r="K55" s="22" t="str">
        <f t="shared" ca="1" si="2"/>
        <v>/A.</v>
      </c>
      <c r="L55" s="22" t="str">
        <f ca="1">IFERROR(__xludf.dummyfunction("CONCATENATE(ArrayFormula(""; ""&amp;QUERY(Hallazgos!A:F,""SELECT B WHERE E CONTAINS '""&amp;A55&amp;""' LABEL B ''"")))"),"#N/A")</f>
        <v>#N/A</v>
      </c>
    </row>
    <row r="56" spans="1:12" ht="89.25" x14ac:dyDescent="0.25">
      <c r="A56" s="23" t="s">
        <v>155</v>
      </c>
      <c r="B56" s="23" t="s">
        <v>362</v>
      </c>
      <c r="C56" s="24" t="s">
        <v>41</v>
      </c>
      <c r="D56" s="25" t="s">
        <v>352</v>
      </c>
      <c r="E56" s="25" t="s">
        <v>116</v>
      </c>
      <c r="F56" s="25" t="s">
        <v>73</v>
      </c>
      <c r="G56" s="26" t="s">
        <v>17</v>
      </c>
      <c r="H56" s="26" t="s">
        <v>17</v>
      </c>
      <c r="I56" s="26" t="s">
        <v>17</v>
      </c>
      <c r="J56" s="26" t="str">
        <f t="shared" si="0"/>
        <v>-</v>
      </c>
      <c r="K56" s="22" t="str">
        <f t="shared" ca="1" si="2"/>
        <v>/A.</v>
      </c>
      <c r="L56" s="22" t="str">
        <f ca="1">IFERROR(__xludf.dummyfunction("CONCATENATE(ArrayFormula(""; ""&amp;QUERY(Hallazgos!A:F,""SELECT B WHERE E CONTAINS '""&amp;A56&amp;""' LABEL B ''"")))"),"#N/A")</f>
        <v>#N/A</v>
      </c>
    </row>
    <row r="57" spans="1:12" ht="229.5" x14ac:dyDescent="0.25">
      <c r="A57" s="23" t="s">
        <v>157</v>
      </c>
      <c r="B57" s="23" t="s">
        <v>364</v>
      </c>
      <c r="C57" s="24" t="s">
        <v>13</v>
      </c>
      <c r="D57" s="25" t="s">
        <v>352</v>
      </c>
      <c r="E57" s="25" t="s">
        <v>116</v>
      </c>
      <c r="F57" s="25" t="s">
        <v>73</v>
      </c>
      <c r="G57" s="26" t="s">
        <v>17</v>
      </c>
      <c r="H57" s="26" t="s">
        <v>17</v>
      </c>
      <c r="I57" s="26" t="s">
        <v>17</v>
      </c>
      <c r="J57" s="26" t="str">
        <f t="shared" si="0"/>
        <v>-</v>
      </c>
      <c r="K57" s="22" t="str">
        <f t="shared" ca="1" si="2"/>
        <v>/A.</v>
      </c>
      <c r="L57" s="22" t="str">
        <f ca="1">IFERROR(__xludf.dummyfunction("CONCATENATE(ArrayFormula(""; ""&amp;QUERY(Hallazgos!A:F,""SELECT B WHERE E CONTAINS '""&amp;A57&amp;""' LABEL B ''"")))"),"#N/A")</f>
        <v>#N/A</v>
      </c>
    </row>
    <row r="58" spans="1:12" ht="114.75" x14ac:dyDescent="0.25">
      <c r="A58" s="27" t="s">
        <v>159</v>
      </c>
      <c r="B58" s="23" t="s">
        <v>366</v>
      </c>
      <c r="C58" s="24" t="s">
        <v>41</v>
      </c>
      <c r="D58" s="25" t="s">
        <v>352</v>
      </c>
      <c r="E58" s="25" t="s">
        <v>81</v>
      </c>
      <c r="F58" s="25" t="s">
        <v>104</v>
      </c>
      <c r="G58" s="26" t="s">
        <v>17</v>
      </c>
      <c r="H58" s="26" t="s">
        <v>17</v>
      </c>
      <c r="I58" s="26" t="s">
        <v>17</v>
      </c>
      <c r="J58" s="26" t="str">
        <f t="shared" si="0"/>
        <v>-</v>
      </c>
      <c r="K58" s="22" t="str">
        <f t="shared" ca="1" si="2"/>
        <v>/A.</v>
      </c>
      <c r="L58" s="22" t="str">
        <f ca="1">IFERROR(__xludf.dummyfunction("CONCATENATE(ArrayFormula(""; ""&amp;QUERY(Hallazgos!A:F,""SELECT B WHERE E CONTAINS '""&amp;A58&amp;""' LABEL B ''"")))"),"#N/A")</f>
        <v>#N/A</v>
      </c>
    </row>
    <row r="59" spans="1:12" ht="140.25" x14ac:dyDescent="0.25">
      <c r="A59" s="27" t="s">
        <v>161</v>
      </c>
      <c r="B59" s="23" t="s">
        <v>368</v>
      </c>
      <c r="C59" s="24" t="s">
        <v>41</v>
      </c>
      <c r="D59" s="25" t="s">
        <v>352</v>
      </c>
      <c r="E59" s="25" t="s">
        <v>116</v>
      </c>
      <c r="F59" s="25" t="s">
        <v>73</v>
      </c>
      <c r="G59" s="26" t="s">
        <v>17</v>
      </c>
      <c r="H59" s="26" t="s">
        <v>17</v>
      </c>
      <c r="I59" s="26" t="s">
        <v>17</v>
      </c>
      <c r="J59" s="26" t="str">
        <f t="shared" si="0"/>
        <v>-</v>
      </c>
      <c r="K59" s="22" t="str">
        <f t="shared" ca="1" si="2"/>
        <v>/A.</v>
      </c>
      <c r="L59" s="22" t="str">
        <f ca="1">IFERROR(__xludf.dummyfunction("CONCATENATE(ArrayFormula(""; ""&amp;QUERY(Hallazgos!A:F,""SELECT B WHERE E CONTAINS '""&amp;A59&amp;""' LABEL B ''"")))"),"#N/A")</f>
        <v>#N/A</v>
      </c>
    </row>
    <row r="60" spans="1:12" ht="102" x14ac:dyDescent="0.25">
      <c r="A60" s="23" t="s">
        <v>163</v>
      </c>
      <c r="B60" s="23" t="s">
        <v>798</v>
      </c>
      <c r="C60" s="24" t="s">
        <v>41</v>
      </c>
      <c r="D60" s="25" t="s">
        <v>352</v>
      </c>
      <c r="E60" s="25" t="s">
        <v>116</v>
      </c>
      <c r="F60" s="25" t="s">
        <v>73</v>
      </c>
      <c r="G60" s="26" t="s">
        <v>17</v>
      </c>
      <c r="H60" s="26" t="s">
        <v>17</v>
      </c>
      <c r="I60" s="26" t="s">
        <v>17</v>
      </c>
      <c r="J60" s="26" t="str">
        <f t="shared" si="0"/>
        <v>-</v>
      </c>
      <c r="K60" s="22" t="str">
        <f t="shared" ca="1" si="2"/>
        <v>/A.</v>
      </c>
      <c r="L60" s="22" t="str">
        <f ca="1">IFERROR(__xludf.dummyfunction("CONCATENATE(ArrayFormula(""; ""&amp;QUERY(Hallazgos!A:F,""SELECT B WHERE E CONTAINS '""&amp;A60&amp;""' LABEL B ''"")))"),"#N/A")</f>
        <v>#N/A</v>
      </c>
    </row>
    <row r="61" spans="1:12" ht="89.25" x14ac:dyDescent="0.25">
      <c r="A61" s="23" t="s">
        <v>165</v>
      </c>
      <c r="B61" s="23" t="s">
        <v>138</v>
      </c>
      <c r="C61" s="24" t="s">
        <v>38</v>
      </c>
      <c r="D61" s="25" t="s">
        <v>535</v>
      </c>
      <c r="E61" s="25" t="s">
        <v>76</v>
      </c>
      <c r="F61" s="25" t="s">
        <v>73</v>
      </c>
      <c r="G61" s="26" t="s">
        <v>17</v>
      </c>
      <c r="H61" s="26" t="s">
        <v>17</v>
      </c>
      <c r="I61" s="26" t="s">
        <v>17</v>
      </c>
      <c r="J61" s="26" t="str">
        <f t="shared" si="0"/>
        <v>-</v>
      </c>
      <c r="K61" s="22" t="str">
        <f t="shared" ca="1" si="2"/>
        <v>/A.</v>
      </c>
      <c r="L61" s="22" t="str">
        <f ca="1">IFERROR(__xludf.dummyfunction("CONCATENATE(ArrayFormula(""; ""&amp;QUERY(Hallazgos!A:F,""SELECT B WHERE E CONTAINS '""&amp;A61&amp;""' LABEL B ''"")))"),"#N/A")</f>
        <v>#N/A</v>
      </c>
    </row>
    <row r="62" spans="1:12" ht="153" x14ac:dyDescent="0.25">
      <c r="A62" s="23" t="s">
        <v>167</v>
      </c>
      <c r="B62" s="23" t="s">
        <v>799</v>
      </c>
      <c r="C62" s="24" t="s">
        <v>41</v>
      </c>
      <c r="D62" s="25" t="s">
        <v>103</v>
      </c>
      <c r="E62" s="25" t="s">
        <v>116</v>
      </c>
      <c r="F62" s="25" t="s">
        <v>73</v>
      </c>
      <c r="G62" s="26" t="s">
        <v>17</v>
      </c>
      <c r="H62" s="26" t="s">
        <v>17</v>
      </c>
      <c r="I62" s="26" t="s">
        <v>17</v>
      </c>
      <c r="J62" s="26" t="str">
        <f t="shared" si="0"/>
        <v>-</v>
      </c>
      <c r="K62" s="22" t="str">
        <f t="shared" ca="1" si="2"/>
        <v>/A.</v>
      </c>
      <c r="L62" s="22" t="str">
        <f ca="1">IFERROR(__xludf.dummyfunction("CONCATENATE(ArrayFormula(""; ""&amp;QUERY(Hallazgos!A:F,""SELECT B WHERE E CONTAINS '""&amp;A62&amp;""' LABEL B ''"")))"),"#N/A")</f>
        <v>#N/A</v>
      </c>
    </row>
    <row r="63" spans="1:12" ht="153" x14ac:dyDescent="0.25">
      <c r="A63" s="27" t="s">
        <v>169</v>
      </c>
      <c r="B63" s="23" t="s">
        <v>122</v>
      </c>
      <c r="C63" s="24" t="s">
        <v>41</v>
      </c>
      <c r="D63" s="25" t="s">
        <v>103</v>
      </c>
      <c r="E63" s="25" t="s">
        <v>116</v>
      </c>
      <c r="F63" s="25" t="s">
        <v>73</v>
      </c>
      <c r="G63" s="26" t="s">
        <v>17</v>
      </c>
      <c r="H63" s="26" t="s">
        <v>17</v>
      </c>
      <c r="I63" s="26" t="s">
        <v>17</v>
      </c>
      <c r="J63" s="26" t="str">
        <f t="shared" si="0"/>
        <v>-</v>
      </c>
      <c r="K63" s="22" t="str">
        <f t="shared" ca="1" si="2"/>
        <v>/A.</v>
      </c>
      <c r="L63" s="22" t="str">
        <f ca="1">IFERROR(__xludf.dummyfunction("CONCATENATE(ArrayFormula(""; ""&amp;QUERY(Hallazgos!A:F,""SELECT B WHERE E CONTAINS '""&amp;A63&amp;""' LABEL B ''"")))"),"#N/A")</f>
        <v>#N/A</v>
      </c>
    </row>
    <row r="64" spans="1:12" ht="89.25" x14ac:dyDescent="0.25">
      <c r="A64" s="23" t="s">
        <v>171</v>
      </c>
      <c r="B64" s="23" t="s">
        <v>372</v>
      </c>
      <c r="C64" s="24" t="s">
        <v>41</v>
      </c>
      <c r="D64" s="25" t="s">
        <v>352</v>
      </c>
      <c r="E64" s="25" t="s">
        <v>132</v>
      </c>
      <c r="F64" s="25" t="s">
        <v>73</v>
      </c>
      <c r="G64" s="26" t="s">
        <v>17</v>
      </c>
      <c r="H64" s="26" t="s">
        <v>17</v>
      </c>
      <c r="I64" s="26" t="s">
        <v>17</v>
      </c>
      <c r="J64" s="26" t="str">
        <f t="shared" si="0"/>
        <v>-</v>
      </c>
      <c r="K64" s="22" t="str">
        <f t="shared" ca="1" si="2"/>
        <v>/A.</v>
      </c>
      <c r="L64" s="22" t="str">
        <f ca="1">IFERROR(__xludf.dummyfunction("CONCATENATE(ArrayFormula(""; ""&amp;QUERY(Hallazgos!A:F,""SELECT B WHERE E CONTAINS '""&amp;A64&amp;""' LABEL B ''"")))"),"#N/A")</f>
        <v>#N/A</v>
      </c>
    </row>
    <row r="65" spans="1:12" ht="140.25" x14ac:dyDescent="0.25">
      <c r="A65" s="23" t="s">
        <v>173</v>
      </c>
      <c r="B65" s="23" t="s">
        <v>374</v>
      </c>
      <c r="C65" s="24" t="s">
        <v>41</v>
      </c>
      <c r="D65" s="25" t="s">
        <v>352</v>
      </c>
      <c r="E65" s="25" t="s">
        <v>132</v>
      </c>
      <c r="F65" s="25" t="s">
        <v>73</v>
      </c>
      <c r="G65" s="26" t="s">
        <v>17</v>
      </c>
      <c r="H65" s="26" t="s">
        <v>17</v>
      </c>
      <c r="I65" s="26" t="s">
        <v>17</v>
      </c>
      <c r="J65" s="26" t="str">
        <f t="shared" si="0"/>
        <v>-</v>
      </c>
      <c r="K65" s="22" t="str">
        <f t="shared" ca="1" si="2"/>
        <v>/A.</v>
      </c>
      <c r="L65" s="22" t="str">
        <f ca="1">IFERROR(__xludf.dummyfunction("CONCATENATE(ArrayFormula(""; ""&amp;QUERY(Hallazgos!A:F,""SELECT B WHERE E CONTAINS '""&amp;A65&amp;""' LABEL B ''"")))"),"#N/A")</f>
        <v>#N/A</v>
      </c>
    </row>
    <row r="66" spans="1:12" ht="114.75" x14ac:dyDescent="0.25">
      <c r="A66" s="23" t="s">
        <v>175</v>
      </c>
      <c r="B66" s="23" t="s">
        <v>376</v>
      </c>
      <c r="C66" s="24" t="s">
        <v>41</v>
      </c>
      <c r="D66" s="25" t="s">
        <v>352</v>
      </c>
      <c r="E66" s="25" t="s">
        <v>181</v>
      </c>
      <c r="F66" s="25" t="s">
        <v>73</v>
      </c>
      <c r="G66" s="26" t="s">
        <v>17</v>
      </c>
      <c r="H66" s="26" t="s">
        <v>17</v>
      </c>
      <c r="I66" s="26" t="s">
        <v>17</v>
      </c>
      <c r="J66" s="26" t="str">
        <f t="shared" si="0"/>
        <v>-</v>
      </c>
      <c r="K66" s="22" t="str">
        <f t="shared" ca="1" si="2"/>
        <v>/A.</v>
      </c>
      <c r="L66" s="22" t="str">
        <f ca="1">IFERROR(__xludf.dummyfunction("CONCATENATE(ArrayFormula(""; ""&amp;QUERY(Hallazgos!A:F,""SELECT B WHERE E CONTAINS '""&amp;A66&amp;""' LABEL B ''"")))"),"#N/A")</f>
        <v>#N/A</v>
      </c>
    </row>
    <row r="67" spans="1:12" ht="127.5" x14ac:dyDescent="0.25">
      <c r="A67" s="23" t="s">
        <v>177</v>
      </c>
      <c r="B67" s="23" t="s">
        <v>800</v>
      </c>
      <c r="C67" s="24" t="s">
        <v>41</v>
      </c>
      <c r="D67" s="25" t="s">
        <v>352</v>
      </c>
      <c r="E67" s="25" t="s">
        <v>181</v>
      </c>
      <c r="F67" s="25" t="s">
        <v>73</v>
      </c>
      <c r="G67" s="26" t="s">
        <v>17</v>
      </c>
      <c r="H67" s="26" t="s">
        <v>17</v>
      </c>
      <c r="I67" s="26" t="s">
        <v>17</v>
      </c>
      <c r="J67" s="26" t="str">
        <f t="shared" ref="J67:J130" si="3">IF(G67="Sí", IF(H67="Sí", "DP", "SP"), IF(H67="Sí", "SD", "-"))</f>
        <v>-</v>
      </c>
      <c r="K67" s="22" t="str">
        <f t="shared" ref="K67:K98" ca="1" si="4">IF(IFERROR(L67,7)=7,"",RIGHT(L67,LEN(L67)-2)&amp;".")</f>
        <v>/A.</v>
      </c>
      <c r="L67" s="22" t="str">
        <f ca="1">IFERROR(__xludf.dummyfunction("CONCATENATE(ArrayFormula(""; ""&amp;QUERY(Hallazgos!A:F,""SELECT B WHERE E CONTAINS '""&amp;A67&amp;""' LABEL B ''"")))"),"#N/A")</f>
        <v>#N/A</v>
      </c>
    </row>
    <row r="68" spans="1:12" ht="178.5" x14ac:dyDescent="0.25">
      <c r="A68" s="23" t="s">
        <v>179</v>
      </c>
      <c r="B68" s="23" t="s">
        <v>378</v>
      </c>
      <c r="C68" s="24" t="s">
        <v>41</v>
      </c>
      <c r="D68" s="25" t="s">
        <v>352</v>
      </c>
      <c r="E68" s="25" t="s">
        <v>132</v>
      </c>
      <c r="F68" s="25" t="s">
        <v>73</v>
      </c>
      <c r="G68" s="26" t="s">
        <v>17</v>
      </c>
      <c r="H68" s="26" t="s">
        <v>17</v>
      </c>
      <c r="I68" s="26" t="s">
        <v>17</v>
      </c>
      <c r="J68" s="26" t="str">
        <f t="shared" si="3"/>
        <v>-</v>
      </c>
      <c r="K68" s="22" t="str">
        <f t="shared" ca="1" si="4"/>
        <v>/A.</v>
      </c>
      <c r="L68" s="22" t="str">
        <f ca="1">IFERROR(__xludf.dummyfunction("CONCATENATE(ArrayFormula(""; ""&amp;QUERY(Hallazgos!A:F,""SELECT B WHERE E CONTAINS '""&amp;A68&amp;""' LABEL B ''"")))"),"#N/A")</f>
        <v>#N/A</v>
      </c>
    </row>
    <row r="69" spans="1:12" ht="178.5" x14ac:dyDescent="0.25">
      <c r="A69" s="23" t="s">
        <v>182</v>
      </c>
      <c r="B69" s="23" t="s">
        <v>801</v>
      </c>
      <c r="C69" s="24" t="s">
        <v>41</v>
      </c>
      <c r="D69" s="25" t="s">
        <v>352</v>
      </c>
      <c r="E69" s="25" t="s">
        <v>181</v>
      </c>
      <c r="F69" s="25" t="s">
        <v>73</v>
      </c>
      <c r="G69" s="26" t="s">
        <v>17</v>
      </c>
      <c r="H69" s="26" t="s">
        <v>17</v>
      </c>
      <c r="I69" s="26" t="s">
        <v>17</v>
      </c>
      <c r="J69" s="26" t="str">
        <f t="shared" si="3"/>
        <v>-</v>
      </c>
      <c r="K69" s="22" t="str">
        <f t="shared" ca="1" si="4"/>
        <v>/A.</v>
      </c>
      <c r="L69" s="22" t="str">
        <f ca="1">IFERROR(__xludf.dummyfunction("CONCATENATE(ArrayFormula(""; ""&amp;QUERY(Hallazgos!A:F,""SELECT B WHERE E CONTAINS '""&amp;A69&amp;""' LABEL B ''"")))"),"#N/A")</f>
        <v>#N/A</v>
      </c>
    </row>
    <row r="70" spans="1:12" ht="102" x14ac:dyDescent="0.25">
      <c r="A70" s="23" t="s">
        <v>185</v>
      </c>
      <c r="B70" s="23" t="s">
        <v>382</v>
      </c>
      <c r="C70" s="24" t="s">
        <v>41</v>
      </c>
      <c r="D70" s="25" t="s">
        <v>352</v>
      </c>
      <c r="E70" s="25" t="s">
        <v>132</v>
      </c>
      <c r="F70" s="25" t="s">
        <v>73</v>
      </c>
      <c r="G70" s="26" t="s">
        <v>17</v>
      </c>
      <c r="H70" s="26" t="s">
        <v>17</v>
      </c>
      <c r="I70" s="26" t="s">
        <v>17</v>
      </c>
      <c r="J70" s="26" t="str">
        <f t="shared" si="3"/>
        <v>-</v>
      </c>
      <c r="K70" s="22" t="str">
        <f t="shared" ca="1" si="4"/>
        <v>/A.</v>
      </c>
      <c r="L70" s="22" t="str">
        <f ca="1">IFERROR(__xludf.dummyfunction("CONCATENATE(ArrayFormula(""; ""&amp;QUERY(Hallazgos!A:F,""SELECT B WHERE E CONTAINS '""&amp;A70&amp;""' LABEL B ''"")))"),"#N/A")</f>
        <v>#N/A</v>
      </c>
    </row>
    <row r="71" spans="1:12" ht="255" x14ac:dyDescent="0.25">
      <c r="A71" s="23" t="s">
        <v>190</v>
      </c>
      <c r="B71" s="23" t="s">
        <v>384</v>
      </c>
      <c r="C71" s="24" t="s">
        <v>41</v>
      </c>
      <c r="D71" s="25" t="s">
        <v>352</v>
      </c>
      <c r="E71" s="25" t="s">
        <v>116</v>
      </c>
      <c r="F71" s="25" t="s">
        <v>73</v>
      </c>
      <c r="G71" s="26" t="s">
        <v>17</v>
      </c>
      <c r="H71" s="26" t="s">
        <v>17</v>
      </c>
      <c r="I71" s="26" t="s">
        <v>17</v>
      </c>
      <c r="J71" s="26" t="str">
        <f t="shared" si="3"/>
        <v>-</v>
      </c>
      <c r="K71" s="22" t="str">
        <f t="shared" ca="1" si="4"/>
        <v>/A.</v>
      </c>
      <c r="L71" s="22" t="str">
        <f ca="1">IFERROR(__xludf.dummyfunction("CONCATENATE(ArrayFormula(""; ""&amp;QUERY(Hallazgos!A:F,""SELECT B WHERE E CONTAINS '""&amp;A71&amp;""' LABEL B ''"")))"),"#N/A")</f>
        <v>#N/A</v>
      </c>
    </row>
    <row r="72" spans="1:12" ht="165.75" x14ac:dyDescent="0.25">
      <c r="A72" s="23" t="s">
        <v>193</v>
      </c>
      <c r="B72" s="23" t="s">
        <v>802</v>
      </c>
      <c r="C72" s="24" t="s">
        <v>41</v>
      </c>
      <c r="D72" s="25" t="s">
        <v>352</v>
      </c>
      <c r="E72" s="25" t="s">
        <v>132</v>
      </c>
      <c r="F72" s="25" t="s">
        <v>73</v>
      </c>
      <c r="G72" s="26" t="s">
        <v>17</v>
      </c>
      <c r="H72" s="26" t="s">
        <v>17</v>
      </c>
      <c r="I72" s="26" t="s">
        <v>17</v>
      </c>
      <c r="J72" s="26" t="str">
        <f t="shared" si="3"/>
        <v>-</v>
      </c>
      <c r="K72" s="22" t="str">
        <f t="shared" ca="1" si="4"/>
        <v>/A.</v>
      </c>
      <c r="L72" s="22" t="str">
        <f ca="1">IFERROR(__xludf.dummyfunction("CONCATENATE(ArrayFormula(""; ""&amp;QUERY(Hallazgos!A:F,""SELECT B WHERE E CONTAINS '""&amp;A72&amp;""' LABEL B ''"")))"),"#N/A")</f>
        <v>#N/A</v>
      </c>
    </row>
    <row r="73" spans="1:12" ht="127.5" x14ac:dyDescent="0.25">
      <c r="A73" s="23" t="s">
        <v>195</v>
      </c>
      <c r="B73" s="23" t="s">
        <v>388</v>
      </c>
      <c r="C73" s="24" t="s">
        <v>41</v>
      </c>
      <c r="D73" s="25" t="s">
        <v>352</v>
      </c>
      <c r="E73" s="25" t="s">
        <v>81</v>
      </c>
      <c r="F73" s="25" t="s">
        <v>104</v>
      </c>
      <c r="G73" s="26" t="s">
        <v>17</v>
      </c>
      <c r="H73" s="26" t="s">
        <v>17</v>
      </c>
      <c r="I73" s="26" t="s">
        <v>17</v>
      </c>
      <c r="J73" s="26" t="str">
        <f t="shared" si="3"/>
        <v>-</v>
      </c>
      <c r="K73" s="22" t="str">
        <f t="shared" ca="1" si="4"/>
        <v>/A.</v>
      </c>
      <c r="L73" s="22" t="str">
        <f ca="1">IFERROR(__xludf.dummyfunction("CONCATENATE(ArrayFormula(""; ""&amp;QUERY(Hallazgos!A:F,""SELECT B WHERE E CONTAINS '""&amp;A73&amp;""' LABEL B ''"")))"),"#N/A")</f>
        <v>#N/A</v>
      </c>
    </row>
    <row r="74" spans="1:12" ht="102" x14ac:dyDescent="0.25">
      <c r="A74" s="23" t="s">
        <v>197</v>
      </c>
      <c r="B74" s="23" t="s">
        <v>186</v>
      </c>
      <c r="C74" s="24" t="s">
        <v>13</v>
      </c>
      <c r="D74" s="25" t="s">
        <v>803</v>
      </c>
      <c r="E74" s="25" t="s">
        <v>111</v>
      </c>
      <c r="F74" s="25" t="s">
        <v>55</v>
      </c>
      <c r="G74" s="26" t="s">
        <v>17</v>
      </c>
      <c r="H74" s="26" t="s">
        <v>17</v>
      </c>
      <c r="I74" s="26" t="s">
        <v>17</v>
      </c>
      <c r="J74" s="26" t="str">
        <f t="shared" si="3"/>
        <v>-</v>
      </c>
      <c r="K74" s="22" t="str">
        <f t="shared" ca="1" si="4"/>
        <v>/A.</v>
      </c>
      <c r="L74" s="22" t="str">
        <f ca="1">IFERROR(__xludf.dummyfunction("CONCATENATE(ArrayFormula(""; ""&amp;QUERY(Hallazgos!A:F,""SELECT B WHERE E CONTAINS '""&amp;A74&amp;""' LABEL B ''"")))"),"#N/A")</f>
        <v>#N/A</v>
      </c>
    </row>
    <row r="75" spans="1:12" ht="114.75" x14ac:dyDescent="0.25">
      <c r="A75" s="23" t="s">
        <v>199</v>
      </c>
      <c r="B75" s="23" t="s">
        <v>273</v>
      </c>
      <c r="C75" s="24" t="s">
        <v>13</v>
      </c>
      <c r="D75" s="25" t="s">
        <v>274</v>
      </c>
      <c r="E75" s="25" t="s">
        <v>116</v>
      </c>
      <c r="F75" s="25" t="s">
        <v>55</v>
      </c>
      <c r="G75" s="26" t="s">
        <v>17</v>
      </c>
      <c r="H75" s="26" t="s">
        <v>17</v>
      </c>
      <c r="I75" s="26" t="s">
        <v>17</v>
      </c>
      <c r="J75" s="26" t="str">
        <f t="shared" si="3"/>
        <v>-</v>
      </c>
      <c r="K75" s="22" t="str">
        <f t="shared" ca="1" si="4"/>
        <v>/A.</v>
      </c>
      <c r="L75" s="22" t="str">
        <f ca="1">IFERROR(__xludf.dummyfunction("CONCATENATE(ArrayFormula(""; ""&amp;QUERY(Hallazgos!A:F,""SELECT B WHERE E CONTAINS '""&amp;A75&amp;""' LABEL B ''"")))"),"#N/A")</f>
        <v>#N/A</v>
      </c>
    </row>
    <row r="76" spans="1:12" ht="89.25" x14ac:dyDescent="0.25">
      <c r="A76" s="23" t="s">
        <v>201</v>
      </c>
      <c r="B76" s="23" t="s">
        <v>804</v>
      </c>
      <c r="C76" s="24" t="s">
        <v>13</v>
      </c>
      <c r="D76" s="25" t="s">
        <v>274</v>
      </c>
      <c r="E76" s="25" t="s">
        <v>116</v>
      </c>
      <c r="F76" s="25" t="s">
        <v>55</v>
      </c>
      <c r="G76" s="26" t="s">
        <v>17</v>
      </c>
      <c r="H76" s="26" t="s">
        <v>17</v>
      </c>
      <c r="I76" s="26" t="s">
        <v>17</v>
      </c>
      <c r="J76" s="26" t="str">
        <f t="shared" si="3"/>
        <v>-</v>
      </c>
      <c r="K76" s="22" t="str">
        <f t="shared" ca="1" si="4"/>
        <v>/A.</v>
      </c>
      <c r="L76" s="22" t="str">
        <f ca="1">IFERROR(__xludf.dummyfunction("CONCATENATE(ArrayFormula(""; ""&amp;QUERY(Hallazgos!A:F,""SELECT B WHERE E CONTAINS '""&amp;A76&amp;""' LABEL B ''"")))"),"#N/A")</f>
        <v>#N/A</v>
      </c>
    </row>
    <row r="77" spans="1:12" ht="102" x14ac:dyDescent="0.25">
      <c r="A77" s="23" t="s">
        <v>203</v>
      </c>
      <c r="B77" s="23" t="s">
        <v>805</v>
      </c>
      <c r="C77" s="24" t="s">
        <v>13</v>
      </c>
      <c r="D77" s="25" t="s">
        <v>274</v>
      </c>
      <c r="E77" s="25" t="s">
        <v>116</v>
      </c>
      <c r="F77" s="25" t="s">
        <v>55</v>
      </c>
      <c r="G77" s="26" t="s">
        <v>17</v>
      </c>
      <c r="H77" s="26" t="s">
        <v>17</v>
      </c>
      <c r="I77" s="26" t="s">
        <v>17</v>
      </c>
      <c r="J77" s="26" t="str">
        <f t="shared" si="3"/>
        <v>-</v>
      </c>
      <c r="K77" s="22" t="str">
        <f t="shared" ca="1" si="4"/>
        <v>/A.</v>
      </c>
      <c r="L77" s="22" t="str">
        <f ca="1">IFERROR(__xludf.dummyfunction("CONCATENATE(ArrayFormula(""; ""&amp;QUERY(Hallazgos!A:F,""SELECT B WHERE E CONTAINS '""&amp;A77&amp;""' LABEL B ''"")))"),"#N/A")</f>
        <v>#N/A</v>
      </c>
    </row>
    <row r="78" spans="1:12" ht="165.75" x14ac:dyDescent="0.25">
      <c r="A78" s="23" t="s">
        <v>205</v>
      </c>
      <c r="B78" s="23" t="s">
        <v>280</v>
      </c>
      <c r="C78" s="24" t="s">
        <v>13</v>
      </c>
      <c r="D78" s="25" t="s">
        <v>274</v>
      </c>
      <c r="E78" s="25" t="s">
        <v>116</v>
      </c>
      <c r="F78" s="25" t="s">
        <v>55</v>
      </c>
      <c r="G78" s="26" t="s">
        <v>17</v>
      </c>
      <c r="H78" s="26" t="s">
        <v>17</v>
      </c>
      <c r="I78" s="26" t="s">
        <v>17</v>
      </c>
      <c r="J78" s="26" t="str">
        <f t="shared" si="3"/>
        <v>-</v>
      </c>
      <c r="K78" s="22" t="str">
        <f t="shared" ca="1" si="4"/>
        <v>/A.</v>
      </c>
      <c r="L78" s="22" t="str">
        <f ca="1">IFERROR(__xludf.dummyfunction("CONCATENATE(ArrayFormula(""; ""&amp;QUERY(Hallazgos!A:F,""SELECT B WHERE E CONTAINS '""&amp;A78&amp;""' LABEL B ''"")))"),"#N/A")</f>
        <v>#N/A</v>
      </c>
    </row>
    <row r="79" spans="1:12" ht="140.25" x14ac:dyDescent="0.25">
      <c r="A79" s="23" t="s">
        <v>207</v>
      </c>
      <c r="B79" s="23" t="s">
        <v>806</v>
      </c>
      <c r="C79" s="24" t="s">
        <v>41</v>
      </c>
      <c r="D79" s="25" t="s">
        <v>274</v>
      </c>
      <c r="E79" s="25" t="s">
        <v>81</v>
      </c>
      <c r="F79" s="25" t="s">
        <v>55</v>
      </c>
      <c r="G79" s="26" t="s">
        <v>17</v>
      </c>
      <c r="H79" s="26" t="s">
        <v>17</v>
      </c>
      <c r="I79" s="26" t="s">
        <v>17</v>
      </c>
      <c r="J79" s="26" t="str">
        <f t="shared" si="3"/>
        <v>-</v>
      </c>
      <c r="K79" s="22" t="str">
        <f t="shared" ca="1" si="4"/>
        <v>/A.</v>
      </c>
      <c r="L79" s="22" t="str">
        <f ca="1">IFERROR(__xludf.dummyfunction("CONCATENATE(ArrayFormula(""; ""&amp;QUERY(Hallazgos!A:F,""SELECT B WHERE E CONTAINS '""&amp;A79&amp;""' LABEL B ''"")))"),"#N/A")</f>
        <v>#N/A</v>
      </c>
    </row>
    <row r="80" spans="1:12" ht="89.25" x14ac:dyDescent="0.25">
      <c r="A80" s="23" t="s">
        <v>209</v>
      </c>
      <c r="B80" s="23" t="s">
        <v>284</v>
      </c>
      <c r="C80" s="24" t="s">
        <v>41</v>
      </c>
      <c r="D80" s="25" t="s">
        <v>274</v>
      </c>
      <c r="E80" s="25" t="s">
        <v>285</v>
      </c>
      <c r="F80" s="25" t="s">
        <v>55</v>
      </c>
      <c r="G80" s="26" t="s">
        <v>17</v>
      </c>
      <c r="H80" s="26" t="s">
        <v>17</v>
      </c>
      <c r="I80" s="26" t="s">
        <v>17</v>
      </c>
      <c r="J80" s="26" t="str">
        <f t="shared" si="3"/>
        <v>-</v>
      </c>
      <c r="K80" s="22" t="str">
        <f t="shared" ca="1" si="4"/>
        <v>/A.</v>
      </c>
      <c r="L80" s="22" t="str">
        <f ca="1">IFERROR(__xludf.dummyfunction("CONCATENATE(ArrayFormula(""; ""&amp;QUERY(Hallazgos!A:F,""SELECT B WHERE E CONTAINS '""&amp;A80&amp;""' LABEL B ''"")))"),"#N/A")</f>
        <v>#N/A</v>
      </c>
    </row>
    <row r="81" spans="1:12" ht="114.75" x14ac:dyDescent="0.25">
      <c r="A81" s="23" t="s">
        <v>211</v>
      </c>
      <c r="B81" s="23" t="s">
        <v>300</v>
      </c>
      <c r="C81" s="24" t="s">
        <v>13</v>
      </c>
      <c r="D81" s="25" t="s">
        <v>784</v>
      </c>
      <c r="E81" s="25" t="s">
        <v>81</v>
      </c>
      <c r="F81" s="25" t="s">
        <v>55</v>
      </c>
      <c r="G81" s="26" t="s">
        <v>17</v>
      </c>
      <c r="H81" s="26" t="s">
        <v>17</v>
      </c>
      <c r="I81" s="26" t="s">
        <v>17</v>
      </c>
      <c r="J81" s="26" t="str">
        <f t="shared" si="3"/>
        <v>-</v>
      </c>
      <c r="K81" s="22" t="str">
        <f t="shared" ca="1" si="4"/>
        <v>/A.</v>
      </c>
      <c r="L81" s="22" t="str">
        <f ca="1">IFERROR(__xludf.dummyfunction("CONCATENATE(ArrayFormula(""; ""&amp;QUERY(Hallazgos!A:F,""SELECT B WHERE E CONTAINS '""&amp;A81&amp;""' LABEL B ''"")))"),"#N/A")</f>
        <v>#N/A</v>
      </c>
    </row>
    <row r="82" spans="1:12" ht="114.75" x14ac:dyDescent="0.25">
      <c r="A82" s="23" t="s">
        <v>213</v>
      </c>
      <c r="B82" s="23" t="s">
        <v>302</v>
      </c>
      <c r="C82" s="24" t="s">
        <v>41</v>
      </c>
      <c r="D82" s="25" t="s">
        <v>784</v>
      </c>
      <c r="E82" s="25" t="s">
        <v>76</v>
      </c>
      <c r="F82" s="25" t="s">
        <v>55</v>
      </c>
      <c r="G82" s="26" t="s">
        <v>17</v>
      </c>
      <c r="H82" s="26" t="s">
        <v>17</v>
      </c>
      <c r="I82" s="26" t="s">
        <v>17</v>
      </c>
      <c r="J82" s="26" t="str">
        <f t="shared" si="3"/>
        <v>-</v>
      </c>
      <c r="K82" s="22" t="str">
        <f t="shared" ca="1" si="4"/>
        <v>/A.</v>
      </c>
      <c r="L82" s="22" t="str">
        <f ca="1">IFERROR(__xludf.dummyfunction("CONCATENATE(ArrayFormula(""; ""&amp;QUERY(Hallazgos!A:F,""SELECT B WHERE E CONTAINS '""&amp;A82&amp;""' LABEL B ''"")))"),"#N/A")</f>
        <v>#N/A</v>
      </c>
    </row>
    <row r="83" spans="1:12" ht="191.25" x14ac:dyDescent="0.25">
      <c r="A83" s="23" t="s">
        <v>215</v>
      </c>
      <c r="B83" s="23" t="s">
        <v>807</v>
      </c>
      <c r="C83" s="24" t="s">
        <v>41</v>
      </c>
      <c r="D83" s="25" t="s">
        <v>784</v>
      </c>
      <c r="E83" s="25" t="s">
        <v>81</v>
      </c>
      <c r="F83" s="25" t="s">
        <v>55</v>
      </c>
      <c r="G83" s="26" t="s">
        <v>17</v>
      </c>
      <c r="H83" s="26" t="s">
        <v>17</v>
      </c>
      <c r="I83" s="26" t="s">
        <v>17</v>
      </c>
      <c r="J83" s="26" t="str">
        <f t="shared" si="3"/>
        <v>-</v>
      </c>
      <c r="K83" s="22" t="str">
        <f t="shared" ca="1" si="4"/>
        <v>/A.</v>
      </c>
      <c r="L83" s="22" t="str">
        <f ca="1">IFERROR(__xludf.dummyfunction("CONCATENATE(ArrayFormula(""; ""&amp;QUERY(Hallazgos!A:F,""SELECT B WHERE E CONTAINS '""&amp;A83&amp;""' LABEL B ''"")))"),"#N/A")</f>
        <v>#N/A</v>
      </c>
    </row>
    <row r="84" spans="1:12" ht="89.25" x14ac:dyDescent="0.25">
      <c r="A84" s="23" t="s">
        <v>218</v>
      </c>
      <c r="B84" s="23" t="s">
        <v>808</v>
      </c>
      <c r="C84" s="24" t="s">
        <v>41</v>
      </c>
      <c r="D84" s="25" t="s">
        <v>784</v>
      </c>
      <c r="E84" s="25" t="s">
        <v>81</v>
      </c>
      <c r="F84" s="25" t="s">
        <v>55</v>
      </c>
      <c r="G84" s="26" t="s">
        <v>17</v>
      </c>
      <c r="H84" s="26" t="s">
        <v>17</v>
      </c>
      <c r="I84" s="26" t="s">
        <v>17</v>
      </c>
      <c r="J84" s="26" t="str">
        <f t="shared" si="3"/>
        <v>-</v>
      </c>
      <c r="K84" s="22" t="str">
        <f t="shared" ca="1" si="4"/>
        <v>/A.</v>
      </c>
      <c r="L84" s="22" t="str">
        <f ca="1">IFERROR(__xludf.dummyfunction("CONCATENATE(ArrayFormula(""; ""&amp;QUERY(Hallazgos!A:F,""SELECT B WHERE E CONTAINS '""&amp;A84&amp;""' LABEL B ''"")))"),"#N/A")</f>
        <v>#N/A</v>
      </c>
    </row>
    <row r="85" spans="1:12" ht="89.25" x14ac:dyDescent="0.25">
      <c r="A85" s="23" t="s">
        <v>220</v>
      </c>
      <c r="B85" s="23" t="s">
        <v>809</v>
      </c>
      <c r="C85" s="24" t="s">
        <v>41</v>
      </c>
      <c r="D85" s="25" t="s">
        <v>784</v>
      </c>
      <c r="E85" s="25" t="s">
        <v>81</v>
      </c>
      <c r="F85" s="25" t="s">
        <v>55</v>
      </c>
      <c r="G85" s="26" t="s">
        <v>17</v>
      </c>
      <c r="H85" s="26" t="s">
        <v>17</v>
      </c>
      <c r="I85" s="26" t="s">
        <v>17</v>
      </c>
      <c r="J85" s="26" t="str">
        <f t="shared" si="3"/>
        <v>-</v>
      </c>
      <c r="K85" s="22" t="str">
        <f t="shared" ca="1" si="4"/>
        <v>/A.</v>
      </c>
      <c r="L85" s="22" t="str">
        <f ca="1">IFERROR(__xludf.dummyfunction("CONCATENATE(ArrayFormula(""; ""&amp;QUERY(Hallazgos!A:F,""SELECT B WHERE E CONTAINS '""&amp;A85&amp;""' LABEL B ''"")))"),"#N/A")</f>
        <v>#N/A</v>
      </c>
    </row>
    <row r="86" spans="1:12" ht="102" x14ac:dyDescent="0.25">
      <c r="A86" s="23" t="s">
        <v>224</v>
      </c>
      <c r="B86" s="23" t="s">
        <v>810</v>
      </c>
      <c r="C86" s="24" t="s">
        <v>13</v>
      </c>
      <c r="D86" s="25" t="s">
        <v>784</v>
      </c>
      <c r="E86" s="25" t="s">
        <v>15</v>
      </c>
      <c r="F86" s="25" t="s">
        <v>55</v>
      </c>
      <c r="G86" s="26" t="s">
        <v>17</v>
      </c>
      <c r="H86" s="26" t="s">
        <v>17</v>
      </c>
      <c r="I86" s="26" t="s">
        <v>17</v>
      </c>
      <c r="J86" s="26" t="str">
        <f t="shared" si="3"/>
        <v>-</v>
      </c>
      <c r="K86" s="22" t="str">
        <f t="shared" ca="1" si="4"/>
        <v>/A.</v>
      </c>
      <c r="L86" s="22" t="str">
        <f ca="1">IFERROR(__xludf.dummyfunction("CONCATENATE(ArrayFormula(""; ""&amp;QUERY(Hallazgos!A:F,""SELECT B WHERE E CONTAINS '""&amp;A86&amp;""' LABEL B ''"")))"),"#N/A")</f>
        <v>#N/A</v>
      </c>
    </row>
    <row r="87" spans="1:12" ht="102" x14ac:dyDescent="0.25">
      <c r="A87" s="23" t="s">
        <v>226</v>
      </c>
      <c r="B87" s="23" t="s">
        <v>811</v>
      </c>
      <c r="C87" s="24" t="s">
        <v>13</v>
      </c>
      <c r="D87" s="25" t="s">
        <v>784</v>
      </c>
      <c r="E87" s="25" t="s">
        <v>15</v>
      </c>
      <c r="F87" s="25" t="s">
        <v>55</v>
      </c>
      <c r="G87" s="26" t="s">
        <v>17</v>
      </c>
      <c r="H87" s="26" t="s">
        <v>17</v>
      </c>
      <c r="I87" s="26" t="s">
        <v>17</v>
      </c>
      <c r="J87" s="26" t="str">
        <f t="shared" si="3"/>
        <v>-</v>
      </c>
      <c r="K87" s="22" t="str">
        <f t="shared" ca="1" si="4"/>
        <v>/A.</v>
      </c>
      <c r="L87" s="22" t="str">
        <f ca="1">IFERROR(__xludf.dummyfunction("CONCATENATE(ArrayFormula(""; ""&amp;QUERY(Hallazgos!A:F,""SELECT B WHERE E CONTAINS '""&amp;A87&amp;""' LABEL B ''"")))"),"#N/A")</f>
        <v>#N/A</v>
      </c>
    </row>
    <row r="88" spans="1:12" ht="102" x14ac:dyDescent="0.25">
      <c r="A88" s="23" t="s">
        <v>228</v>
      </c>
      <c r="B88" s="23" t="s">
        <v>812</v>
      </c>
      <c r="C88" s="24" t="s">
        <v>13</v>
      </c>
      <c r="D88" s="25" t="s">
        <v>784</v>
      </c>
      <c r="E88" s="25" t="s">
        <v>15</v>
      </c>
      <c r="F88" s="25" t="s">
        <v>55</v>
      </c>
      <c r="G88" s="26" t="s">
        <v>17</v>
      </c>
      <c r="H88" s="26" t="s">
        <v>17</v>
      </c>
      <c r="I88" s="26" t="s">
        <v>17</v>
      </c>
      <c r="J88" s="26" t="str">
        <f t="shared" si="3"/>
        <v>-</v>
      </c>
      <c r="K88" s="22" t="str">
        <f t="shared" ca="1" si="4"/>
        <v>/A.</v>
      </c>
      <c r="L88" s="22" t="str">
        <f ca="1">IFERROR(__xludf.dummyfunction("CONCATENATE(ArrayFormula(""; ""&amp;QUERY(Hallazgos!A:F,""SELECT B WHERE E CONTAINS '""&amp;A88&amp;""' LABEL B ''"")))"),"#N/A")</f>
        <v>#N/A</v>
      </c>
    </row>
    <row r="89" spans="1:12" ht="102" x14ac:dyDescent="0.25">
      <c r="A89" s="23" t="s">
        <v>231</v>
      </c>
      <c r="B89" s="23" t="s">
        <v>813</v>
      </c>
      <c r="C89" s="24" t="s">
        <v>13</v>
      </c>
      <c r="D89" s="25" t="s">
        <v>784</v>
      </c>
      <c r="E89" s="25" t="s">
        <v>15</v>
      </c>
      <c r="F89" s="25" t="s">
        <v>55</v>
      </c>
      <c r="G89" s="26" t="s">
        <v>17</v>
      </c>
      <c r="H89" s="26" t="s">
        <v>17</v>
      </c>
      <c r="I89" s="26" t="s">
        <v>17</v>
      </c>
      <c r="J89" s="26" t="str">
        <f t="shared" si="3"/>
        <v>-</v>
      </c>
      <c r="K89" s="22" t="str">
        <f t="shared" ca="1" si="4"/>
        <v>/A.</v>
      </c>
      <c r="L89" s="22" t="str">
        <f ca="1">IFERROR(__xludf.dummyfunction("CONCATENATE(ArrayFormula(""; ""&amp;QUERY(Hallazgos!A:F,""SELECT B WHERE E CONTAINS '""&amp;A89&amp;""' LABEL B ''"")))"),"#N/A")</f>
        <v>#N/A</v>
      </c>
    </row>
    <row r="90" spans="1:12" ht="102" x14ac:dyDescent="0.25">
      <c r="A90" s="23" t="s">
        <v>233</v>
      </c>
      <c r="B90" s="23" t="s">
        <v>814</v>
      </c>
      <c r="C90" s="24" t="s">
        <v>13</v>
      </c>
      <c r="D90" s="25" t="s">
        <v>784</v>
      </c>
      <c r="E90" s="25" t="s">
        <v>15</v>
      </c>
      <c r="F90" s="25" t="s">
        <v>55</v>
      </c>
      <c r="G90" s="26" t="s">
        <v>17</v>
      </c>
      <c r="H90" s="26" t="s">
        <v>17</v>
      </c>
      <c r="I90" s="26" t="s">
        <v>17</v>
      </c>
      <c r="J90" s="26" t="str">
        <f t="shared" si="3"/>
        <v>-</v>
      </c>
      <c r="K90" s="22" t="str">
        <f t="shared" ca="1" si="4"/>
        <v>/A.</v>
      </c>
      <c r="L90" s="22" t="str">
        <f ca="1">IFERROR(__xludf.dummyfunction("CONCATENATE(ArrayFormula(""; ""&amp;QUERY(Hallazgos!A:F,""SELECT B WHERE E CONTAINS '""&amp;A90&amp;""' LABEL B ''"")))"),"#N/A")</f>
        <v>#N/A</v>
      </c>
    </row>
    <row r="91" spans="1:12" ht="178.5" x14ac:dyDescent="0.25">
      <c r="A91" s="23" t="s">
        <v>237</v>
      </c>
      <c r="B91" s="23" t="s">
        <v>815</v>
      </c>
      <c r="C91" s="24" t="s">
        <v>38</v>
      </c>
      <c r="D91" s="25" t="s">
        <v>294</v>
      </c>
      <c r="E91" s="25" t="s">
        <v>81</v>
      </c>
      <c r="F91" s="25" t="s">
        <v>104</v>
      </c>
      <c r="G91" s="26" t="s">
        <v>17</v>
      </c>
      <c r="H91" s="26" t="s">
        <v>17</v>
      </c>
      <c r="I91" s="26" t="s">
        <v>17</v>
      </c>
      <c r="J91" s="26" t="str">
        <f t="shared" si="3"/>
        <v>-</v>
      </c>
      <c r="K91" s="22" t="str">
        <f t="shared" ca="1" si="4"/>
        <v>/A.</v>
      </c>
      <c r="L91" s="22" t="str">
        <f ca="1">IFERROR(__xludf.dummyfunction("CONCATENATE(ArrayFormula(""; ""&amp;QUERY(Hallazgos!A:F,""SELECT B WHERE E CONTAINS '""&amp;A91&amp;""' LABEL B ''"")))"),"#N/A")</f>
        <v>#N/A</v>
      </c>
    </row>
    <row r="92" spans="1:12" ht="127.5" x14ac:dyDescent="0.25">
      <c r="A92" s="23" t="s">
        <v>240</v>
      </c>
      <c r="B92" s="23" t="s">
        <v>314</v>
      </c>
      <c r="C92" s="24" t="s">
        <v>13</v>
      </c>
      <c r="D92" s="25" t="s">
        <v>784</v>
      </c>
      <c r="E92" s="25" t="s">
        <v>15</v>
      </c>
      <c r="F92" s="25" t="s">
        <v>55</v>
      </c>
      <c r="G92" s="26" t="s">
        <v>17</v>
      </c>
      <c r="H92" s="26" t="s">
        <v>17</v>
      </c>
      <c r="I92" s="26" t="s">
        <v>17</v>
      </c>
      <c r="J92" s="26" t="str">
        <f t="shared" si="3"/>
        <v>-</v>
      </c>
      <c r="K92" s="22" t="str">
        <f t="shared" ca="1" si="4"/>
        <v>/A.</v>
      </c>
      <c r="L92" s="22" t="str">
        <f ca="1">IFERROR(__xludf.dummyfunction("CONCATENATE(ArrayFormula(""; ""&amp;QUERY(Hallazgos!A:F,""SELECT B WHERE E CONTAINS '""&amp;A92&amp;""' LABEL B ''"")))"),"#N/A")</f>
        <v>#N/A</v>
      </c>
    </row>
    <row r="93" spans="1:12" ht="114.75" x14ac:dyDescent="0.25">
      <c r="A93" s="23" t="s">
        <v>242</v>
      </c>
      <c r="B93" s="23" t="s">
        <v>816</v>
      </c>
      <c r="C93" s="24" t="s">
        <v>41</v>
      </c>
      <c r="D93" s="25" t="s">
        <v>784</v>
      </c>
      <c r="E93" s="25" t="s">
        <v>81</v>
      </c>
      <c r="F93" s="25" t="s">
        <v>55</v>
      </c>
      <c r="G93" s="26" t="s">
        <v>17</v>
      </c>
      <c r="H93" s="26" t="s">
        <v>17</v>
      </c>
      <c r="I93" s="26" t="s">
        <v>17</v>
      </c>
      <c r="J93" s="26" t="str">
        <f t="shared" si="3"/>
        <v>-</v>
      </c>
      <c r="K93" s="22" t="str">
        <f t="shared" ca="1" si="4"/>
        <v>/A.</v>
      </c>
      <c r="L93" s="22" t="str">
        <f ca="1">IFERROR(__xludf.dummyfunction("CONCATENATE(ArrayFormula(""; ""&amp;QUERY(Hallazgos!A:F,""SELECT B WHERE E CONTAINS '""&amp;A93&amp;""' LABEL B ''"")))"),"#N/A")</f>
        <v>#N/A</v>
      </c>
    </row>
    <row r="94" spans="1:12" ht="153" x14ac:dyDescent="0.25">
      <c r="A94" s="23" t="s">
        <v>244</v>
      </c>
      <c r="B94" s="23" t="s">
        <v>817</v>
      </c>
      <c r="C94" s="24" t="s">
        <v>13</v>
      </c>
      <c r="D94" s="25" t="s">
        <v>784</v>
      </c>
      <c r="E94" s="25" t="s">
        <v>15</v>
      </c>
      <c r="F94" s="25" t="s">
        <v>55</v>
      </c>
      <c r="G94" s="26" t="s">
        <v>17</v>
      </c>
      <c r="H94" s="26" t="s">
        <v>17</v>
      </c>
      <c r="I94" s="26" t="s">
        <v>17</v>
      </c>
      <c r="J94" s="26" t="str">
        <f t="shared" si="3"/>
        <v>-</v>
      </c>
      <c r="K94" s="22" t="str">
        <f t="shared" ca="1" si="4"/>
        <v>/A.</v>
      </c>
      <c r="L94" s="22" t="str">
        <f ca="1">IFERROR(__xludf.dummyfunction("CONCATENATE(ArrayFormula(""; ""&amp;QUERY(Hallazgos!A:F,""SELECT B WHERE E CONTAINS '""&amp;A94&amp;""' LABEL B ''"")))"),"#N/A")</f>
        <v>#N/A</v>
      </c>
    </row>
    <row r="95" spans="1:12" ht="165.75" x14ac:dyDescent="0.25">
      <c r="A95" s="23" t="s">
        <v>246</v>
      </c>
      <c r="B95" s="23" t="s">
        <v>318</v>
      </c>
      <c r="C95" s="24" t="s">
        <v>41</v>
      </c>
      <c r="D95" s="25" t="s">
        <v>784</v>
      </c>
      <c r="E95" s="25" t="s">
        <v>88</v>
      </c>
      <c r="F95" s="25" t="s">
        <v>55</v>
      </c>
      <c r="G95" s="26" t="s">
        <v>17</v>
      </c>
      <c r="H95" s="26" t="s">
        <v>17</v>
      </c>
      <c r="I95" s="26" t="s">
        <v>17</v>
      </c>
      <c r="J95" s="26" t="str">
        <f t="shared" si="3"/>
        <v>-</v>
      </c>
      <c r="K95" s="22" t="str">
        <f t="shared" ca="1" si="4"/>
        <v>/A.</v>
      </c>
      <c r="L95" s="22" t="str">
        <f ca="1">IFERROR(__xludf.dummyfunction("CONCATENATE(ArrayFormula(""; ""&amp;QUERY(Hallazgos!A:F,""SELECT B WHERE E CONTAINS '""&amp;A95&amp;""' LABEL B ''"")))"),"#N/A")</f>
        <v>#N/A</v>
      </c>
    </row>
    <row r="96" spans="1:12" ht="165.75" x14ac:dyDescent="0.25">
      <c r="A96" s="23" t="s">
        <v>248</v>
      </c>
      <c r="B96" s="23" t="s">
        <v>320</v>
      </c>
      <c r="C96" s="24" t="s">
        <v>41</v>
      </c>
      <c r="D96" s="25" t="s">
        <v>784</v>
      </c>
      <c r="E96" s="25" t="s">
        <v>88</v>
      </c>
      <c r="F96" s="25" t="s">
        <v>55</v>
      </c>
      <c r="G96" s="26" t="s">
        <v>17</v>
      </c>
      <c r="H96" s="26" t="s">
        <v>17</v>
      </c>
      <c r="I96" s="26" t="s">
        <v>17</v>
      </c>
      <c r="J96" s="26" t="str">
        <f t="shared" si="3"/>
        <v>-</v>
      </c>
      <c r="K96" s="22" t="str">
        <f t="shared" ca="1" si="4"/>
        <v>/A.</v>
      </c>
      <c r="L96" s="22" t="str">
        <f ca="1">IFERROR(__xludf.dummyfunction("CONCATENATE(ArrayFormula(""; ""&amp;QUERY(Hallazgos!A:F,""SELECT B WHERE E CONTAINS '""&amp;A96&amp;""' LABEL B ''"")))"),"#N/A")</f>
        <v>#N/A</v>
      </c>
    </row>
    <row r="97" spans="1:12" ht="178.5" x14ac:dyDescent="0.25">
      <c r="A97" s="23" t="s">
        <v>250</v>
      </c>
      <c r="B97" s="23" t="s">
        <v>818</v>
      </c>
      <c r="C97" s="24" t="s">
        <v>41</v>
      </c>
      <c r="D97" s="25" t="s">
        <v>784</v>
      </c>
      <c r="E97" s="25" t="s">
        <v>88</v>
      </c>
      <c r="F97" s="25" t="s">
        <v>55</v>
      </c>
      <c r="G97" s="26" t="s">
        <v>17</v>
      </c>
      <c r="H97" s="26" t="s">
        <v>17</v>
      </c>
      <c r="I97" s="26" t="s">
        <v>17</v>
      </c>
      <c r="J97" s="26" t="str">
        <f t="shared" si="3"/>
        <v>-</v>
      </c>
      <c r="K97" s="22" t="str">
        <f t="shared" ca="1" si="4"/>
        <v>/A.</v>
      </c>
      <c r="L97" s="22" t="str">
        <f ca="1">IFERROR(__xludf.dummyfunction("CONCATENATE(ArrayFormula(""; ""&amp;QUERY(Hallazgos!A:F,""SELECT B WHERE E CONTAINS '""&amp;A97&amp;""' LABEL B ''"")))"),"#N/A")</f>
        <v>#N/A</v>
      </c>
    </row>
    <row r="98" spans="1:12" ht="102" x14ac:dyDescent="0.25">
      <c r="A98" s="23" t="s">
        <v>252</v>
      </c>
      <c r="B98" s="23" t="s">
        <v>819</v>
      </c>
      <c r="C98" s="24" t="s">
        <v>13</v>
      </c>
      <c r="D98" s="25" t="s">
        <v>784</v>
      </c>
      <c r="E98" s="25" t="s">
        <v>15</v>
      </c>
      <c r="F98" s="25" t="s">
        <v>55</v>
      </c>
      <c r="G98" s="26" t="s">
        <v>17</v>
      </c>
      <c r="H98" s="26" t="s">
        <v>17</v>
      </c>
      <c r="I98" s="26" t="s">
        <v>17</v>
      </c>
      <c r="J98" s="26" t="str">
        <f t="shared" si="3"/>
        <v>-</v>
      </c>
      <c r="K98" s="22" t="str">
        <f t="shared" ca="1" si="4"/>
        <v>/A.</v>
      </c>
      <c r="L98" s="22" t="str">
        <f ca="1">IFERROR(__xludf.dummyfunction("CONCATENATE(ArrayFormula(""; ""&amp;QUERY(Hallazgos!A:F,""SELECT B WHERE E CONTAINS '""&amp;A98&amp;""' LABEL B ''"")))"),"#N/A")</f>
        <v>#N/A</v>
      </c>
    </row>
    <row r="99" spans="1:12" ht="102" x14ac:dyDescent="0.25">
      <c r="A99" s="23" t="s">
        <v>254</v>
      </c>
      <c r="B99" s="23" t="s">
        <v>820</v>
      </c>
      <c r="C99" s="24" t="s">
        <v>13</v>
      </c>
      <c r="D99" s="25" t="s">
        <v>784</v>
      </c>
      <c r="E99" s="25" t="s">
        <v>15</v>
      </c>
      <c r="F99" s="25" t="s">
        <v>55</v>
      </c>
      <c r="G99" s="26" t="s">
        <v>17</v>
      </c>
      <c r="H99" s="26" t="s">
        <v>17</v>
      </c>
      <c r="I99" s="26" t="s">
        <v>17</v>
      </c>
      <c r="J99" s="26" t="str">
        <f t="shared" si="3"/>
        <v>-</v>
      </c>
      <c r="K99" s="22" t="str">
        <f t="shared" ref="K99:K130" ca="1" si="5">IF(IFERROR(L99,7)=7,"",RIGHT(L99,LEN(L99)-2)&amp;".")</f>
        <v>/A.</v>
      </c>
      <c r="L99" s="22" t="str">
        <f ca="1">IFERROR(__xludf.dummyfunction("CONCATENATE(ArrayFormula(""; ""&amp;QUERY(Hallazgos!A:F,""SELECT B WHERE E CONTAINS '""&amp;A99&amp;""' LABEL B ''"")))"),"#N/A")</f>
        <v>#N/A</v>
      </c>
    </row>
    <row r="100" spans="1:12" ht="89.25" x14ac:dyDescent="0.25">
      <c r="A100" s="23" t="s">
        <v>256</v>
      </c>
      <c r="B100" s="23" t="s">
        <v>332</v>
      </c>
      <c r="C100" s="24" t="s">
        <v>41</v>
      </c>
      <c r="D100" s="25" t="s">
        <v>294</v>
      </c>
      <c r="E100" s="25" t="s">
        <v>88</v>
      </c>
      <c r="F100" s="25" t="s">
        <v>55</v>
      </c>
      <c r="G100" s="26" t="s">
        <v>17</v>
      </c>
      <c r="H100" s="26" t="s">
        <v>17</v>
      </c>
      <c r="I100" s="26" t="s">
        <v>17</v>
      </c>
      <c r="J100" s="26" t="str">
        <f t="shared" si="3"/>
        <v>-</v>
      </c>
      <c r="K100" s="22" t="str">
        <f t="shared" ca="1" si="5"/>
        <v>/A.</v>
      </c>
      <c r="L100" s="22" t="str">
        <f ca="1">IFERROR(__xludf.dummyfunction("CONCATENATE(ArrayFormula(""; ""&amp;QUERY(Hallazgos!A:F,""SELECT B WHERE E CONTAINS '""&amp;A100&amp;""' LABEL B ''"")))"),"#N/A")</f>
        <v>#N/A</v>
      </c>
    </row>
    <row r="101" spans="1:12" ht="229.5" x14ac:dyDescent="0.25">
      <c r="A101" s="23" t="s">
        <v>258</v>
      </c>
      <c r="B101" s="23" t="s">
        <v>821</v>
      </c>
      <c r="C101" s="24" t="s">
        <v>41</v>
      </c>
      <c r="D101" s="25" t="s">
        <v>784</v>
      </c>
      <c r="E101" s="25" t="s">
        <v>88</v>
      </c>
      <c r="F101" s="25" t="s">
        <v>55</v>
      </c>
      <c r="G101" s="26" t="s">
        <v>17</v>
      </c>
      <c r="H101" s="26" t="s">
        <v>17</v>
      </c>
      <c r="I101" s="26" t="s">
        <v>17</v>
      </c>
      <c r="J101" s="26" t="str">
        <f t="shared" si="3"/>
        <v>-</v>
      </c>
      <c r="K101" s="22" t="str">
        <f t="shared" ca="1" si="5"/>
        <v>/A.</v>
      </c>
      <c r="L101" s="22" t="str">
        <f ca="1">IFERROR(__xludf.dummyfunction("CONCATENATE(ArrayFormula(""; ""&amp;QUERY(Hallazgos!A:F,""SELECT B WHERE E CONTAINS '""&amp;A101&amp;""' LABEL B ''"")))"),"#N/A")</f>
        <v>#N/A</v>
      </c>
    </row>
    <row r="102" spans="1:12" ht="242.25" x14ac:dyDescent="0.25">
      <c r="A102" s="23" t="s">
        <v>260</v>
      </c>
      <c r="B102" s="23" t="s">
        <v>822</v>
      </c>
      <c r="C102" s="24" t="s">
        <v>41</v>
      </c>
      <c r="D102" s="25" t="s">
        <v>337</v>
      </c>
      <c r="E102" s="25" t="s">
        <v>15</v>
      </c>
      <c r="F102" s="25" t="s">
        <v>73</v>
      </c>
      <c r="G102" s="26" t="s">
        <v>17</v>
      </c>
      <c r="H102" s="26" t="s">
        <v>17</v>
      </c>
      <c r="I102" s="26" t="s">
        <v>17</v>
      </c>
      <c r="J102" s="26" t="str">
        <f t="shared" si="3"/>
        <v>-</v>
      </c>
      <c r="K102" s="22" t="str">
        <f t="shared" ca="1" si="5"/>
        <v>/A.</v>
      </c>
      <c r="L102" s="22" t="str">
        <f ca="1">IFERROR(__xludf.dummyfunction("CONCATENATE(ArrayFormula(""; ""&amp;QUERY(Hallazgos!A:F,""SELECT B WHERE E CONTAINS '""&amp;A102&amp;""' LABEL B ''"")))"),"#N/A")</f>
        <v>#N/A</v>
      </c>
    </row>
    <row r="103" spans="1:12" ht="204" x14ac:dyDescent="0.25">
      <c r="A103" s="23" t="s">
        <v>262</v>
      </c>
      <c r="B103" s="23" t="s">
        <v>823</v>
      </c>
      <c r="C103" s="24" t="s">
        <v>38</v>
      </c>
      <c r="D103" s="25" t="s">
        <v>217</v>
      </c>
      <c r="E103" s="25" t="s">
        <v>81</v>
      </c>
      <c r="F103" s="25" t="s">
        <v>55</v>
      </c>
      <c r="G103" s="26" t="s">
        <v>17</v>
      </c>
      <c r="H103" s="26" t="s">
        <v>17</v>
      </c>
      <c r="I103" s="26" t="s">
        <v>17</v>
      </c>
      <c r="J103" s="26" t="str">
        <f t="shared" si="3"/>
        <v>-</v>
      </c>
      <c r="K103" s="22" t="str">
        <f t="shared" ca="1" si="5"/>
        <v>/A.</v>
      </c>
      <c r="L103" s="22" t="str">
        <f ca="1">IFERROR(__xludf.dummyfunction("CONCATENATE(ArrayFormula(""; ""&amp;QUERY(Hallazgos!A:F,""SELECT B WHERE E CONTAINS '""&amp;A103&amp;""' LABEL B ''"")))"),"#N/A")</f>
        <v>#N/A</v>
      </c>
    </row>
    <row r="104" spans="1:12" ht="102" x14ac:dyDescent="0.25">
      <c r="A104" s="23" t="s">
        <v>264</v>
      </c>
      <c r="B104" s="23" t="s">
        <v>221</v>
      </c>
      <c r="C104" s="24" t="s">
        <v>41</v>
      </c>
      <c r="D104" s="25" t="s">
        <v>217</v>
      </c>
      <c r="E104" s="25" t="s">
        <v>88</v>
      </c>
      <c r="F104" s="25" t="s">
        <v>55</v>
      </c>
      <c r="G104" s="26" t="s">
        <v>17</v>
      </c>
      <c r="H104" s="26" t="s">
        <v>17</v>
      </c>
      <c r="I104" s="26" t="s">
        <v>17</v>
      </c>
      <c r="J104" s="26" t="str">
        <f t="shared" si="3"/>
        <v>-</v>
      </c>
      <c r="K104" s="22" t="str">
        <f t="shared" ca="1" si="5"/>
        <v>/A.</v>
      </c>
      <c r="L104" s="22" t="str">
        <f ca="1">IFERROR(__xludf.dummyfunction("CONCATENATE(ArrayFormula(""; ""&amp;QUERY(Hallazgos!A:F,""SELECT B WHERE E CONTAINS '""&amp;A104&amp;""' LABEL B ''"")))"),"#N/A")</f>
        <v>#N/A</v>
      </c>
    </row>
    <row r="105" spans="1:12" ht="165.75" x14ac:dyDescent="0.25">
      <c r="A105" s="23" t="s">
        <v>266</v>
      </c>
      <c r="B105" s="23" t="s">
        <v>824</v>
      </c>
      <c r="C105" s="24" t="s">
        <v>41</v>
      </c>
      <c r="D105" s="25" t="s">
        <v>217</v>
      </c>
      <c r="E105" s="25" t="s">
        <v>88</v>
      </c>
      <c r="F105" s="25" t="s">
        <v>55</v>
      </c>
      <c r="G105" s="26" t="s">
        <v>17</v>
      </c>
      <c r="H105" s="26" t="s">
        <v>17</v>
      </c>
      <c r="I105" s="26" t="s">
        <v>17</v>
      </c>
      <c r="J105" s="26" t="str">
        <f t="shared" si="3"/>
        <v>-</v>
      </c>
      <c r="K105" s="22" t="str">
        <f t="shared" ca="1" si="5"/>
        <v>/A.</v>
      </c>
      <c r="L105" s="22" t="str">
        <f ca="1">IFERROR(__xludf.dummyfunction("CONCATENATE(ArrayFormula(""; ""&amp;QUERY(Hallazgos!A:F,""SELECT B WHERE E CONTAINS '""&amp;A105&amp;""' LABEL B ''"")))"),"#N/A")</f>
        <v>#N/A</v>
      </c>
    </row>
    <row r="106" spans="1:12" ht="165.75" x14ac:dyDescent="0.25">
      <c r="A106" s="23" t="s">
        <v>268</v>
      </c>
      <c r="B106" s="23" t="s">
        <v>825</v>
      </c>
      <c r="C106" s="24" t="s">
        <v>41</v>
      </c>
      <c r="D106" s="25" t="s">
        <v>217</v>
      </c>
      <c r="E106" s="25" t="s">
        <v>88</v>
      </c>
      <c r="F106" s="25" t="s">
        <v>55</v>
      </c>
      <c r="G106" s="26" t="s">
        <v>17</v>
      </c>
      <c r="H106" s="26" t="s">
        <v>17</v>
      </c>
      <c r="I106" s="26" t="s">
        <v>17</v>
      </c>
      <c r="J106" s="26" t="str">
        <f t="shared" si="3"/>
        <v>-</v>
      </c>
      <c r="K106" s="22" t="str">
        <f t="shared" ca="1" si="5"/>
        <v>/A.</v>
      </c>
      <c r="L106" s="22" t="str">
        <f ca="1">IFERROR(__xludf.dummyfunction("CONCATENATE(ArrayFormula(""; ""&amp;QUERY(Hallazgos!A:F,""SELECT B WHERE E CONTAINS '""&amp;A106&amp;""' LABEL B ''"")))"),"#N/A")</f>
        <v>#N/A</v>
      </c>
    </row>
    <row r="107" spans="1:12" ht="191.25" x14ac:dyDescent="0.25">
      <c r="A107" s="23" t="s">
        <v>270</v>
      </c>
      <c r="B107" s="23" t="s">
        <v>826</v>
      </c>
      <c r="C107" s="24" t="s">
        <v>41</v>
      </c>
      <c r="D107" s="25" t="s">
        <v>217</v>
      </c>
      <c r="E107" s="25" t="s">
        <v>88</v>
      </c>
      <c r="F107" s="25" t="s">
        <v>55</v>
      </c>
      <c r="G107" s="26" t="s">
        <v>17</v>
      </c>
      <c r="H107" s="26" t="s">
        <v>17</v>
      </c>
      <c r="I107" s="26" t="s">
        <v>17</v>
      </c>
      <c r="J107" s="26" t="str">
        <f t="shared" si="3"/>
        <v>-</v>
      </c>
      <c r="K107" s="22" t="str">
        <f t="shared" ca="1" si="5"/>
        <v>/A.</v>
      </c>
      <c r="L107" s="22" t="str">
        <f ca="1">IFERROR(__xludf.dummyfunction("CONCATENATE(ArrayFormula(""; ""&amp;QUERY(Hallazgos!A:F,""SELECT B WHERE E CONTAINS '""&amp;A107&amp;""' LABEL B ''"")))"),"#N/A")</f>
        <v>#N/A</v>
      </c>
    </row>
    <row r="108" spans="1:12" ht="127.5" x14ac:dyDescent="0.25">
      <c r="A108" s="23" t="s">
        <v>272</v>
      </c>
      <c r="B108" s="23" t="s">
        <v>343</v>
      </c>
      <c r="C108" s="24" t="s">
        <v>41</v>
      </c>
      <c r="D108" s="25" t="s">
        <v>337</v>
      </c>
      <c r="E108" s="25" t="s">
        <v>81</v>
      </c>
      <c r="F108" s="25" t="s">
        <v>55</v>
      </c>
      <c r="G108" s="26" t="s">
        <v>17</v>
      </c>
      <c r="H108" s="26" t="s">
        <v>17</v>
      </c>
      <c r="I108" s="26" t="s">
        <v>17</v>
      </c>
      <c r="J108" s="26" t="str">
        <f t="shared" si="3"/>
        <v>-</v>
      </c>
      <c r="K108" s="22" t="str">
        <f t="shared" ca="1" si="5"/>
        <v>/A.</v>
      </c>
      <c r="L108" s="22" t="str">
        <f ca="1">IFERROR(__xludf.dummyfunction("CONCATENATE(ArrayFormula(""; ""&amp;QUERY(Hallazgos!A:F,""SELECT B WHERE E CONTAINS '""&amp;A108&amp;""' LABEL B ''"")))"),"#N/A")</f>
        <v>#N/A</v>
      </c>
    </row>
    <row r="109" spans="1:12" ht="165.75" x14ac:dyDescent="0.25">
      <c r="A109" s="23" t="s">
        <v>275</v>
      </c>
      <c r="B109" s="23" t="s">
        <v>827</v>
      </c>
      <c r="C109" s="24" t="s">
        <v>41</v>
      </c>
      <c r="D109" s="25" t="s">
        <v>337</v>
      </c>
      <c r="E109" s="25" t="s">
        <v>81</v>
      </c>
      <c r="F109" s="25" t="s">
        <v>55</v>
      </c>
      <c r="G109" s="26" t="s">
        <v>17</v>
      </c>
      <c r="H109" s="26" t="s">
        <v>17</v>
      </c>
      <c r="I109" s="26" t="s">
        <v>17</v>
      </c>
      <c r="J109" s="26" t="str">
        <f t="shared" si="3"/>
        <v>-</v>
      </c>
      <c r="K109" s="22" t="str">
        <f t="shared" ca="1" si="5"/>
        <v>/A.</v>
      </c>
      <c r="L109" s="22" t="str">
        <f ca="1">IFERROR(__xludf.dummyfunction("CONCATENATE(ArrayFormula(""; ""&amp;QUERY(Hallazgos!A:F,""SELECT B WHERE E CONTAINS '""&amp;A109&amp;""' LABEL B ''"")))"),"#N/A")</f>
        <v>#N/A</v>
      </c>
    </row>
    <row r="110" spans="1:12" ht="102" x14ac:dyDescent="0.25">
      <c r="A110" s="23" t="s">
        <v>277</v>
      </c>
      <c r="B110" s="23" t="s">
        <v>828</v>
      </c>
      <c r="C110" s="24" t="s">
        <v>41</v>
      </c>
      <c r="D110" s="25" t="s">
        <v>337</v>
      </c>
      <c r="E110" s="25" t="s">
        <v>76</v>
      </c>
      <c r="F110" s="25" t="s">
        <v>55</v>
      </c>
      <c r="G110" s="26" t="s">
        <v>17</v>
      </c>
      <c r="H110" s="26" t="s">
        <v>17</v>
      </c>
      <c r="I110" s="26" t="s">
        <v>17</v>
      </c>
      <c r="J110" s="26" t="str">
        <f t="shared" si="3"/>
        <v>-</v>
      </c>
      <c r="K110" s="22" t="str">
        <f t="shared" ca="1" si="5"/>
        <v>/A.</v>
      </c>
      <c r="L110" s="22" t="str">
        <f ca="1">IFERROR(__xludf.dummyfunction("CONCATENATE(ArrayFormula(""; ""&amp;QUERY(Hallazgos!A:F,""SELECT B WHERE E CONTAINS '""&amp;A110&amp;""' LABEL B ''"")))"),"#N/A")</f>
        <v>#N/A</v>
      </c>
    </row>
    <row r="111" spans="1:12" ht="140.25" x14ac:dyDescent="0.25">
      <c r="A111" s="23" t="s">
        <v>279</v>
      </c>
      <c r="B111" s="23" t="s">
        <v>349</v>
      </c>
      <c r="C111" s="24" t="s">
        <v>41</v>
      </c>
      <c r="D111" s="25" t="s">
        <v>337</v>
      </c>
      <c r="E111" s="25" t="s">
        <v>54</v>
      </c>
      <c r="F111" s="25" t="s">
        <v>55</v>
      </c>
      <c r="G111" s="26" t="s">
        <v>17</v>
      </c>
      <c r="H111" s="26" t="s">
        <v>17</v>
      </c>
      <c r="I111" s="26" t="s">
        <v>17</v>
      </c>
      <c r="J111" s="26" t="str">
        <f t="shared" si="3"/>
        <v>-</v>
      </c>
      <c r="K111" s="22" t="str">
        <f t="shared" ca="1" si="5"/>
        <v>/A.</v>
      </c>
      <c r="L111" s="22" t="str">
        <f ca="1">IFERROR(__xludf.dummyfunction("CONCATENATE(ArrayFormula(""; ""&amp;QUERY(Hallazgos!A:F,""SELECT B WHERE E CONTAINS '""&amp;A111&amp;""' LABEL B ''"")))"),"#N/A")</f>
        <v>#N/A</v>
      </c>
    </row>
    <row r="112" spans="1:12" ht="140.25" x14ac:dyDescent="0.25">
      <c r="A112" s="23" t="s">
        <v>281</v>
      </c>
      <c r="B112" s="23" t="s">
        <v>403</v>
      </c>
      <c r="C112" s="24" t="s">
        <v>41</v>
      </c>
      <c r="D112" s="25" t="s">
        <v>399</v>
      </c>
      <c r="E112" s="25" t="s">
        <v>88</v>
      </c>
      <c r="F112" s="25" t="s">
        <v>55</v>
      </c>
      <c r="G112" s="26" t="s">
        <v>17</v>
      </c>
      <c r="H112" s="26" t="s">
        <v>17</v>
      </c>
      <c r="I112" s="26" t="s">
        <v>17</v>
      </c>
      <c r="J112" s="26" t="str">
        <f t="shared" si="3"/>
        <v>-</v>
      </c>
      <c r="K112" s="22" t="str">
        <f t="shared" ca="1" si="5"/>
        <v>/A.</v>
      </c>
      <c r="L112" s="22" t="str">
        <f ca="1">IFERROR(__xludf.dummyfunction("CONCATENATE(ArrayFormula(""; ""&amp;QUERY(Hallazgos!A:F,""SELECT B WHERE E CONTAINS '""&amp;A112&amp;""' LABEL B ''"")))"),"#N/A")</f>
        <v>#N/A</v>
      </c>
    </row>
    <row r="113" spans="1:12" ht="102" x14ac:dyDescent="0.25">
      <c r="A113" s="23" t="s">
        <v>283</v>
      </c>
      <c r="B113" s="23" t="s">
        <v>500</v>
      </c>
      <c r="C113" s="24" t="s">
        <v>41</v>
      </c>
      <c r="D113" s="25" t="s">
        <v>501</v>
      </c>
      <c r="E113" s="25" t="s">
        <v>15</v>
      </c>
      <c r="F113" s="25" t="s">
        <v>73</v>
      </c>
      <c r="G113" s="26" t="s">
        <v>17</v>
      </c>
      <c r="H113" s="26" t="s">
        <v>17</v>
      </c>
      <c r="I113" s="26" t="s">
        <v>17</v>
      </c>
      <c r="J113" s="26" t="str">
        <f t="shared" si="3"/>
        <v>-</v>
      </c>
      <c r="K113" s="22" t="str">
        <f t="shared" ca="1" si="5"/>
        <v>/A.</v>
      </c>
      <c r="L113" s="22" t="str">
        <f ca="1">IFERROR(__xludf.dummyfunction("CONCATENATE(ArrayFormula(""; ""&amp;QUERY(Hallazgos!A:F,""SELECT B WHERE E CONTAINS '""&amp;A113&amp;""' LABEL B ''"")))"),"#N/A")</f>
        <v>#N/A</v>
      </c>
    </row>
    <row r="114" spans="1:12" ht="318.75" x14ac:dyDescent="0.25">
      <c r="A114" s="23" t="s">
        <v>286</v>
      </c>
      <c r="B114" s="23" t="s">
        <v>503</v>
      </c>
      <c r="C114" s="24" t="s">
        <v>41</v>
      </c>
      <c r="D114" s="25" t="s">
        <v>501</v>
      </c>
      <c r="E114" s="25" t="s">
        <v>15</v>
      </c>
      <c r="F114" s="25" t="s">
        <v>73</v>
      </c>
      <c r="G114" s="26" t="s">
        <v>17</v>
      </c>
      <c r="H114" s="26" t="s">
        <v>17</v>
      </c>
      <c r="I114" s="26" t="s">
        <v>17</v>
      </c>
      <c r="J114" s="26" t="str">
        <f t="shared" si="3"/>
        <v>-</v>
      </c>
      <c r="K114" s="22" t="str">
        <f t="shared" ca="1" si="5"/>
        <v>/A.</v>
      </c>
      <c r="L114" s="22" t="str">
        <f ca="1">IFERROR(__xludf.dummyfunction("CONCATENATE(ArrayFormula(""; ""&amp;QUERY(Hallazgos!A:F,""SELECT B WHERE E CONTAINS '""&amp;A114&amp;""' LABEL B ''"")))"),"#N/A")</f>
        <v>#N/A</v>
      </c>
    </row>
    <row r="115" spans="1:12" ht="102" x14ac:dyDescent="0.25">
      <c r="A115" s="23" t="s">
        <v>288</v>
      </c>
      <c r="B115" s="23" t="s">
        <v>829</v>
      </c>
      <c r="C115" s="24" t="s">
        <v>41</v>
      </c>
      <c r="D115" s="25" t="s">
        <v>830</v>
      </c>
      <c r="E115" s="25" t="s">
        <v>81</v>
      </c>
      <c r="F115" s="25" t="s">
        <v>55</v>
      </c>
      <c r="G115" s="26" t="s">
        <v>17</v>
      </c>
      <c r="H115" s="26" t="s">
        <v>17</v>
      </c>
      <c r="I115" s="26" t="s">
        <v>17</v>
      </c>
      <c r="J115" s="26" t="str">
        <f t="shared" si="3"/>
        <v>-</v>
      </c>
      <c r="K115" s="22" t="str">
        <f t="shared" ca="1" si="5"/>
        <v>/A.</v>
      </c>
      <c r="L115" s="22" t="str">
        <f ca="1">IFERROR(__xludf.dummyfunction("CONCATENATE(ArrayFormula(""; ""&amp;QUERY(Hallazgos!A:F,""SELECT B WHERE E CONTAINS '""&amp;A115&amp;""' LABEL B ''"")))"),"#N/A")</f>
        <v>#N/A</v>
      </c>
    </row>
    <row r="116" spans="1:12" ht="102" x14ac:dyDescent="0.25">
      <c r="A116" s="23" t="s">
        <v>290</v>
      </c>
      <c r="B116" s="23" t="s">
        <v>831</v>
      </c>
      <c r="C116" s="24" t="s">
        <v>41</v>
      </c>
      <c r="D116" s="25" t="s">
        <v>830</v>
      </c>
      <c r="E116" s="25" t="s">
        <v>406</v>
      </c>
      <c r="F116" s="25" t="s">
        <v>55</v>
      </c>
      <c r="G116" s="26" t="s">
        <v>17</v>
      </c>
      <c r="H116" s="26" t="s">
        <v>17</v>
      </c>
      <c r="I116" s="26" t="s">
        <v>17</v>
      </c>
      <c r="J116" s="26" t="str">
        <f t="shared" si="3"/>
        <v>-</v>
      </c>
      <c r="K116" s="22" t="str">
        <f t="shared" ca="1" si="5"/>
        <v>/A.</v>
      </c>
      <c r="L116" s="22" t="str">
        <f ca="1">IFERROR(__xludf.dummyfunction("CONCATENATE(ArrayFormula(""; ""&amp;QUERY(Hallazgos!A:F,""SELECT B WHERE E CONTAINS '""&amp;A116&amp;""' LABEL B ''"")))"),"#N/A")</f>
        <v>#N/A</v>
      </c>
    </row>
    <row r="117" spans="1:12" ht="140.25" x14ac:dyDescent="0.25">
      <c r="A117" s="23" t="s">
        <v>292</v>
      </c>
      <c r="B117" s="23" t="s">
        <v>832</v>
      </c>
      <c r="C117" s="24" t="s">
        <v>13</v>
      </c>
      <c r="D117" s="25" t="s">
        <v>399</v>
      </c>
      <c r="E117" s="25" t="s">
        <v>406</v>
      </c>
      <c r="F117" s="25" t="s">
        <v>55</v>
      </c>
      <c r="G117" s="26" t="s">
        <v>17</v>
      </c>
      <c r="H117" s="26" t="s">
        <v>17</v>
      </c>
      <c r="I117" s="26" t="s">
        <v>17</v>
      </c>
      <c r="J117" s="26" t="str">
        <f t="shared" si="3"/>
        <v>-</v>
      </c>
      <c r="K117" s="22" t="str">
        <f t="shared" ca="1" si="5"/>
        <v>/A.</v>
      </c>
      <c r="L117" s="22" t="str">
        <f ca="1">IFERROR(__xludf.dummyfunction("CONCATENATE(ArrayFormula(""; ""&amp;QUERY(Hallazgos!A:F,""SELECT B WHERE E CONTAINS '""&amp;A117&amp;""' LABEL B ''"")))"),"#N/A")</f>
        <v>#N/A</v>
      </c>
    </row>
    <row r="118" spans="1:12" ht="165.75" x14ac:dyDescent="0.25">
      <c r="A118" s="23" t="s">
        <v>295</v>
      </c>
      <c r="B118" s="23" t="s">
        <v>833</v>
      </c>
      <c r="C118" s="24" t="s">
        <v>13</v>
      </c>
      <c r="D118" s="25" t="s">
        <v>399</v>
      </c>
      <c r="E118" s="25" t="s">
        <v>81</v>
      </c>
      <c r="F118" s="25" t="s">
        <v>55</v>
      </c>
      <c r="G118" s="26" t="s">
        <v>17</v>
      </c>
      <c r="H118" s="26" t="s">
        <v>17</v>
      </c>
      <c r="I118" s="26" t="s">
        <v>17</v>
      </c>
      <c r="J118" s="26" t="str">
        <f t="shared" si="3"/>
        <v>-</v>
      </c>
      <c r="K118" s="22" t="str">
        <f t="shared" ca="1" si="5"/>
        <v>/A.</v>
      </c>
      <c r="L118" s="22" t="str">
        <f ca="1">IFERROR(__xludf.dummyfunction("CONCATENATE(ArrayFormula(""; ""&amp;QUERY(Hallazgos!A:F,""SELECT B WHERE E CONTAINS '""&amp;A118&amp;""' LABEL B ''"")))"),"#N/A")</f>
        <v>#N/A</v>
      </c>
    </row>
    <row r="119" spans="1:12" ht="102" x14ac:dyDescent="0.25">
      <c r="A119" s="23" t="s">
        <v>297</v>
      </c>
      <c r="B119" s="23" t="s">
        <v>834</v>
      </c>
      <c r="C119" s="24" t="s">
        <v>13</v>
      </c>
      <c r="D119" s="25" t="s">
        <v>399</v>
      </c>
      <c r="E119" s="25" t="s">
        <v>81</v>
      </c>
      <c r="F119" s="25" t="s">
        <v>55</v>
      </c>
      <c r="G119" s="26" t="s">
        <v>17</v>
      </c>
      <c r="H119" s="26" t="s">
        <v>17</v>
      </c>
      <c r="I119" s="26" t="s">
        <v>17</v>
      </c>
      <c r="J119" s="26" t="str">
        <f t="shared" si="3"/>
        <v>-</v>
      </c>
      <c r="K119" s="22" t="str">
        <f t="shared" ca="1" si="5"/>
        <v>/A.</v>
      </c>
      <c r="L119" s="22" t="str">
        <f ca="1">IFERROR(__xludf.dummyfunction("CONCATENATE(ArrayFormula(""; ""&amp;QUERY(Hallazgos!A:F,""SELECT B WHERE E CONTAINS '""&amp;A119&amp;""' LABEL B ''"")))"),"#N/A")</f>
        <v>#N/A</v>
      </c>
    </row>
    <row r="120" spans="1:12" ht="140.25" x14ac:dyDescent="0.25">
      <c r="A120" s="23" t="s">
        <v>299</v>
      </c>
      <c r="B120" s="23" t="s">
        <v>412</v>
      </c>
      <c r="C120" s="24" t="s">
        <v>13</v>
      </c>
      <c r="D120" s="25" t="s">
        <v>399</v>
      </c>
      <c r="E120" s="25" t="s">
        <v>406</v>
      </c>
      <c r="F120" s="25" t="s">
        <v>55</v>
      </c>
      <c r="G120" s="26" t="s">
        <v>17</v>
      </c>
      <c r="H120" s="26" t="s">
        <v>17</v>
      </c>
      <c r="I120" s="26" t="s">
        <v>17</v>
      </c>
      <c r="J120" s="26" t="str">
        <f t="shared" si="3"/>
        <v>-</v>
      </c>
      <c r="K120" s="22" t="str">
        <f t="shared" ca="1" si="5"/>
        <v>/A.</v>
      </c>
      <c r="L120" s="22" t="str">
        <f ca="1">IFERROR(__xludf.dummyfunction("CONCATENATE(ArrayFormula(""; ""&amp;QUERY(Hallazgos!A:F,""SELECT B WHERE E CONTAINS '""&amp;A120&amp;""' LABEL B ''"")))"),"#N/A")</f>
        <v>#N/A</v>
      </c>
    </row>
    <row r="121" spans="1:12" ht="216.75" x14ac:dyDescent="0.25">
      <c r="A121" s="23" t="s">
        <v>303</v>
      </c>
      <c r="B121" s="23" t="s">
        <v>414</v>
      </c>
      <c r="C121" s="24" t="s">
        <v>41</v>
      </c>
      <c r="D121" s="25" t="s">
        <v>399</v>
      </c>
      <c r="E121" s="25" t="s">
        <v>81</v>
      </c>
      <c r="F121" s="25" t="s">
        <v>55</v>
      </c>
      <c r="G121" s="26" t="s">
        <v>17</v>
      </c>
      <c r="H121" s="26" t="s">
        <v>17</v>
      </c>
      <c r="I121" s="26" t="s">
        <v>17</v>
      </c>
      <c r="J121" s="26" t="str">
        <f t="shared" si="3"/>
        <v>-</v>
      </c>
      <c r="K121" s="22" t="str">
        <f t="shared" ca="1" si="5"/>
        <v>/A.</v>
      </c>
      <c r="L121" s="22" t="str">
        <f ca="1">IFERROR(__xludf.dummyfunction("CONCATENATE(ArrayFormula(""; ""&amp;QUERY(Hallazgos!A:F,""SELECT B WHERE E CONTAINS '""&amp;A121&amp;""' LABEL B ''"")))"),"#N/A")</f>
        <v>#N/A</v>
      </c>
    </row>
    <row r="122" spans="1:12" ht="76.5" x14ac:dyDescent="0.25">
      <c r="A122" s="23" t="s">
        <v>309</v>
      </c>
      <c r="B122" s="23" t="s">
        <v>418</v>
      </c>
      <c r="C122" s="24" t="s">
        <v>13</v>
      </c>
      <c r="D122" s="25" t="s">
        <v>399</v>
      </c>
      <c r="E122" s="25" t="s">
        <v>81</v>
      </c>
      <c r="F122" s="25" t="s">
        <v>55</v>
      </c>
      <c r="G122" s="26" t="s">
        <v>17</v>
      </c>
      <c r="H122" s="26" t="s">
        <v>17</v>
      </c>
      <c r="I122" s="26" t="s">
        <v>17</v>
      </c>
      <c r="J122" s="26" t="str">
        <f t="shared" si="3"/>
        <v>-</v>
      </c>
      <c r="K122" s="22" t="str">
        <f t="shared" ca="1" si="5"/>
        <v>/A.</v>
      </c>
      <c r="L122" s="22" t="str">
        <f ca="1">IFERROR(__xludf.dummyfunction("CONCATENATE(ArrayFormula(""; ""&amp;QUERY(Hallazgos!A:F,""SELECT B WHERE E CONTAINS '""&amp;A122&amp;""' LABEL B ''"")))"),"#N/A")</f>
        <v>#N/A</v>
      </c>
    </row>
    <row r="123" spans="1:12" ht="153" x14ac:dyDescent="0.25">
      <c r="A123" s="23" t="s">
        <v>311</v>
      </c>
      <c r="B123" s="23" t="s">
        <v>420</v>
      </c>
      <c r="C123" s="24" t="s">
        <v>13</v>
      </c>
      <c r="D123" s="25" t="s">
        <v>399</v>
      </c>
      <c r="E123" s="25" t="s">
        <v>81</v>
      </c>
      <c r="F123" s="25" t="s">
        <v>55</v>
      </c>
      <c r="G123" s="26" t="s">
        <v>17</v>
      </c>
      <c r="H123" s="26" t="s">
        <v>17</v>
      </c>
      <c r="I123" s="26" t="s">
        <v>17</v>
      </c>
      <c r="J123" s="26" t="str">
        <f t="shared" si="3"/>
        <v>-</v>
      </c>
      <c r="K123" s="22" t="str">
        <f t="shared" ca="1" si="5"/>
        <v>/A.</v>
      </c>
      <c r="L123" s="22" t="str">
        <f ca="1">IFERROR(__xludf.dummyfunction("CONCATENATE(ArrayFormula(""; ""&amp;QUERY(Hallazgos!A:F,""SELECT B WHERE E CONTAINS '""&amp;A123&amp;""' LABEL B ''"")))"),"#N/A")</f>
        <v>#N/A</v>
      </c>
    </row>
    <row r="124" spans="1:12" ht="191.25" x14ac:dyDescent="0.25">
      <c r="A124" s="23" t="s">
        <v>313</v>
      </c>
      <c r="B124" s="23" t="s">
        <v>390</v>
      </c>
      <c r="C124" s="24" t="s">
        <v>41</v>
      </c>
      <c r="D124" s="25" t="s">
        <v>352</v>
      </c>
      <c r="E124" s="25" t="s">
        <v>81</v>
      </c>
      <c r="F124" s="25" t="s">
        <v>73</v>
      </c>
      <c r="G124" s="26" t="s">
        <v>17</v>
      </c>
      <c r="H124" s="26" t="s">
        <v>17</v>
      </c>
      <c r="I124" s="26" t="s">
        <v>17</v>
      </c>
      <c r="J124" s="26" t="str">
        <f t="shared" si="3"/>
        <v>-</v>
      </c>
      <c r="K124" s="22" t="str">
        <f t="shared" ca="1" si="5"/>
        <v>/A.</v>
      </c>
      <c r="L124" s="22" t="str">
        <f ca="1">IFERROR(__xludf.dummyfunction("CONCATENATE(ArrayFormula(""; ""&amp;QUERY(Hallazgos!A:F,""SELECT B WHERE E CONTAINS '""&amp;A124&amp;""' LABEL B ''"")))"),"#N/A")</f>
        <v>#N/A</v>
      </c>
    </row>
    <row r="125" spans="1:12" ht="204" x14ac:dyDescent="0.25">
      <c r="A125" s="23" t="s">
        <v>315</v>
      </c>
      <c r="B125" s="23" t="s">
        <v>835</v>
      </c>
      <c r="C125" s="24" t="s">
        <v>41</v>
      </c>
      <c r="D125" s="25" t="s">
        <v>836</v>
      </c>
      <c r="E125" s="25" t="s">
        <v>184</v>
      </c>
      <c r="F125" s="25" t="s">
        <v>55</v>
      </c>
      <c r="G125" s="26" t="s">
        <v>17</v>
      </c>
      <c r="H125" s="26" t="s">
        <v>17</v>
      </c>
      <c r="I125" s="26" t="s">
        <v>17</v>
      </c>
      <c r="J125" s="26" t="str">
        <f t="shared" si="3"/>
        <v>-</v>
      </c>
      <c r="K125" s="22" t="str">
        <f t="shared" ca="1" si="5"/>
        <v>/A.</v>
      </c>
      <c r="L125" s="22" t="str">
        <f ca="1">IFERROR(__xludf.dummyfunction("CONCATENATE(ArrayFormula(""; ""&amp;QUERY(Hallazgos!A:F,""SELECT B WHERE E CONTAINS '""&amp;A125&amp;""' LABEL B ''"")))"),"#N/A")</f>
        <v>#N/A</v>
      </c>
    </row>
    <row r="126" spans="1:12" ht="204" x14ac:dyDescent="0.25">
      <c r="A126" s="23" t="s">
        <v>317</v>
      </c>
      <c r="B126" s="23" t="s">
        <v>837</v>
      </c>
      <c r="C126" s="24" t="s">
        <v>41</v>
      </c>
      <c r="D126" s="25" t="s">
        <v>352</v>
      </c>
      <c r="E126" s="25" t="s">
        <v>116</v>
      </c>
      <c r="F126" s="25" t="s">
        <v>49</v>
      </c>
      <c r="G126" s="26" t="s">
        <v>17</v>
      </c>
      <c r="H126" s="26" t="s">
        <v>17</v>
      </c>
      <c r="I126" s="26" t="s">
        <v>17</v>
      </c>
      <c r="J126" s="26" t="str">
        <f t="shared" si="3"/>
        <v>-</v>
      </c>
      <c r="K126" s="22" t="str">
        <f t="shared" ca="1" si="5"/>
        <v>/A.</v>
      </c>
      <c r="L126" s="22" t="str">
        <f ca="1">IFERROR(__xludf.dummyfunction("CONCATENATE(ArrayFormula(""; ""&amp;QUERY(Hallazgos!A:F,""SELECT B WHERE E CONTAINS '""&amp;A126&amp;""' LABEL B ''"")))"),"#N/A")</f>
        <v>#N/A</v>
      </c>
    </row>
    <row r="127" spans="1:12" ht="255" x14ac:dyDescent="0.25">
      <c r="A127" s="23" t="s">
        <v>321</v>
      </c>
      <c r="B127" s="23" t="s">
        <v>838</v>
      </c>
      <c r="C127" s="24" t="s">
        <v>38</v>
      </c>
      <c r="D127" s="25" t="s">
        <v>535</v>
      </c>
      <c r="E127" s="25" t="s">
        <v>15</v>
      </c>
      <c r="F127" s="25" t="s">
        <v>44</v>
      </c>
      <c r="G127" s="26" t="s">
        <v>17</v>
      </c>
      <c r="H127" s="26" t="s">
        <v>17</v>
      </c>
      <c r="I127" s="26" t="s">
        <v>17</v>
      </c>
      <c r="J127" s="26" t="str">
        <f t="shared" si="3"/>
        <v>-</v>
      </c>
      <c r="K127" s="22" t="str">
        <f t="shared" ca="1" si="5"/>
        <v>/A.</v>
      </c>
      <c r="L127" s="22" t="str">
        <f ca="1">IFERROR(__xludf.dummyfunction("CONCATENATE(ArrayFormula(""; ""&amp;QUERY(Hallazgos!A:F,""SELECT B WHERE E CONTAINS '""&amp;A127&amp;""' LABEL B ''"")))"),"#N/A")</f>
        <v>#N/A</v>
      </c>
    </row>
    <row r="128" spans="1:12" ht="153" x14ac:dyDescent="0.25">
      <c r="A128" s="23" t="s">
        <v>323</v>
      </c>
      <c r="B128" s="23" t="s">
        <v>46</v>
      </c>
      <c r="C128" s="24" t="s">
        <v>13</v>
      </c>
      <c r="D128" s="25" t="s">
        <v>14</v>
      </c>
      <c r="E128" s="25" t="s">
        <v>15</v>
      </c>
      <c r="F128" s="25" t="s">
        <v>44</v>
      </c>
      <c r="G128" s="26" t="s">
        <v>17</v>
      </c>
      <c r="H128" s="26" t="s">
        <v>17</v>
      </c>
      <c r="I128" s="26" t="s">
        <v>17</v>
      </c>
      <c r="J128" s="26" t="str">
        <f t="shared" si="3"/>
        <v>-</v>
      </c>
      <c r="K128" s="22" t="str">
        <f t="shared" ca="1" si="5"/>
        <v>/A.</v>
      </c>
      <c r="L128" s="22" t="str">
        <f ca="1">IFERROR(__xludf.dummyfunction("CONCATENATE(ArrayFormula(""; ""&amp;QUERY(Hallazgos!A:F,""SELECT B WHERE E CONTAINS '""&amp;A128&amp;""' LABEL B ''"")))"),"#N/A")</f>
        <v>#N/A</v>
      </c>
    </row>
    <row r="129" spans="1:12" ht="89.25" x14ac:dyDescent="0.25">
      <c r="A129" s="23" t="s">
        <v>325</v>
      </c>
      <c r="B129" s="23" t="s">
        <v>839</v>
      </c>
      <c r="C129" s="24" t="s">
        <v>38</v>
      </c>
      <c r="D129" s="25" t="s">
        <v>230</v>
      </c>
      <c r="E129" s="25" t="s">
        <v>88</v>
      </c>
      <c r="F129" s="25" t="s">
        <v>44</v>
      </c>
      <c r="G129" s="26" t="s">
        <v>17</v>
      </c>
      <c r="H129" s="26" t="s">
        <v>17</v>
      </c>
      <c r="I129" s="26" t="s">
        <v>17</v>
      </c>
      <c r="J129" s="26" t="str">
        <f t="shared" si="3"/>
        <v>-</v>
      </c>
      <c r="K129" s="22" t="str">
        <f t="shared" ca="1" si="5"/>
        <v>/A.</v>
      </c>
      <c r="L129" s="22" t="str">
        <f ca="1">IFERROR(__xludf.dummyfunction("CONCATENATE(ArrayFormula(""; ""&amp;QUERY(Hallazgos!A:F,""SELECT B WHERE E CONTAINS '""&amp;A129&amp;""' LABEL B ''"")))"),"#N/A")</f>
        <v>#N/A</v>
      </c>
    </row>
    <row r="130" spans="1:12" ht="102" x14ac:dyDescent="0.25">
      <c r="A130" s="23" t="s">
        <v>327</v>
      </c>
      <c r="B130" s="23" t="s">
        <v>840</v>
      </c>
      <c r="C130" s="24" t="s">
        <v>38</v>
      </c>
      <c r="D130" s="25" t="s">
        <v>230</v>
      </c>
      <c r="E130" s="25" t="s">
        <v>98</v>
      </c>
      <c r="F130" s="25" t="s">
        <v>44</v>
      </c>
      <c r="G130" s="26" t="s">
        <v>17</v>
      </c>
      <c r="H130" s="26" t="s">
        <v>17</v>
      </c>
      <c r="I130" s="26" t="s">
        <v>17</v>
      </c>
      <c r="J130" s="26" t="str">
        <f t="shared" si="3"/>
        <v>-</v>
      </c>
      <c r="K130" s="22" t="str">
        <f t="shared" ca="1" si="5"/>
        <v>/A.</v>
      </c>
      <c r="L130" s="22" t="str">
        <f ca="1">IFERROR(__xludf.dummyfunction("CONCATENATE(ArrayFormula(""; ""&amp;QUERY(Hallazgos!A:F,""SELECT B WHERE E CONTAINS '""&amp;A130&amp;""' LABEL B ''"")))"),"#N/A")</f>
        <v>#N/A</v>
      </c>
    </row>
    <row r="131" spans="1:12" ht="114.75" x14ac:dyDescent="0.25">
      <c r="A131" s="23" t="s">
        <v>329</v>
      </c>
      <c r="B131" s="23" t="s">
        <v>236</v>
      </c>
      <c r="C131" s="24" t="s">
        <v>13</v>
      </c>
      <c r="D131" s="25" t="s">
        <v>230</v>
      </c>
      <c r="E131" s="25" t="s">
        <v>15</v>
      </c>
      <c r="F131" s="25" t="s">
        <v>44</v>
      </c>
      <c r="G131" s="26" t="s">
        <v>17</v>
      </c>
      <c r="H131" s="26" t="s">
        <v>17</v>
      </c>
      <c r="I131" s="26" t="s">
        <v>17</v>
      </c>
      <c r="J131" s="26" t="str">
        <f t="shared" ref="J131:J194" si="6">IF(G131="Sí", IF(H131="Sí", "DP", "SP"), IF(H131="Sí", "SD", "-"))</f>
        <v>-</v>
      </c>
      <c r="K131" s="22" t="str">
        <f t="shared" ref="K131:K162" ca="1" si="7">IF(IFERROR(L131,7)=7,"",RIGHT(L131,LEN(L131)-2)&amp;".")</f>
        <v>/A.</v>
      </c>
      <c r="L131" s="22" t="str">
        <f ca="1">IFERROR(__xludf.dummyfunction("CONCATENATE(ArrayFormula(""; ""&amp;QUERY(Hallazgos!A:F,""SELECT B WHERE E CONTAINS '""&amp;A131&amp;""' LABEL B ''"")))"),"#N/A")</f>
        <v>#N/A</v>
      </c>
    </row>
    <row r="132" spans="1:12" ht="140.25" x14ac:dyDescent="0.25">
      <c r="A132" s="23" t="s">
        <v>333</v>
      </c>
      <c r="B132" s="23" t="s">
        <v>841</v>
      </c>
      <c r="C132" s="24" t="s">
        <v>38</v>
      </c>
      <c r="D132" s="25" t="s">
        <v>535</v>
      </c>
      <c r="E132" s="25" t="s">
        <v>15</v>
      </c>
      <c r="F132" s="25" t="s">
        <v>44</v>
      </c>
      <c r="G132" s="26" t="s">
        <v>17</v>
      </c>
      <c r="H132" s="26" t="s">
        <v>17</v>
      </c>
      <c r="I132" s="26" t="s">
        <v>17</v>
      </c>
      <c r="J132" s="26" t="str">
        <f t="shared" si="6"/>
        <v>-</v>
      </c>
      <c r="K132" s="22" t="str">
        <f t="shared" ca="1" si="7"/>
        <v>/A.</v>
      </c>
      <c r="L132" s="22" t="str">
        <f ca="1">IFERROR(__xludf.dummyfunction("CONCATENATE(ArrayFormula(""; ""&amp;QUERY(Hallazgos!A:F,""SELECT B WHERE E CONTAINS '""&amp;A132&amp;""' LABEL B ''"")))"),"#N/A")</f>
        <v>#N/A</v>
      </c>
    </row>
    <row r="133" spans="1:12" ht="76.5" x14ac:dyDescent="0.25">
      <c r="A133" s="23" t="s">
        <v>335</v>
      </c>
      <c r="B133" s="23" t="s">
        <v>842</v>
      </c>
      <c r="C133" s="24" t="s">
        <v>38</v>
      </c>
      <c r="D133" s="25" t="s">
        <v>535</v>
      </c>
      <c r="E133" s="25" t="s">
        <v>15</v>
      </c>
      <c r="F133" s="25" t="s">
        <v>44</v>
      </c>
      <c r="G133" s="26" t="s">
        <v>17</v>
      </c>
      <c r="H133" s="26" t="s">
        <v>17</v>
      </c>
      <c r="I133" s="26" t="s">
        <v>17</v>
      </c>
      <c r="J133" s="26" t="str">
        <f t="shared" si="6"/>
        <v>-</v>
      </c>
      <c r="K133" s="22" t="str">
        <f t="shared" ca="1" si="7"/>
        <v>/A.</v>
      </c>
      <c r="L133" s="22" t="str">
        <f ca="1">IFERROR(__xludf.dummyfunction("CONCATENATE(ArrayFormula(""; ""&amp;QUERY(Hallazgos!A:F,""SELECT B WHERE E CONTAINS '""&amp;A133&amp;""' LABEL B ''"")))"),"#N/A")</f>
        <v>#N/A</v>
      </c>
    </row>
    <row r="134" spans="1:12" ht="89.25" x14ac:dyDescent="0.25">
      <c r="A134" s="23" t="s">
        <v>338</v>
      </c>
      <c r="B134" s="23" t="s">
        <v>146</v>
      </c>
      <c r="C134" s="24" t="s">
        <v>38</v>
      </c>
      <c r="D134" s="25" t="s">
        <v>535</v>
      </c>
      <c r="E134" s="25" t="s">
        <v>15</v>
      </c>
      <c r="F134" s="25" t="s">
        <v>44</v>
      </c>
      <c r="G134" s="26" t="s">
        <v>17</v>
      </c>
      <c r="H134" s="26" t="s">
        <v>17</v>
      </c>
      <c r="I134" s="26" t="s">
        <v>17</v>
      </c>
      <c r="J134" s="26" t="str">
        <f t="shared" si="6"/>
        <v>-</v>
      </c>
      <c r="K134" s="22" t="str">
        <f t="shared" ca="1" si="7"/>
        <v>/A.</v>
      </c>
      <c r="L134" s="22" t="str">
        <f ca="1">IFERROR(__xludf.dummyfunction("CONCATENATE(ArrayFormula(""; ""&amp;QUERY(Hallazgos!A:F,""SELECT B WHERE E CONTAINS '""&amp;A134&amp;""' LABEL B ''"")))"),"#N/A")</f>
        <v>#N/A</v>
      </c>
    </row>
    <row r="135" spans="1:12" ht="114.75" x14ac:dyDescent="0.25">
      <c r="A135" s="23" t="s">
        <v>340</v>
      </c>
      <c r="B135" s="23" t="s">
        <v>843</v>
      </c>
      <c r="C135" s="24" t="s">
        <v>38</v>
      </c>
      <c r="D135" s="25" t="s">
        <v>535</v>
      </c>
      <c r="E135" s="25" t="s">
        <v>15</v>
      </c>
      <c r="F135" s="25" t="s">
        <v>44</v>
      </c>
      <c r="G135" s="26" t="s">
        <v>17</v>
      </c>
      <c r="H135" s="26" t="s">
        <v>17</v>
      </c>
      <c r="I135" s="26" t="s">
        <v>17</v>
      </c>
      <c r="J135" s="26" t="str">
        <f t="shared" si="6"/>
        <v>-</v>
      </c>
      <c r="K135" s="22" t="str">
        <f t="shared" ca="1" si="7"/>
        <v>/A.</v>
      </c>
      <c r="L135" s="22" t="str">
        <f ca="1">IFERROR(__xludf.dummyfunction("CONCATENATE(ArrayFormula(""; ""&amp;QUERY(Hallazgos!A:F,""SELECT B WHERE E CONTAINS '""&amp;A135&amp;""' LABEL B ''"")))"),"#N/A")</f>
        <v>#N/A</v>
      </c>
    </row>
    <row r="136" spans="1:12" ht="153" x14ac:dyDescent="0.25">
      <c r="A136" s="23" t="s">
        <v>342</v>
      </c>
      <c r="B136" s="23" t="s">
        <v>844</v>
      </c>
      <c r="C136" s="24" t="s">
        <v>41</v>
      </c>
      <c r="D136" s="25" t="s">
        <v>535</v>
      </c>
      <c r="E136" s="25" t="s">
        <v>15</v>
      </c>
      <c r="F136" s="25" t="s">
        <v>44</v>
      </c>
      <c r="G136" s="26" t="s">
        <v>17</v>
      </c>
      <c r="H136" s="26" t="s">
        <v>17</v>
      </c>
      <c r="I136" s="26" t="s">
        <v>17</v>
      </c>
      <c r="J136" s="26" t="str">
        <f t="shared" si="6"/>
        <v>-</v>
      </c>
      <c r="K136" s="22" t="str">
        <f t="shared" ca="1" si="7"/>
        <v>/A.</v>
      </c>
      <c r="L136" s="22" t="str">
        <f ca="1">IFERROR(__xludf.dummyfunction("CONCATENATE(ArrayFormula(""; ""&amp;QUERY(Hallazgos!A:F,""SELECT B WHERE E CONTAINS '""&amp;A136&amp;""' LABEL B ''"")))"),"#N/A")</f>
        <v>#N/A</v>
      </c>
    </row>
    <row r="137" spans="1:12" ht="127.5" x14ac:dyDescent="0.25">
      <c r="A137" s="23" t="s">
        <v>344</v>
      </c>
      <c r="B137" s="23" t="s">
        <v>845</v>
      </c>
      <c r="C137" s="24" t="s">
        <v>38</v>
      </c>
      <c r="D137" s="25" t="s">
        <v>535</v>
      </c>
      <c r="E137" s="25" t="s">
        <v>15</v>
      </c>
      <c r="F137" s="25" t="s">
        <v>44</v>
      </c>
      <c r="G137" s="26" t="s">
        <v>17</v>
      </c>
      <c r="H137" s="26" t="s">
        <v>17</v>
      </c>
      <c r="I137" s="26" t="s">
        <v>17</v>
      </c>
      <c r="J137" s="26" t="str">
        <f t="shared" si="6"/>
        <v>-</v>
      </c>
      <c r="K137" s="22" t="str">
        <f t="shared" ca="1" si="7"/>
        <v>/A.</v>
      </c>
      <c r="L137" s="22" t="str">
        <f ca="1">IFERROR(__xludf.dummyfunction("CONCATENATE(ArrayFormula(""; ""&amp;QUERY(Hallazgos!A:F,""SELECT B WHERE E CONTAINS '""&amp;A137&amp;""' LABEL B ''"")))"),"#N/A")</f>
        <v>#N/A</v>
      </c>
    </row>
    <row r="138" spans="1:12" ht="140.25" x14ac:dyDescent="0.25">
      <c r="A138" s="23" t="s">
        <v>346</v>
      </c>
      <c r="B138" s="23" t="s">
        <v>154</v>
      </c>
      <c r="C138" s="24" t="s">
        <v>38</v>
      </c>
      <c r="D138" s="25" t="s">
        <v>535</v>
      </c>
      <c r="E138" s="25" t="s">
        <v>15</v>
      </c>
      <c r="F138" s="25" t="s">
        <v>44</v>
      </c>
      <c r="G138" s="26" t="s">
        <v>17</v>
      </c>
      <c r="H138" s="26" t="s">
        <v>17</v>
      </c>
      <c r="I138" s="26" t="s">
        <v>17</v>
      </c>
      <c r="J138" s="26" t="str">
        <f t="shared" si="6"/>
        <v>-</v>
      </c>
      <c r="K138" s="22" t="str">
        <f t="shared" ca="1" si="7"/>
        <v>/A.</v>
      </c>
      <c r="L138" s="22" t="str">
        <f ca="1">IFERROR(__xludf.dummyfunction("CONCATENATE(ArrayFormula(""; ""&amp;QUERY(Hallazgos!A:F,""SELECT B WHERE E CONTAINS '""&amp;A138&amp;""' LABEL B ''"")))"),"#N/A")</f>
        <v>#N/A</v>
      </c>
    </row>
    <row r="139" spans="1:12" ht="165.75" x14ac:dyDescent="0.25">
      <c r="A139" s="23" t="s">
        <v>353</v>
      </c>
      <c r="B139" s="23" t="s">
        <v>451</v>
      </c>
      <c r="C139" s="24" t="s">
        <v>13</v>
      </c>
      <c r="D139" s="25" t="s">
        <v>846</v>
      </c>
      <c r="E139" s="25" t="s">
        <v>76</v>
      </c>
      <c r="F139" s="25" t="s">
        <v>55</v>
      </c>
      <c r="G139" s="26" t="s">
        <v>17</v>
      </c>
      <c r="H139" s="26" t="s">
        <v>17</v>
      </c>
      <c r="I139" s="26" t="s">
        <v>17</v>
      </c>
      <c r="J139" s="26" t="str">
        <f t="shared" si="6"/>
        <v>-</v>
      </c>
      <c r="K139" s="22" t="str">
        <f t="shared" ca="1" si="7"/>
        <v>/A.</v>
      </c>
      <c r="L139" s="22" t="str">
        <f ca="1">IFERROR(__xludf.dummyfunction("CONCATENATE(ArrayFormula(""; ""&amp;QUERY(Hallazgos!A:F,""SELECT B WHERE E CONTAINS '""&amp;A139&amp;""' LABEL B ''"")))"),"#N/A")</f>
        <v>#N/A</v>
      </c>
    </row>
    <row r="140" spans="1:12" ht="165.75" x14ac:dyDescent="0.25">
      <c r="A140" s="23" t="s">
        <v>355</v>
      </c>
      <c r="B140" s="23" t="s">
        <v>454</v>
      </c>
      <c r="C140" s="24" t="s">
        <v>13</v>
      </c>
      <c r="D140" s="25" t="s">
        <v>846</v>
      </c>
      <c r="E140" s="25" t="s">
        <v>76</v>
      </c>
      <c r="F140" s="25" t="s">
        <v>55</v>
      </c>
      <c r="G140" s="26" t="s">
        <v>17</v>
      </c>
      <c r="H140" s="26" t="s">
        <v>17</v>
      </c>
      <c r="I140" s="26" t="s">
        <v>17</v>
      </c>
      <c r="J140" s="26" t="str">
        <f t="shared" si="6"/>
        <v>-</v>
      </c>
      <c r="K140" s="22" t="str">
        <f t="shared" ca="1" si="7"/>
        <v>/A.</v>
      </c>
      <c r="L140" s="22" t="str">
        <f ca="1">IFERROR(__xludf.dummyfunction("CONCATENATE(ArrayFormula(""; ""&amp;QUERY(Hallazgos!A:F,""SELECT B WHERE E CONTAINS '""&amp;A140&amp;""' LABEL B ''"")))"),"#N/A")</f>
        <v>#N/A</v>
      </c>
    </row>
    <row r="141" spans="1:12" ht="140.25" x14ac:dyDescent="0.25">
      <c r="A141" s="23" t="s">
        <v>357</v>
      </c>
      <c r="B141" s="23" t="s">
        <v>847</v>
      </c>
      <c r="C141" s="24" t="s">
        <v>13</v>
      </c>
      <c r="D141" s="25" t="s">
        <v>846</v>
      </c>
      <c r="E141" s="25" t="s">
        <v>81</v>
      </c>
      <c r="F141" s="25" t="s">
        <v>55</v>
      </c>
      <c r="G141" s="26" t="s">
        <v>17</v>
      </c>
      <c r="H141" s="26" t="s">
        <v>17</v>
      </c>
      <c r="I141" s="26" t="s">
        <v>17</v>
      </c>
      <c r="J141" s="26" t="str">
        <f t="shared" si="6"/>
        <v>-</v>
      </c>
      <c r="K141" s="22" t="str">
        <f t="shared" ca="1" si="7"/>
        <v>/A.</v>
      </c>
      <c r="L141" s="22" t="str">
        <f ca="1">IFERROR(__xludf.dummyfunction("CONCATENATE(ArrayFormula(""; ""&amp;QUERY(Hallazgos!A:F,""SELECT B WHERE E CONTAINS '""&amp;A141&amp;""' LABEL B ''"")))"),"#N/A")</f>
        <v>#N/A</v>
      </c>
    </row>
    <row r="142" spans="1:12" ht="114.75" x14ac:dyDescent="0.25">
      <c r="A142" s="23" t="s">
        <v>363</v>
      </c>
      <c r="B142" s="23" t="s">
        <v>555</v>
      </c>
      <c r="C142" s="24" t="s">
        <v>13</v>
      </c>
      <c r="D142" s="25" t="s">
        <v>570</v>
      </c>
      <c r="E142" s="25" t="s">
        <v>81</v>
      </c>
      <c r="F142" s="25" t="s">
        <v>55</v>
      </c>
      <c r="G142" s="26" t="s">
        <v>17</v>
      </c>
      <c r="H142" s="26" t="s">
        <v>17</v>
      </c>
      <c r="I142" s="26" t="s">
        <v>17</v>
      </c>
      <c r="J142" s="26" t="str">
        <f t="shared" si="6"/>
        <v>-</v>
      </c>
      <c r="K142" s="22" t="str">
        <f t="shared" ca="1" si="7"/>
        <v>/A.</v>
      </c>
      <c r="L142" s="22" t="str">
        <f ca="1">IFERROR(__xludf.dummyfunction("CONCATENATE(ArrayFormula(""; ""&amp;QUERY(Hallazgos!A:F,""SELECT B WHERE E CONTAINS '""&amp;A142&amp;""' LABEL B ''"")))"),"#N/A")</f>
        <v>#N/A</v>
      </c>
    </row>
    <row r="143" spans="1:12" ht="204" x14ac:dyDescent="0.25">
      <c r="A143" s="27" t="s">
        <v>365</v>
      </c>
      <c r="B143" s="27" t="s">
        <v>848</v>
      </c>
      <c r="C143" s="24" t="s">
        <v>13</v>
      </c>
      <c r="D143" s="25" t="s">
        <v>553</v>
      </c>
      <c r="E143" s="25" t="s">
        <v>81</v>
      </c>
      <c r="F143" s="25" t="s">
        <v>55</v>
      </c>
      <c r="G143" s="26" t="s">
        <v>17</v>
      </c>
      <c r="H143" s="26" t="s">
        <v>17</v>
      </c>
      <c r="I143" s="26" t="s">
        <v>17</v>
      </c>
      <c r="J143" s="26" t="str">
        <f t="shared" si="6"/>
        <v>-</v>
      </c>
      <c r="K143" s="22" t="str">
        <f t="shared" ca="1" si="7"/>
        <v>/A.</v>
      </c>
      <c r="L143" s="22" t="str">
        <f ca="1">IFERROR(__xludf.dummyfunction("CONCATENATE(ArrayFormula(""; ""&amp;QUERY(Hallazgos!A:F,""SELECT B WHERE E CONTAINS '""&amp;A143&amp;""' LABEL B ''"")))"),"#N/A")</f>
        <v>#N/A</v>
      </c>
    </row>
    <row r="144" spans="1:12" ht="178.5" x14ac:dyDescent="0.25">
      <c r="A144" s="23" t="s">
        <v>367</v>
      </c>
      <c r="B144" s="23" t="s">
        <v>849</v>
      </c>
      <c r="C144" s="24" t="s">
        <v>13</v>
      </c>
      <c r="D144" s="25" t="s">
        <v>553</v>
      </c>
      <c r="E144" s="25" t="s">
        <v>98</v>
      </c>
      <c r="F144" s="25" t="s">
        <v>55</v>
      </c>
      <c r="G144" s="26" t="s">
        <v>17</v>
      </c>
      <c r="H144" s="26" t="s">
        <v>17</v>
      </c>
      <c r="I144" s="26" t="s">
        <v>17</v>
      </c>
      <c r="J144" s="26" t="str">
        <f t="shared" si="6"/>
        <v>-</v>
      </c>
      <c r="K144" s="22" t="str">
        <f t="shared" ca="1" si="7"/>
        <v>/A.</v>
      </c>
      <c r="L144" s="22" t="str">
        <f ca="1">IFERROR(__xludf.dummyfunction("CONCATENATE(ArrayFormula(""; ""&amp;QUERY(Hallazgos!A:F,""SELECT B WHERE E CONTAINS '""&amp;A144&amp;""' LABEL B ''"")))"),"#N/A")</f>
        <v>#N/A</v>
      </c>
    </row>
    <row r="145" spans="1:12" ht="102" x14ac:dyDescent="0.25">
      <c r="A145" s="23" t="s">
        <v>369</v>
      </c>
      <c r="B145" s="23" t="s">
        <v>561</v>
      </c>
      <c r="C145" s="24" t="s">
        <v>13</v>
      </c>
      <c r="D145" s="25" t="s">
        <v>553</v>
      </c>
      <c r="E145" s="25" t="s">
        <v>72</v>
      </c>
      <c r="F145" s="25" t="s">
        <v>55</v>
      </c>
      <c r="G145" s="26" t="s">
        <v>17</v>
      </c>
      <c r="H145" s="26" t="s">
        <v>17</v>
      </c>
      <c r="I145" s="26" t="s">
        <v>17</v>
      </c>
      <c r="J145" s="26" t="str">
        <f t="shared" si="6"/>
        <v>-</v>
      </c>
      <c r="K145" s="22" t="str">
        <f t="shared" ca="1" si="7"/>
        <v>/A.</v>
      </c>
      <c r="L145" s="22" t="str">
        <f ca="1">IFERROR(__xludf.dummyfunction("CONCATENATE(ArrayFormula(""; ""&amp;QUERY(Hallazgos!A:F,""SELECT B WHERE E CONTAINS '""&amp;A145&amp;""' LABEL B ''"")))"),"#N/A")</f>
        <v>#N/A</v>
      </c>
    </row>
    <row r="146" spans="1:12" ht="140.25" x14ac:dyDescent="0.25">
      <c r="A146" s="23" t="s">
        <v>371</v>
      </c>
      <c r="B146" s="23" t="s">
        <v>563</v>
      </c>
      <c r="C146" s="24" t="s">
        <v>13</v>
      </c>
      <c r="D146" s="25" t="s">
        <v>553</v>
      </c>
      <c r="E146" s="25" t="s">
        <v>15</v>
      </c>
      <c r="F146" s="25" t="s">
        <v>55</v>
      </c>
      <c r="G146" s="26" t="s">
        <v>17</v>
      </c>
      <c r="H146" s="26" t="s">
        <v>17</v>
      </c>
      <c r="I146" s="26" t="s">
        <v>17</v>
      </c>
      <c r="J146" s="26" t="str">
        <f t="shared" si="6"/>
        <v>-</v>
      </c>
      <c r="K146" s="22" t="str">
        <f t="shared" ca="1" si="7"/>
        <v>/A.</v>
      </c>
      <c r="L146" s="22" t="str">
        <f ca="1">IFERROR(__xludf.dummyfunction("CONCATENATE(ArrayFormula(""; ""&amp;QUERY(Hallazgos!A:F,""SELECT B WHERE E CONTAINS '""&amp;A146&amp;""' LABEL B ''"")))"),"#N/A")</f>
        <v>#N/A</v>
      </c>
    </row>
    <row r="147" spans="1:12" ht="178.5" x14ac:dyDescent="0.25">
      <c r="A147" s="23" t="s">
        <v>373</v>
      </c>
      <c r="B147" s="23" t="s">
        <v>850</v>
      </c>
      <c r="C147" s="24" t="s">
        <v>13</v>
      </c>
      <c r="D147" s="25" t="s">
        <v>570</v>
      </c>
      <c r="E147" s="25" t="s">
        <v>88</v>
      </c>
      <c r="F147" s="25" t="s">
        <v>55</v>
      </c>
      <c r="G147" s="26" t="s">
        <v>17</v>
      </c>
      <c r="H147" s="26" t="s">
        <v>17</v>
      </c>
      <c r="I147" s="26" t="s">
        <v>17</v>
      </c>
      <c r="J147" s="26" t="str">
        <f t="shared" si="6"/>
        <v>-</v>
      </c>
      <c r="K147" s="22" t="str">
        <f t="shared" ca="1" si="7"/>
        <v>/A.</v>
      </c>
      <c r="L147" s="22" t="str">
        <f ca="1">IFERROR(__xludf.dummyfunction("CONCATENATE(ArrayFormula(""; ""&amp;QUERY(Hallazgos!A:F,""SELECT B WHERE E CONTAINS '""&amp;A147&amp;""' LABEL B ''"")))"),"#N/A")</f>
        <v>#N/A</v>
      </c>
    </row>
    <row r="148" spans="1:12" ht="140.25" x14ac:dyDescent="0.25">
      <c r="A148" s="23" t="s">
        <v>851</v>
      </c>
      <c r="B148" s="23" t="s">
        <v>567</v>
      </c>
      <c r="C148" s="24" t="s">
        <v>13</v>
      </c>
      <c r="D148" s="25" t="s">
        <v>553</v>
      </c>
      <c r="E148" s="25" t="s">
        <v>81</v>
      </c>
      <c r="F148" s="25" t="s">
        <v>55</v>
      </c>
      <c r="G148" s="26" t="s">
        <v>17</v>
      </c>
      <c r="H148" s="26" t="s">
        <v>17</v>
      </c>
      <c r="I148" s="26" t="s">
        <v>17</v>
      </c>
      <c r="J148" s="26" t="str">
        <f t="shared" si="6"/>
        <v>-</v>
      </c>
      <c r="K148" s="22" t="str">
        <f t="shared" ca="1" si="7"/>
        <v>/A.</v>
      </c>
      <c r="L148" s="22" t="str">
        <f ca="1">IFERROR(__xludf.dummyfunction("CONCATENATE(ArrayFormula(""; ""&amp;QUERY(Hallazgos!A:F,""SELECT B WHERE E CONTAINS '""&amp;A148&amp;""' LABEL B ''"")))"),"#N/A")</f>
        <v>#N/A</v>
      </c>
    </row>
    <row r="149" spans="1:12" ht="140.25" x14ac:dyDescent="0.25">
      <c r="A149" s="23" t="s">
        <v>377</v>
      </c>
      <c r="B149" s="23" t="s">
        <v>852</v>
      </c>
      <c r="C149" s="24" t="s">
        <v>13</v>
      </c>
      <c r="D149" s="25" t="s">
        <v>461</v>
      </c>
      <c r="E149" s="25" t="s">
        <v>81</v>
      </c>
      <c r="F149" s="25" t="s">
        <v>55</v>
      </c>
      <c r="G149" s="26" t="s">
        <v>17</v>
      </c>
      <c r="H149" s="26" t="s">
        <v>17</v>
      </c>
      <c r="I149" s="26" t="s">
        <v>17</v>
      </c>
      <c r="J149" s="26" t="str">
        <f t="shared" si="6"/>
        <v>-</v>
      </c>
      <c r="K149" s="22" t="str">
        <f t="shared" ca="1" si="7"/>
        <v>/A.</v>
      </c>
      <c r="L149" s="22" t="str">
        <f ca="1">IFERROR(__xludf.dummyfunction("CONCATENATE(ArrayFormula(""; ""&amp;QUERY(Hallazgos!A:F,""SELECT B WHERE E CONTAINS '""&amp;A149&amp;""' LABEL B ''"")))"),"#N/A")</f>
        <v>#N/A</v>
      </c>
    </row>
    <row r="150" spans="1:12" ht="191.25" x14ac:dyDescent="0.25">
      <c r="A150" s="23" t="s">
        <v>381</v>
      </c>
      <c r="B150" s="23" t="s">
        <v>853</v>
      </c>
      <c r="C150" s="24" t="s">
        <v>13</v>
      </c>
      <c r="D150" s="25" t="s">
        <v>461</v>
      </c>
      <c r="E150" s="25" t="s">
        <v>81</v>
      </c>
      <c r="F150" s="25" t="s">
        <v>55</v>
      </c>
      <c r="G150" s="26" t="s">
        <v>17</v>
      </c>
      <c r="H150" s="26" t="s">
        <v>17</v>
      </c>
      <c r="I150" s="26" t="s">
        <v>17</v>
      </c>
      <c r="J150" s="26" t="str">
        <f t="shared" si="6"/>
        <v>-</v>
      </c>
      <c r="K150" s="22" t="str">
        <f t="shared" ca="1" si="7"/>
        <v>/A.</v>
      </c>
      <c r="L150" s="22" t="str">
        <f ca="1">IFERROR(__xludf.dummyfunction("CONCATENATE(ArrayFormula(""; ""&amp;QUERY(Hallazgos!A:F,""SELECT B WHERE E CONTAINS '""&amp;A150&amp;""' LABEL B ''"")))"),"#N/A")</f>
        <v>#N/A</v>
      </c>
    </row>
    <row r="151" spans="1:12" ht="165.75" x14ac:dyDescent="0.25">
      <c r="A151" s="23" t="s">
        <v>389</v>
      </c>
      <c r="B151" s="23" t="s">
        <v>471</v>
      </c>
      <c r="C151" s="24" t="s">
        <v>13</v>
      </c>
      <c r="D151" s="25" t="s">
        <v>461</v>
      </c>
      <c r="E151" s="25" t="s">
        <v>81</v>
      </c>
      <c r="F151" s="25" t="s">
        <v>55</v>
      </c>
      <c r="G151" s="26" t="s">
        <v>17</v>
      </c>
      <c r="H151" s="26" t="s">
        <v>17</v>
      </c>
      <c r="I151" s="26" t="s">
        <v>17</v>
      </c>
      <c r="J151" s="26" t="str">
        <f t="shared" si="6"/>
        <v>-</v>
      </c>
      <c r="K151" s="22" t="str">
        <f t="shared" ca="1" si="7"/>
        <v>/A.</v>
      </c>
      <c r="L151" s="22" t="str">
        <f ca="1">IFERROR(__xludf.dummyfunction("CONCATENATE(ArrayFormula(""; ""&amp;QUERY(Hallazgos!A:F,""SELECT B WHERE E CONTAINS '""&amp;A151&amp;""' LABEL B ''"")))"),"#N/A")</f>
        <v>#N/A</v>
      </c>
    </row>
    <row r="152" spans="1:12" ht="127.5" x14ac:dyDescent="0.25">
      <c r="A152" s="23" t="s">
        <v>391</v>
      </c>
      <c r="B152" s="23" t="s">
        <v>854</v>
      </c>
      <c r="C152" s="24" t="s">
        <v>13</v>
      </c>
      <c r="D152" s="25" t="s">
        <v>461</v>
      </c>
      <c r="E152" s="25" t="s">
        <v>98</v>
      </c>
      <c r="F152" s="25" t="s">
        <v>55</v>
      </c>
      <c r="G152" s="26" t="s">
        <v>17</v>
      </c>
      <c r="H152" s="26" t="s">
        <v>17</v>
      </c>
      <c r="I152" s="26" t="s">
        <v>17</v>
      </c>
      <c r="J152" s="26" t="str">
        <f t="shared" si="6"/>
        <v>-</v>
      </c>
      <c r="K152" s="22" t="str">
        <f t="shared" ca="1" si="7"/>
        <v>/A.</v>
      </c>
      <c r="L152" s="22" t="str">
        <f ca="1">IFERROR(__xludf.dummyfunction("CONCATENATE(ArrayFormula(""; ""&amp;QUERY(Hallazgos!A:F,""SELECT B WHERE E CONTAINS '""&amp;A152&amp;""' LABEL B ''"")))"),"#N/A")</f>
        <v>#N/A</v>
      </c>
    </row>
    <row r="153" spans="1:12" ht="178.5" x14ac:dyDescent="0.25">
      <c r="A153" s="23" t="s">
        <v>393</v>
      </c>
      <c r="B153" s="23" t="s">
        <v>855</v>
      </c>
      <c r="C153" s="24" t="s">
        <v>13</v>
      </c>
      <c r="D153" s="25" t="s">
        <v>461</v>
      </c>
      <c r="E153" s="25" t="s">
        <v>15</v>
      </c>
      <c r="F153" s="25" t="s">
        <v>55</v>
      </c>
      <c r="G153" s="26" t="s">
        <v>17</v>
      </c>
      <c r="H153" s="26" t="s">
        <v>17</v>
      </c>
      <c r="I153" s="26" t="s">
        <v>17</v>
      </c>
      <c r="J153" s="26" t="str">
        <f t="shared" si="6"/>
        <v>-</v>
      </c>
      <c r="K153" s="22" t="str">
        <f t="shared" ca="1" si="7"/>
        <v>/A.</v>
      </c>
      <c r="L153" s="22" t="str">
        <f ca="1">IFERROR(__xludf.dummyfunction("CONCATENATE(ArrayFormula(""; ""&amp;QUERY(Hallazgos!A:F,""SELECT B WHERE E CONTAINS '""&amp;A153&amp;""' LABEL B ''"")))"),"#N/A")</f>
        <v>#N/A</v>
      </c>
    </row>
    <row r="154" spans="1:12" ht="114.75" x14ac:dyDescent="0.25">
      <c r="A154" s="23" t="s">
        <v>395</v>
      </c>
      <c r="B154" s="23" t="s">
        <v>856</v>
      </c>
      <c r="C154" s="24" t="s">
        <v>13</v>
      </c>
      <c r="D154" s="25" t="s">
        <v>461</v>
      </c>
      <c r="E154" s="25" t="s">
        <v>81</v>
      </c>
      <c r="F154" s="25" t="s">
        <v>55</v>
      </c>
      <c r="G154" s="26" t="s">
        <v>17</v>
      </c>
      <c r="H154" s="26" t="s">
        <v>17</v>
      </c>
      <c r="I154" s="26" t="s">
        <v>17</v>
      </c>
      <c r="J154" s="26" t="str">
        <f t="shared" si="6"/>
        <v>-</v>
      </c>
      <c r="K154" s="22" t="str">
        <f t="shared" ca="1" si="7"/>
        <v>/A.</v>
      </c>
      <c r="L154" s="22" t="str">
        <f ca="1">IFERROR(__xludf.dummyfunction("CONCATENATE(ArrayFormula(""; ""&amp;QUERY(Hallazgos!A:F,""SELECT B WHERE E CONTAINS '""&amp;A154&amp;""' LABEL B ''"")))"),"#N/A")</f>
        <v>#N/A</v>
      </c>
    </row>
    <row r="155" spans="1:12" ht="127.5" x14ac:dyDescent="0.25">
      <c r="A155" s="23" t="s">
        <v>397</v>
      </c>
      <c r="B155" s="23" t="s">
        <v>477</v>
      </c>
      <c r="C155" s="24" t="s">
        <v>13</v>
      </c>
      <c r="D155" s="25" t="s">
        <v>461</v>
      </c>
      <c r="E155" s="25" t="s">
        <v>406</v>
      </c>
      <c r="F155" s="25" t="s">
        <v>55</v>
      </c>
      <c r="G155" s="26" t="s">
        <v>17</v>
      </c>
      <c r="H155" s="26" t="s">
        <v>17</v>
      </c>
      <c r="I155" s="26" t="s">
        <v>17</v>
      </c>
      <c r="J155" s="26" t="str">
        <f t="shared" si="6"/>
        <v>-</v>
      </c>
      <c r="K155" s="22" t="str">
        <f t="shared" ca="1" si="7"/>
        <v>/A.</v>
      </c>
      <c r="L155" s="22" t="str">
        <f ca="1">IFERROR(__xludf.dummyfunction("CONCATENATE(ArrayFormula(""; ""&amp;QUERY(Hallazgos!A:F,""SELECT B WHERE E CONTAINS '""&amp;A155&amp;""' LABEL B ''"")))"),"#N/A")</f>
        <v>#N/A</v>
      </c>
    </row>
    <row r="156" spans="1:12" ht="140.25" x14ac:dyDescent="0.25">
      <c r="A156" s="23" t="s">
        <v>400</v>
      </c>
      <c r="B156" s="23" t="s">
        <v>479</v>
      </c>
      <c r="C156" s="24" t="s">
        <v>13</v>
      </c>
      <c r="D156" s="25" t="s">
        <v>461</v>
      </c>
      <c r="E156" s="25" t="s">
        <v>116</v>
      </c>
      <c r="F156" s="25" t="s">
        <v>55</v>
      </c>
      <c r="G156" s="26" t="s">
        <v>17</v>
      </c>
      <c r="H156" s="26" t="s">
        <v>17</v>
      </c>
      <c r="I156" s="26" t="s">
        <v>17</v>
      </c>
      <c r="J156" s="26" t="str">
        <f t="shared" si="6"/>
        <v>-</v>
      </c>
      <c r="K156" s="22" t="str">
        <f t="shared" ca="1" si="7"/>
        <v>/A.</v>
      </c>
      <c r="L156" s="22" t="str">
        <f ca="1">IFERROR(__xludf.dummyfunction("CONCATENATE(ArrayFormula(""; ""&amp;QUERY(Hallazgos!A:F,""SELECT B WHERE E CONTAINS '""&amp;A156&amp;""' LABEL B ''"")))"),"#N/A")</f>
        <v>#N/A</v>
      </c>
    </row>
    <row r="157" spans="1:12" ht="140.25" x14ac:dyDescent="0.25">
      <c r="A157" s="23" t="s">
        <v>402</v>
      </c>
      <c r="B157" s="23" t="s">
        <v>857</v>
      </c>
      <c r="C157" s="24" t="s">
        <v>38</v>
      </c>
      <c r="D157" s="25" t="s">
        <v>544</v>
      </c>
      <c r="E157" s="25" t="s">
        <v>15</v>
      </c>
      <c r="F157" s="25" t="s">
        <v>44</v>
      </c>
      <c r="G157" s="26" t="s">
        <v>17</v>
      </c>
      <c r="H157" s="26" t="s">
        <v>17</v>
      </c>
      <c r="I157" s="26" t="s">
        <v>17</v>
      </c>
      <c r="J157" s="26" t="str">
        <f t="shared" si="6"/>
        <v>-</v>
      </c>
      <c r="K157" s="22" t="str">
        <f t="shared" ca="1" si="7"/>
        <v>/A.</v>
      </c>
      <c r="L157" s="22" t="str">
        <f ca="1">IFERROR(__xludf.dummyfunction("CONCATENATE(ArrayFormula(""; ""&amp;QUERY(Hallazgos!A:F,""SELECT B WHERE E CONTAINS '""&amp;A157&amp;""' LABEL B ''"")))"),"#N/A")</f>
        <v>#N/A</v>
      </c>
    </row>
    <row r="158" spans="1:12" ht="127.5" x14ac:dyDescent="0.25">
      <c r="A158" s="23" t="s">
        <v>407</v>
      </c>
      <c r="B158" s="23" t="s">
        <v>548</v>
      </c>
      <c r="C158" s="24" t="s">
        <v>38</v>
      </c>
      <c r="D158" s="25" t="s">
        <v>544</v>
      </c>
      <c r="E158" s="25" t="s">
        <v>15</v>
      </c>
      <c r="F158" s="25" t="s">
        <v>44</v>
      </c>
      <c r="G158" s="26" t="s">
        <v>17</v>
      </c>
      <c r="H158" s="26" t="s">
        <v>17</v>
      </c>
      <c r="I158" s="26" t="s">
        <v>17</v>
      </c>
      <c r="J158" s="26" t="str">
        <f t="shared" si="6"/>
        <v>-</v>
      </c>
      <c r="K158" s="22" t="str">
        <f t="shared" ca="1" si="7"/>
        <v>/A.</v>
      </c>
      <c r="L158" s="22" t="str">
        <f ca="1">IFERROR(__xludf.dummyfunction("CONCATENATE(ArrayFormula(""; ""&amp;QUERY(Hallazgos!A:F,""SELECT B WHERE E CONTAINS '""&amp;A158&amp;""' LABEL B ''"")))"),"#N/A")</f>
        <v>#N/A</v>
      </c>
    </row>
    <row r="159" spans="1:12" ht="127.5" x14ac:dyDescent="0.25">
      <c r="A159" s="23" t="s">
        <v>409</v>
      </c>
      <c r="B159" s="23" t="s">
        <v>158</v>
      </c>
      <c r="C159" s="24" t="s">
        <v>38</v>
      </c>
      <c r="D159" s="25" t="s">
        <v>535</v>
      </c>
      <c r="E159" s="25" t="s">
        <v>132</v>
      </c>
      <c r="F159" s="25" t="s">
        <v>55</v>
      </c>
      <c r="G159" s="26" t="s">
        <v>17</v>
      </c>
      <c r="H159" s="26" t="s">
        <v>17</v>
      </c>
      <c r="I159" s="26" t="s">
        <v>17</v>
      </c>
      <c r="J159" s="26" t="str">
        <f t="shared" si="6"/>
        <v>-</v>
      </c>
      <c r="K159" s="22" t="str">
        <f t="shared" ca="1" si="7"/>
        <v>/A.</v>
      </c>
      <c r="L159" s="22" t="str">
        <f ca="1">IFERROR(__xludf.dummyfunction("CONCATENATE(ArrayFormula(""; ""&amp;QUERY(Hallazgos!A:F,""SELECT B WHERE E CONTAINS '""&amp;A159&amp;""' LABEL B ''"")))"),"#N/A")</f>
        <v>#N/A</v>
      </c>
    </row>
    <row r="160" spans="1:12" ht="242.25" x14ac:dyDescent="0.25">
      <c r="A160" s="23" t="s">
        <v>411</v>
      </c>
      <c r="B160" s="23" t="s">
        <v>160</v>
      </c>
      <c r="C160" s="24" t="s">
        <v>38</v>
      </c>
      <c r="D160" s="25" t="s">
        <v>535</v>
      </c>
      <c r="E160" s="25" t="s">
        <v>15</v>
      </c>
      <c r="F160" s="25" t="s">
        <v>73</v>
      </c>
      <c r="G160" s="26" t="s">
        <v>17</v>
      </c>
      <c r="H160" s="26" t="s">
        <v>17</v>
      </c>
      <c r="I160" s="26" t="s">
        <v>17</v>
      </c>
      <c r="J160" s="26" t="str">
        <f t="shared" si="6"/>
        <v>-</v>
      </c>
      <c r="K160" s="22" t="str">
        <f t="shared" ca="1" si="7"/>
        <v>/A.</v>
      </c>
      <c r="L160" s="22" t="str">
        <f ca="1">IFERROR(__xludf.dummyfunction("CONCATENATE(ArrayFormula(""; ""&amp;QUERY(Hallazgos!A:F,""SELECT B WHERE E CONTAINS '""&amp;A160&amp;""' LABEL B ''"")))"),"#N/A")</f>
        <v>#N/A</v>
      </c>
    </row>
    <row r="161" spans="1:12" ht="293.25" x14ac:dyDescent="0.25">
      <c r="A161" s="23" t="s">
        <v>413</v>
      </c>
      <c r="B161" s="23" t="s">
        <v>858</v>
      </c>
      <c r="C161" s="24" t="s">
        <v>38</v>
      </c>
      <c r="D161" s="25" t="s">
        <v>544</v>
      </c>
      <c r="E161" s="25" t="s">
        <v>15</v>
      </c>
      <c r="F161" s="25" t="s">
        <v>44</v>
      </c>
      <c r="G161" s="26" t="s">
        <v>17</v>
      </c>
      <c r="H161" s="26" t="s">
        <v>17</v>
      </c>
      <c r="I161" s="26" t="s">
        <v>17</v>
      </c>
      <c r="J161" s="26" t="str">
        <f t="shared" si="6"/>
        <v>-</v>
      </c>
      <c r="K161" s="22" t="str">
        <f t="shared" ca="1" si="7"/>
        <v>/A.</v>
      </c>
      <c r="L161" s="22" t="str">
        <f ca="1">IFERROR(__xludf.dummyfunction("CONCATENATE(ArrayFormula(""; ""&amp;QUERY(Hallazgos!A:F,""SELECT B WHERE E CONTAINS '""&amp;A161&amp;""' LABEL B ''"")))"),"#N/A")</f>
        <v>#N/A</v>
      </c>
    </row>
    <row r="162" spans="1:12" ht="165.75" x14ac:dyDescent="0.25">
      <c r="A162" s="27" t="s">
        <v>415</v>
      </c>
      <c r="B162" s="27" t="s">
        <v>580</v>
      </c>
      <c r="C162" s="24" t="s">
        <v>38</v>
      </c>
      <c r="D162" s="25" t="s">
        <v>581</v>
      </c>
      <c r="E162" s="25" t="s">
        <v>81</v>
      </c>
      <c r="F162" s="25" t="s">
        <v>55</v>
      </c>
      <c r="G162" s="26" t="s">
        <v>17</v>
      </c>
      <c r="H162" s="26" t="s">
        <v>17</v>
      </c>
      <c r="I162" s="26" t="s">
        <v>17</v>
      </c>
      <c r="J162" s="26" t="str">
        <f t="shared" si="6"/>
        <v>-</v>
      </c>
      <c r="K162" s="22" t="str">
        <f t="shared" ca="1" si="7"/>
        <v>/A.</v>
      </c>
      <c r="L162" s="22" t="str">
        <f ca="1">IFERROR(__xludf.dummyfunction("CONCATENATE(ArrayFormula(""; ""&amp;QUERY(Hallazgos!A:F,""SELECT B WHERE E CONTAINS '""&amp;A162&amp;""' LABEL B ''"")))"),"#N/A")</f>
        <v>#N/A</v>
      </c>
    </row>
    <row r="163" spans="1:12" ht="114.75" x14ac:dyDescent="0.25">
      <c r="A163" s="27" t="s">
        <v>417</v>
      </c>
      <c r="B163" s="27" t="s">
        <v>859</v>
      </c>
      <c r="C163" s="24" t="s">
        <v>38</v>
      </c>
      <c r="D163" s="25" t="s">
        <v>581</v>
      </c>
      <c r="E163" s="25" t="s">
        <v>81</v>
      </c>
      <c r="F163" s="25" t="s">
        <v>55</v>
      </c>
      <c r="G163" s="26" t="s">
        <v>17</v>
      </c>
      <c r="H163" s="26" t="s">
        <v>17</v>
      </c>
      <c r="I163" s="26" t="s">
        <v>17</v>
      </c>
      <c r="J163" s="26" t="str">
        <f t="shared" si="6"/>
        <v>-</v>
      </c>
      <c r="K163" s="22" t="str">
        <f t="shared" ref="K163:K190" ca="1" si="8">IF(IFERROR(L163,7)=7,"",RIGHT(L163,LEN(L163)-2)&amp;".")</f>
        <v>/A.</v>
      </c>
      <c r="L163" s="22" t="str">
        <f ca="1">IFERROR(__xludf.dummyfunction("CONCATENATE(ArrayFormula(""; ""&amp;QUERY(Hallazgos!A:F,""SELECT B WHERE E CONTAINS '""&amp;A163&amp;""' LABEL B ''"")))"),"#N/A")</f>
        <v>#N/A</v>
      </c>
    </row>
    <row r="164" spans="1:12" ht="191.25" x14ac:dyDescent="0.25">
      <c r="A164" s="27" t="s">
        <v>442</v>
      </c>
      <c r="B164" s="27" t="s">
        <v>860</v>
      </c>
      <c r="C164" s="24" t="s">
        <v>13</v>
      </c>
      <c r="D164" s="25" t="s">
        <v>570</v>
      </c>
      <c r="E164" s="25" t="s">
        <v>72</v>
      </c>
      <c r="F164" s="25" t="s">
        <v>55</v>
      </c>
      <c r="G164" s="26" t="s">
        <v>17</v>
      </c>
      <c r="H164" s="26" t="s">
        <v>17</v>
      </c>
      <c r="I164" s="26" t="s">
        <v>17</v>
      </c>
      <c r="J164" s="26" t="str">
        <f t="shared" si="6"/>
        <v>-</v>
      </c>
      <c r="K164" s="22" t="str">
        <f t="shared" ca="1" si="8"/>
        <v>/A.</v>
      </c>
      <c r="L164" s="22" t="str">
        <f ca="1">IFERROR(__xludf.dummyfunction("CONCATENATE(ArrayFormula(""; ""&amp;QUERY(Hallazgos!A:F,""SELECT B WHERE E CONTAINS '""&amp;A164&amp;""' LABEL B ''"")))"),"#N/A")</f>
        <v>#N/A</v>
      </c>
    </row>
    <row r="165" spans="1:12" ht="178.5" x14ac:dyDescent="0.25">
      <c r="A165" s="27" t="s">
        <v>444</v>
      </c>
      <c r="B165" s="27" t="s">
        <v>861</v>
      </c>
      <c r="C165" s="24" t="s">
        <v>13</v>
      </c>
      <c r="D165" s="25" t="s">
        <v>570</v>
      </c>
      <c r="E165" s="25" t="s">
        <v>72</v>
      </c>
      <c r="F165" s="25" t="s">
        <v>55</v>
      </c>
      <c r="G165" s="26" t="s">
        <v>17</v>
      </c>
      <c r="H165" s="26" t="s">
        <v>17</v>
      </c>
      <c r="I165" s="26" t="s">
        <v>17</v>
      </c>
      <c r="J165" s="26" t="str">
        <f t="shared" si="6"/>
        <v>-</v>
      </c>
      <c r="K165" s="22" t="str">
        <f t="shared" ca="1" si="8"/>
        <v>/A.</v>
      </c>
      <c r="L165" s="22" t="str">
        <f ca="1">IFERROR(__xludf.dummyfunction("CONCATENATE(ArrayFormula(""; ""&amp;QUERY(Hallazgos!A:F,""SELECT B WHERE E CONTAINS '""&amp;A165&amp;""' LABEL B ''"")))"),"#N/A")</f>
        <v>#N/A</v>
      </c>
    </row>
    <row r="166" spans="1:12" ht="191.25" x14ac:dyDescent="0.25">
      <c r="A166" s="27" t="s">
        <v>446</v>
      </c>
      <c r="B166" s="27" t="s">
        <v>862</v>
      </c>
      <c r="C166" s="24" t="s">
        <v>38</v>
      </c>
      <c r="D166" s="25" t="s">
        <v>570</v>
      </c>
      <c r="E166" s="25" t="s">
        <v>98</v>
      </c>
      <c r="F166" s="25" t="s">
        <v>55</v>
      </c>
      <c r="G166" s="26" t="s">
        <v>17</v>
      </c>
      <c r="H166" s="26" t="s">
        <v>17</v>
      </c>
      <c r="I166" s="26" t="s">
        <v>17</v>
      </c>
      <c r="J166" s="26" t="str">
        <f t="shared" si="6"/>
        <v>-</v>
      </c>
      <c r="K166" s="22" t="str">
        <f t="shared" ca="1" si="8"/>
        <v>/A.</v>
      </c>
      <c r="L166" s="22" t="str">
        <f ca="1">IFERROR(__xludf.dummyfunction("CONCATENATE(ArrayFormula(""; ""&amp;QUERY(Hallazgos!A:F,""SELECT B WHERE E CONTAINS '""&amp;A166&amp;""' LABEL B ''"")))"),"#N/A")</f>
        <v>#N/A</v>
      </c>
    </row>
    <row r="167" spans="1:12" ht="114.75" x14ac:dyDescent="0.25">
      <c r="A167" s="27" t="s">
        <v>448</v>
      </c>
      <c r="B167" s="27" t="s">
        <v>863</v>
      </c>
      <c r="C167" s="24" t="s">
        <v>38</v>
      </c>
      <c r="D167" s="25" t="s">
        <v>570</v>
      </c>
      <c r="E167" s="25" t="s">
        <v>54</v>
      </c>
      <c r="F167" s="25" t="s">
        <v>55</v>
      </c>
      <c r="G167" s="26" t="s">
        <v>17</v>
      </c>
      <c r="H167" s="26" t="s">
        <v>17</v>
      </c>
      <c r="I167" s="26" t="s">
        <v>17</v>
      </c>
      <c r="J167" s="26" t="str">
        <f t="shared" si="6"/>
        <v>-</v>
      </c>
      <c r="K167" s="22" t="str">
        <f t="shared" ca="1" si="8"/>
        <v>/A.</v>
      </c>
      <c r="L167" s="22" t="str">
        <f ca="1">IFERROR(__xludf.dummyfunction("CONCATENATE(ArrayFormula(""; ""&amp;QUERY(Hallazgos!A:F,""SELECT B WHERE E CONTAINS '""&amp;A167&amp;""' LABEL B ''"")))"),"#N/A")</f>
        <v>#N/A</v>
      </c>
    </row>
    <row r="168" spans="1:12" ht="102" x14ac:dyDescent="0.25">
      <c r="A168" s="27" t="s">
        <v>450</v>
      </c>
      <c r="B168" s="27" t="s">
        <v>864</v>
      </c>
      <c r="C168" s="24" t="s">
        <v>13</v>
      </c>
      <c r="D168" s="25" t="s">
        <v>570</v>
      </c>
      <c r="E168" s="25" t="s">
        <v>184</v>
      </c>
      <c r="F168" s="25" t="s">
        <v>55</v>
      </c>
      <c r="G168" s="26" t="s">
        <v>17</v>
      </c>
      <c r="H168" s="26" t="s">
        <v>17</v>
      </c>
      <c r="I168" s="26" t="s">
        <v>17</v>
      </c>
      <c r="J168" s="26" t="str">
        <f t="shared" si="6"/>
        <v>-</v>
      </c>
      <c r="K168" s="22" t="str">
        <f t="shared" ca="1" si="8"/>
        <v>/A.</v>
      </c>
      <c r="L168" s="22" t="str">
        <f ca="1">IFERROR(__xludf.dummyfunction("CONCATENATE(ArrayFormula(""; ""&amp;QUERY(Hallazgos!A:F,""SELECT B WHERE E CONTAINS '""&amp;A168&amp;""' LABEL B ''"")))"),"#N/A")</f>
        <v>#N/A</v>
      </c>
    </row>
    <row r="169" spans="1:12" ht="114.75" x14ac:dyDescent="0.25">
      <c r="A169" s="27" t="s">
        <v>453</v>
      </c>
      <c r="B169" s="27" t="s">
        <v>865</v>
      </c>
      <c r="C169" s="24" t="s">
        <v>38</v>
      </c>
      <c r="D169" s="25" t="s">
        <v>866</v>
      </c>
      <c r="E169" s="25" t="s">
        <v>116</v>
      </c>
      <c r="F169" s="25" t="s">
        <v>55</v>
      </c>
      <c r="G169" s="26" t="s">
        <v>17</v>
      </c>
      <c r="H169" s="26" t="s">
        <v>17</v>
      </c>
      <c r="I169" s="26" t="s">
        <v>17</v>
      </c>
      <c r="J169" s="26" t="str">
        <f t="shared" si="6"/>
        <v>-</v>
      </c>
      <c r="K169" s="22" t="str">
        <f t="shared" ca="1" si="8"/>
        <v>/A.</v>
      </c>
      <c r="L169" s="22" t="str">
        <f ca="1">IFERROR(__xludf.dummyfunction("CONCATENATE(ArrayFormula(""; ""&amp;QUERY(Hallazgos!A:F,""SELECT B WHERE E CONTAINS '""&amp;A169&amp;""' LABEL B ''"")))"),"#N/A")</f>
        <v>#N/A</v>
      </c>
    </row>
    <row r="170" spans="1:12" ht="114.75" x14ac:dyDescent="0.25">
      <c r="A170" s="27" t="s">
        <v>455</v>
      </c>
      <c r="B170" s="27" t="s">
        <v>867</v>
      </c>
      <c r="C170" s="24" t="s">
        <v>38</v>
      </c>
      <c r="D170" s="25" t="s">
        <v>866</v>
      </c>
      <c r="E170" s="25" t="s">
        <v>116</v>
      </c>
      <c r="F170" s="25" t="s">
        <v>55</v>
      </c>
      <c r="G170" s="26" t="s">
        <v>17</v>
      </c>
      <c r="H170" s="26" t="s">
        <v>17</v>
      </c>
      <c r="I170" s="26" t="s">
        <v>17</v>
      </c>
      <c r="J170" s="26" t="str">
        <f t="shared" si="6"/>
        <v>-</v>
      </c>
      <c r="K170" s="22" t="str">
        <f t="shared" ca="1" si="8"/>
        <v>/A.</v>
      </c>
      <c r="L170" s="22" t="str">
        <f ca="1">IFERROR(__xludf.dummyfunction("CONCATENATE(ArrayFormula(""; ""&amp;QUERY(Hallazgos!A:F,""SELECT B WHERE E CONTAINS '""&amp;A170&amp;""' LABEL B ''"")))"),"#N/A")</f>
        <v>#N/A</v>
      </c>
    </row>
    <row r="171" spans="1:12" ht="140.25" x14ac:dyDescent="0.25">
      <c r="A171" s="27" t="s">
        <v>457</v>
      </c>
      <c r="B171" s="27" t="s">
        <v>868</v>
      </c>
      <c r="C171" s="24" t="s">
        <v>41</v>
      </c>
      <c r="D171" s="25" t="s">
        <v>69</v>
      </c>
      <c r="E171" s="25" t="s">
        <v>15</v>
      </c>
      <c r="F171" s="25" t="s">
        <v>55</v>
      </c>
      <c r="G171" s="26" t="s">
        <v>17</v>
      </c>
      <c r="H171" s="26" t="s">
        <v>17</v>
      </c>
      <c r="I171" s="26" t="s">
        <v>17</v>
      </c>
      <c r="J171" s="26" t="str">
        <f t="shared" si="6"/>
        <v>-</v>
      </c>
      <c r="K171" s="22" t="str">
        <f t="shared" ca="1" si="8"/>
        <v>/A.</v>
      </c>
      <c r="L171" s="22" t="str">
        <f ca="1">IFERROR(__xludf.dummyfunction("CONCATENATE(ArrayFormula(""; ""&amp;QUERY(Hallazgos!A:F,""SELECT B WHERE E CONTAINS '""&amp;A171&amp;""' LABEL B ''"")))"),"#N/A")</f>
        <v>#N/A</v>
      </c>
    </row>
    <row r="172" spans="1:12" ht="165.75" x14ac:dyDescent="0.25">
      <c r="A172" s="27" t="s">
        <v>459</v>
      </c>
      <c r="B172" s="27" t="s">
        <v>869</v>
      </c>
      <c r="C172" s="24" t="s">
        <v>41</v>
      </c>
      <c r="D172" s="25" t="s">
        <v>69</v>
      </c>
      <c r="E172" s="25" t="s">
        <v>72</v>
      </c>
      <c r="F172" s="25" t="s">
        <v>73</v>
      </c>
      <c r="G172" s="26" t="s">
        <v>17</v>
      </c>
      <c r="H172" s="26" t="s">
        <v>17</v>
      </c>
      <c r="I172" s="26" t="s">
        <v>17</v>
      </c>
      <c r="J172" s="26" t="str">
        <f t="shared" si="6"/>
        <v>-</v>
      </c>
      <c r="K172" s="22" t="str">
        <f t="shared" ca="1" si="8"/>
        <v>/A.</v>
      </c>
      <c r="L172" s="22" t="str">
        <f ca="1">IFERROR(__xludf.dummyfunction("CONCATENATE(ArrayFormula(""; ""&amp;QUERY(Hallazgos!A:F,""SELECT B WHERE E CONTAINS '""&amp;A172&amp;""' LABEL B ''"")))"),"#N/A")</f>
        <v>#N/A</v>
      </c>
    </row>
    <row r="173" spans="1:12" ht="165.75" x14ac:dyDescent="0.25">
      <c r="A173" s="27" t="s">
        <v>462</v>
      </c>
      <c r="B173" s="27" t="s">
        <v>870</v>
      </c>
      <c r="C173" s="24" t="s">
        <v>41</v>
      </c>
      <c r="D173" s="25" t="s">
        <v>69</v>
      </c>
      <c r="E173" s="25" t="s">
        <v>76</v>
      </c>
      <c r="F173" s="25" t="s">
        <v>55</v>
      </c>
      <c r="G173" s="26" t="s">
        <v>17</v>
      </c>
      <c r="H173" s="26" t="s">
        <v>17</v>
      </c>
      <c r="I173" s="26" t="s">
        <v>17</v>
      </c>
      <c r="J173" s="26" t="str">
        <f t="shared" si="6"/>
        <v>-</v>
      </c>
      <c r="K173" s="22" t="str">
        <f t="shared" ca="1" si="8"/>
        <v>/A.</v>
      </c>
      <c r="L173" s="22" t="str">
        <f ca="1">IFERROR(__xludf.dummyfunction("CONCATENATE(ArrayFormula(""; ""&amp;QUERY(Hallazgos!A:F,""SELECT B WHERE E CONTAINS '""&amp;A173&amp;""' LABEL B ''"")))"),"#N/A")</f>
        <v>#N/A</v>
      </c>
    </row>
    <row r="174" spans="1:12" ht="165.75" x14ac:dyDescent="0.25">
      <c r="A174" s="27" t="s">
        <v>464</v>
      </c>
      <c r="B174" s="27" t="s">
        <v>871</v>
      </c>
      <c r="C174" s="24" t="s">
        <v>41</v>
      </c>
      <c r="D174" s="25" t="s">
        <v>69</v>
      </c>
      <c r="E174" s="25" t="s">
        <v>76</v>
      </c>
      <c r="F174" s="25" t="s">
        <v>73</v>
      </c>
      <c r="G174" s="26" t="s">
        <v>17</v>
      </c>
      <c r="H174" s="26" t="s">
        <v>17</v>
      </c>
      <c r="I174" s="26" t="s">
        <v>17</v>
      </c>
      <c r="J174" s="26" t="str">
        <f t="shared" si="6"/>
        <v>-</v>
      </c>
      <c r="K174" s="22" t="str">
        <f t="shared" ca="1" si="8"/>
        <v>/A.</v>
      </c>
      <c r="L174" s="22" t="str">
        <f ca="1">IFERROR(__xludf.dummyfunction("CONCATENATE(ArrayFormula(""; ""&amp;QUERY(Hallazgos!A:F,""SELECT B WHERE E CONTAINS '""&amp;A174&amp;""' LABEL B ''"")))"),"#N/A")</f>
        <v>#N/A</v>
      </c>
    </row>
    <row r="175" spans="1:12" ht="216.75" x14ac:dyDescent="0.25">
      <c r="A175" s="27" t="s">
        <v>466</v>
      </c>
      <c r="B175" s="27" t="s">
        <v>872</v>
      </c>
      <c r="C175" s="24" t="s">
        <v>41</v>
      </c>
      <c r="D175" s="25" t="s">
        <v>69</v>
      </c>
      <c r="E175" s="25" t="s">
        <v>81</v>
      </c>
      <c r="F175" s="25" t="s">
        <v>55</v>
      </c>
      <c r="G175" s="26" t="s">
        <v>17</v>
      </c>
      <c r="H175" s="26" t="s">
        <v>17</v>
      </c>
      <c r="I175" s="26" t="s">
        <v>17</v>
      </c>
      <c r="J175" s="26" t="str">
        <f t="shared" si="6"/>
        <v>-</v>
      </c>
      <c r="K175" s="22" t="str">
        <f t="shared" ca="1" si="8"/>
        <v>/A.</v>
      </c>
      <c r="L175" s="22" t="str">
        <f ca="1">IFERROR(__xludf.dummyfunction("CONCATENATE(ArrayFormula(""; ""&amp;QUERY(Hallazgos!A:F,""SELECT B WHERE E CONTAINS '""&amp;A175&amp;""' LABEL B ''"")))"),"#N/A")</f>
        <v>#N/A</v>
      </c>
    </row>
    <row r="176" spans="1:12" ht="127.5" x14ac:dyDescent="0.25">
      <c r="A176" s="27" t="s">
        <v>468</v>
      </c>
      <c r="B176" s="27" t="s">
        <v>873</v>
      </c>
      <c r="C176" s="24" t="s">
        <v>41</v>
      </c>
      <c r="D176" s="25" t="s">
        <v>69</v>
      </c>
      <c r="E176" s="25" t="s">
        <v>81</v>
      </c>
      <c r="F176" s="25" t="s">
        <v>55</v>
      </c>
      <c r="G176" s="26" t="s">
        <v>17</v>
      </c>
      <c r="H176" s="26" t="s">
        <v>17</v>
      </c>
      <c r="I176" s="26" t="s">
        <v>17</v>
      </c>
      <c r="J176" s="26" t="str">
        <f t="shared" si="6"/>
        <v>-</v>
      </c>
      <c r="K176" s="22" t="str">
        <f t="shared" ca="1" si="8"/>
        <v>/A.</v>
      </c>
      <c r="L176" s="22" t="str">
        <f ca="1">IFERROR(__xludf.dummyfunction("CONCATENATE(ArrayFormula(""; ""&amp;QUERY(Hallazgos!A:F,""SELECT B WHERE E CONTAINS '""&amp;A176&amp;""' LABEL B ''"")))"),"#N/A")</f>
        <v>#N/A</v>
      </c>
    </row>
    <row r="177" spans="1:12" ht="153" x14ac:dyDescent="0.25">
      <c r="A177" s="27" t="s">
        <v>472</v>
      </c>
      <c r="B177" s="27" t="s">
        <v>874</v>
      </c>
      <c r="C177" s="24" t="s">
        <v>41</v>
      </c>
      <c r="D177" s="25" t="s">
        <v>189</v>
      </c>
      <c r="E177" s="25" t="s">
        <v>54</v>
      </c>
      <c r="F177" s="25" t="s">
        <v>55</v>
      </c>
      <c r="G177" s="26" t="s">
        <v>17</v>
      </c>
      <c r="H177" s="26" t="s">
        <v>17</v>
      </c>
      <c r="I177" s="26" t="s">
        <v>17</v>
      </c>
      <c r="J177" s="26" t="str">
        <f t="shared" si="6"/>
        <v>-</v>
      </c>
      <c r="K177" s="22" t="str">
        <f t="shared" ca="1" si="8"/>
        <v>/A.</v>
      </c>
      <c r="L177" s="22" t="str">
        <f ca="1">IFERROR(__xludf.dummyfunction("CONCATENATE(ArrayFormula(""; ""&amp;QUERY(Hallazgos!A:F,""SELECT B WHERE E CONTAINS '""&amp;A177&amp;""' LABEL B ''"")))"),"#N/A")</f>
        <v>#N/A</v>
      </c>
    </row>
    <row r="178" spans="1:12" ht="76.5" x14ac:dyDescent="0.25">
      <c r="A178" s="27" t="s">
        <v>474</v>
      </c>
      <c r="B178" s="27" t="s">
        <v>875</v>
      </c>
      <c r="C178" s="24" t="s">
        <v>41</v>
      </c>
      <c r="D178" s="25" t="s">
        <v>69</v>
      </c>
      <c r="E178" s="25" t="s">
        <v>81</v>
      </c>
      <c r="F178" s="25" t="s">
        <v>73</v>
      </c>
      <c r="G178" s="26" t="s">
        <v>17</v>
      </c>
      <c r="H178" s="26" t="s">
        <v>17</v>
      </c>
      <c r="I178" s="26" t="s">
        <v>17</v>
      </c>
      <c r="J178" s="26" t="str">
        <f t="shared" si="6"/>
        <v>-</v>
      </c>
      <c r="K178" s="22" t="str">
        <f t="shared" ca="1" si="8"/>
        <v>/A.</v>
      </c>
      <c r="L178" s="22" t="str">
        <f ca="1">IFERROR(__xludf.dummyfunction("CONCATENATE(ArrayFormula(""; ""&amp;QUERY(Hallazgos!A:F,""SELECT B WHERE E CONTAINS '""&amp;A178&amp;""' LABEL B ''"")))"),"#N/A")</f>
        <v>#N/A</v>
      </c>
    </row>
    <row r="179" spans="1:12" ht="357" x14ac:dyDescent="0.25">
      <c r="A179" s="27" t="s">
        <v>476</v>
      </c>
      <c r="B179" s="27" t="s">
        <v>876</v>
      </c>
      <c r="C179" s="24" t="s">
        <v>41</v>
      </c>
      <c r="D179" s="25" t="s">
        <v>69</v>
      </c>
      <c r="E179" s="25" t="s">
        <v>88</v>
      </c>
      <c r="F179" s="25" t="s">
        <v>73</v>
      </c>
      <c r="G179" s="26" t="s">
        <v>17</v>
      </c>
      <c r="H179" s="26" t="s">
        <v>17</v>
      </c>
      <c r="I179" s="26" t="s">
        <v>17</v>
      </c>
      <c r="J179" s="26" t="str">
        <f t="shared" si="6"/>
        <v>-</v>
      </c>
      <c r="K179" s="22" t="str">
        <f t="shared" ca="1" si="8"/>
        <v>/A.</v>
      </c>
      <c r="L179" s="22" t="str">
        <f ca="1">IFERROR(__xludf.dummyfunction("CONCATENATE(ArrayFormula(""; ""&amp;QUERY(Hallazgos!A:F,""SELECT B WHERE E CONTAINS '""&amp;A179&amp;""' LABEL B ''"")))"),"#N/A")</f>
        <v>#N/A</v>
      </c>
    </row>
    <row r="180" spans="1:12" ht="140.25" x14ac:dyDescent="0.25">
      <c r="A180" s="27" t="s">
        <v>478</v>
      </c>
      <c r="B180" s="27" t="s">
        <v>92</v>
      </c>
      <c r="C180" s="24" t="s">
        <v>41</v>
      </c>
      <c r="D180" s="25" t="s">
        <v>69</v>
      </c>
      <c r="E180" s="25" t="s">
        <v>81</v>
      </c>
      <c r="F180" s="25" t="s">
        <v>73</v>
      </c>
      <c r="G180" s="26" t="s">
        <v>17</v>
      </c>
      <c r="H180" s="26" t="s">
        <v>17</v>
      </c>
      <c r="I180" s="26" t="s">
        <v>17</v>
      </c>
      <c r="J180" s="26" t="str">
        <f t="shared" si="6"/>
        <v>-</v>
      </c>
      <c r="K180" s="22" t="str">
        <f t="shared" ca="1" si="8"/>
        <v>/A.</v>
      </c>
      <c r="L180" s="22" t="str">
        <f ca="1">IFERROR(__xludf.dummyfunction("CONCATENATE(ArrayFormula(""; ""&amp;QUERY(Hallazgos!A:F,""SELECT B WHERE E CONTAINS '""&amp;A180&amp;""' LABEL B ''"")))"),"#N/A")</f>
        <v>#N/A</v>
      </c>
    </row>
    <row r="181" spans="1:12" ht="191.25" x14ac:dyDescent="0.25">
      <c r="A181" s="27" t="s">
        <v>480</v>
      </c>
      <c r="B181" s="27" t="s">
        <v>877</v>
      </c>
      <c r="C181" s="24" t="s">
        <v>13</v>
      </c>
      <c r="D181" s="25" t="s">
        <v>599</v>
      </c>
      <c r="E181" s="25" t="s">
        <v>54</v>
      </c>
      <c r="F181" s="25" t="s">
        <v>55</v>
      </c>
      <c r="G181" s="26" t="s">
        <v>17</v>
      </c>
      <c r="H181" s="26" t="s">
        <v>17</v>
      </c>
      <c r="I181" s="26" t="s">
        <v>17</v>
      </c>
      <c r="J181" s="26" t="str">
        <f t="shared" si="6"/>
        <v>-</v>
      </c>
      <c r="K181" s="22" t="str">
        <f t="shared" ca="1" si="8"/>
        <v>/A.</v>
      </c>
      <c r="L181" s="22" t="str">
        <f ca="1">IFERROR(__xludf.dummyfunction("CONCATENATE(ArrayFormula(""; ""&amp;QUERY(Hallazgos!A:F,""SELECT B WHERE E CONTAINS '""&amp;A181&amp;""' LABEL B ''"")))"),"#N/A")</f>
        <v>#N/A</v>
      </c>
    </row>
    <row r="182" spans="1:12" ht="153" x14ac:dyDescent="0.25">
      <c r="A182" s="27" t="s">
        <v>483</v>
      </c>
      <c r="B182" s="27" t="s">
        <v>878</v>
      </c>
      <c r="C182" s="24" t="s">
        <v>41</v>
      </c>
      <c r="D182" s="25" t="s">
        <v>103</v>
      </c>
      <c r="E182" s="25" t="s">
        <v>76</v>
      </c>
      <c r="F182" s="25" t="s">
        <v>55</v>
      </c>
      <c r="G182" s="26" t="s">
        <v>17</v>
      </c>
      <c r="H182" s="26" t="s">
        <v>17</v>
      </c>
      <c r="I182" s="26" t="s">
        <v>17</v>
      </c>
      <c r="J182" s="26" t="str">
        <f t="shared" si="6"/>
        <v>-</v>
      </c>
      <c r="K182" s="22" t="str">
        <f t="shared" ca="1" si="8"/>
        <v>/A.</v>
      </c>
      <c r="L182" s="22" t="str">
        <f ca="1">IFERROR(__xludf.dummyfunction("CONCATENATE(ArrayFormula(""; ""&amp;QUERY(Hallazgos!A:F,""SELECT B WHERE E CONTAINS '""&amp;A182&amp;""' LABEL B ''"")))"),"#N/A")</f>
        <v>#N/A</v>
      </c>
    </row>
    <row r="183" spans="1:12" ht="178.5" x14ac:dyDescent="0.25">
      <c r="A183" s="27" t="s">
        <v>485</v>
      </c>
      <c r="B183" s="27" t="s">
        <v>605</v>
      </c>
      <c r="C183" s="24" t="s">
        <v>41</v>
      </c>
      <c r="D183" s="25" t="s">
        <v>599</v>
      </c>
      <c r="E183" s="25" t="s">
        <v>184</v>
      </c>
      <c r="F183" s="25" t="s">
        <v>55</v>
      </c>
      <c r="G183" s="26" t="s">
        <v>17</v>
      </c>
      <c r="H183" s="26" t="s">
        <v>17</v>
      </c>
      <c r="I183" s="26" t="s">
        <v>17</v>
      </c>
      <c r="J183" s="26" t="str">
        <f t="shared" si="6"/>
        <v>-</v>
      </c>
      <c r="K183" s="22" t="str">
        <f t="shared" ca="1" si="8"/>
        <v>/A.</v>
      </c>
      <c r="L183" s="22" t="str">
        <f ca="1">IFERROR(__xludf.dummyfunction("CONCATENATE(ArrayFormula(""; ""&amp;QUERY(Hallazgos!A:F,""SELECT B WHERE E CONTAINS '""&amp;A183&amp;""' LABEL B ''"")))"),"#N/A")</f>
        <v>#N/A</v>
      </c>
    </row>
    <row r="184" spans="1:12" ht="216.75" x14ac:dyDescent="0.25">
      <c r="A184" s="27" t="s">
        <v>490</v>
      </c>
      <c r="B184" s="27" t="s">
        <v>609</v>
      </c>
      <c r="C184" s="24" t="s">
        <v>13</v>
      </c>
      <c r="D184" s="25" t="s">
        <v>599</v>
      </c>
      <c r="E184" s="25" t="s">
        <v>15</v>
      </c>
      <c r="F184" s="25" t="s">
        <v>55</v>
      </c>
      <c r="G184" s="26" t="s">
        <v>17</v>
      </c>
      <c r="H184" s="26" t="s">
        <v>17</v>
      </c>
      <c r="I184" s="26" t="s">
        <v>17</v>
      </c>
      <c r="J184" s="26" t="str">
        <f t="shared" si="6"/>
        <v>-</v>
      </c>
      <c r="K184" s="22" t="str">
        <f t="shared" ca="1" si="8"/>
        <v>/A.</v>
      </c>
      <c r="L184" s="22" t="str">
        <f ca="1">IFERROR(__xludf.dummyfunction("CONCATENATE(ArrayFormula(""; ""&amp;QUERY(Hallazgos!A:F,""SELECT B WHERE E CONTAINS '""&amp;A184&amp;""' LABEL B ''"")))"),"#N/A")</f>
        <v>#N/A</v>
      </c>
    </row>
    <row r="185" spans="1:12" ht="102" x14ac:dyDescent="0.25">
      <c r="A185" s="27" t="s">
        <v>492</v>
      </c>
      <c r="B185" s="27" t="s">
        <v>879</v>
      </c>
      <c r="C185" s="24" t="s">
        <v>38</v>
      </c>
      <c r="D185" s="25" t="s">
        <v>599</v>
      </c>
      <c r="E185" s="25" t="s">
        <v>15</v>
      </c>
      <c r="F185" s="25" t="s">
        <v>55</v>
      </c>
      <c r="G185" s="26" t="s">
        <v>17</v>
      </c>
      <c r="H185" s="26" t="s">
        <v>17</v>
      </c>
      <c r="I185" s="26" t="s">
        <v>17</v>
      </c>
      <c r="J185" s="26" t="str">
        <f t="shared" si="6"/>
        <v>-</v>
      </c>
      <c r="K185" s="22" t="str">
        <f t="shared" ca="1" si="8"/>
        <v>/A.</v>
      </c>
      <c r="L185" s="22" t="str">
        <f ca="1">IFERROR(__xludf.dummyfunction("CONCATENATE(ArrayFormula(""; ""&amp;QUERY(Hallazgos!A:F,""SELECT B WHERE E CONTAINS '""&amp;A185&amp;""' LABEL B ''"")))"),"#N/A")</f>
        <v>#N/A</v>
      </c>
    </row>
    <row r="186" spans="1:12" ht="140.25" x14ac:dyDescent="0.25">
      <c r="A186" s="27" t="s">
        <v>494</v>
      </c>
      <c r="B186" s="27" t="s">
        <v>880</v>
      </c>
      <c r="C186" s="24" t="s">
        <v>13</v>
      </c>
      <c r="D186" s="25" t="s">
        <v>599</v>
      </c>
      <c r="E186" s="25" t="s">
        <v>184</v>
      </c>
      <c r="F186" s="25" t="s">
        <v>55</v>
      </c>
      <c r="G186" s="26" t="s">
        <v>17</v>
      </c>
      <c r="H186" s="26" t="s">
        <v>17</v>
      </c>
      <c r="I186" s="26" t="s">
        <v>17</v>
      </c>
      <c r="J186" s="26" t="str">
        <f t="shared" si="6"/>
        <v>-</v>
      </c>
      <c r="K186" s="22" t="str">
        <f t="shared" ca="1" si="8"/>
        <v>/A.</v>
      </c>
      <c r="L186" s="22" t="str">
        <f ca="1">IFERROR(__xludf.dummyfunction("CONCATENATE(ArrayFormula(""; ""&amp;QUERY(Hallazgos!A:F,""SELECT B WHERE E CONTAINS '""&amp;A186&amp;""' LABEL B ''"")))"),"#N/A")</f>
        <v>#N/A</v>
      </c>
    </row>
    <row r="187" spans="1:12" ht="102" x14ac:dyDescent="0.25">
      <c r="A187" s="27" t="s">
        <v>497</v>
      </c>
      <c r="B187" s="27" t="s">
        <v>881</v>
      </c>
      <c r="C187" s="24" t="s">
        <v>13</v>
      </c>
      <c r="D187" s="25" t="s">
        <v>599</v>
      </c>
      <c r="E187" s="25" t="s">
        <v>184</v>
      </c>
      <c r="F187" s="25" t="s">
        <v>55</v>
      </c>
      <c r="G187" s="26" t="s">
        <v>17</v>
      </c>
      <c r="H187" s="26" t="s">
        <v>17</v>
      </c>
      <c r="I187" s="26" t="s">
        <v>17</v>
      </c>
      <c r="J187" s="26" t="str">
        <f t="shared" si="6"/>
        <v>-</v>
      </c>
      <c r="K187" s="22" t="str">
        <f t="shared" ca="1" si="8"/>
        <v>/A.</v>
      </c>
      <c r="L187" s="22" t="str">
        <f ca="1">IFERROR(__xludf.dummyfunction("CONCATENATE(ArrayFormula(""; ""&amp;QUERY(Hallazgos!A:F,""SELECT B WHERE E CONTAINS '""&amp;A187&amp;""' LABEL B ''"")))"),"#N/A")</f>
        <v>#N/A</v>
      </c>
    </row>
    <row r="188" spans="1:12" ht="178.5" x14ac:dyDescent="0.25">
      <c r="A188" s="27" t="s">
        <v>499</v>
      </c>
      <c r="B188" s="27" t="s">
        <v>882</v>
      </c>
      <c r="C188" s="24" t="s">
        <v>13</v>
      </c>
      <c r="D188" s="25" t="s">
        <v>599</v>
      </c>
      <c r="E188" s="25" t="s">
        <v>81</v>
      </c>
      <c r="F188" s="25" t="s">
        <v>55</v>
      </c>
      <c r="G188" s="26" t="s">
        <v>17</v>
      </c>
      <c r="H188" s="26" t="s">
        <v>17</v>
      </c>
      <c r="I188" s="26" t="s">
        <v>17</v>
      </c>
      <c r="J188" s="26" t="str">
        <f t="shared" si="6"/>
        <v>-</v>
      </c>
      <c r="K188" s="22" t="str">
        <f t="shared" ca="1" si="8"/>
        <v>/A.</v>
      </c>
      <c r="L188" s="22" t="str">
        <f ca="1">IFERROR(__xludf.dummyfunction("CONCATENATE(ArrayFormula(""; ""&amp;QUERY(Hallazgos!A:F,""SELECT B WHERE E CONTAINS '""&amp;A188&amp;""' LABEL B ''"")))"),"#N/A")</f>
        <v>#N/A</v>
      </c>
    </row>
    <row r="189" spans="1:12" ht="191.25" x14ac:dyDescent="0.25">
      <c r="A189" s="27" t="s">
        <v>502</v>
      </c>
      <c r="B189" s="27" t="s">
        <v>883</v>
      </c>
      <c r="C189" s="24" t="s">
        <v>13</v>
      </c>
      <c r="D189" s="25" t="s">
        <v>599</v>
      </c>
      <c r="E189" s="25" t="s">
        <v>98</v>
      </c>
      <c r="F189" s="25" t="s">
        <v>55</v>
      </c>
      <c r="G189" s="26" t="s">
        <v>17</v>
      </c>
      <c r="H189" s="26" t="s">
        <v>17</v>
      </c>
      <c r="I189" s="26" t="s">
        <v>17</v>
      </c>
      <c r="J189" s="26" t="str">
        <f t="shared" si="6"/>
        <v>-</v>
      </c>
      <c r="K189" s="22" t="str">
        <f t="shared" ca="1" si="8"/>
        <v>/A.</v>
      </c>
      <c r="L189" s="22" t="str">
        <f ca="1">IFERROR(__xludf.dummyfunction("CONCATENATE(ArrayFormula(""; ""&amp;QUERY(Hallazgos!A:F,""SELECT B WHERE E CONTAINS '""&amp;A189&amp;""' LABEL B ''"")))"),"#N/A")</f>
        <v>#N/A</v>
      </c>
    </row>
    <row r="190" spans="1:12" ht="216.75" x14ac:dyDescent="0.25">
      <c r="A190" s="27" t="s">
        <v>504</v>
      </c>
      <c r="B190" s="27" t="s">
        <v>884</v>
      </c>
      <c r="C190" s="24" t="s">
        <v>13</v>
      </c>
      <c r="D190" s="25" t="s">
        <v>599</v>
      </c>
      <c r="E190" s="25" t="s">
        <v>98</v>
      </c>
      <c r="F190" s="25" t="s">
        <v>55</v>
      </c>
      <c r="G190" s="26" t="s">
        <v>17</v>
      </c>
      <c r="H190" s="26" t="s">
        <v>17</v>
      </c>
      <c r="I190" s="26" t="s">
        <v>17</v>
      </c>
      <c r="J190" s="26" t="str">
        <f t="shared" si="6"/>
        <v>-</v>
      </c>
      <c r="K190" s="22" t="str">
        <f t="shared" ca="1" si="8"/>
        <v>/A.</v>
      </c>
      <c r="L190" s="22" t="str">
        <f ca="1">IFERROR(__xludf.dummyfunction("CONCATENATE(ArrayFormula(""; ""&amp;QUERY(Hallazgos!A:F,""SELECT B WHERE E CONTAINS '""&amp;A190&amp;""' LABEL B ''"")))"),"#N/A")</f>
        <v>#N/A</v>
      </c>
    </row>
    <row r="191" spans="1:12" ht="213.75" x14ac:dyDescent="0.25">
      <c r="A191" s="28" t="s">
        <v>509</v>
      </c>
      <c r="B191" s="28" t="s">
        <v>885</v>
      </c>
      <c r="C191" s="25" t="s">
        <v>13</v>
      </c>
      <c r="D191" s="25" t="s">
        <v>599</v>
      </c>
      <c r="E191" s="25" t="s">
        <v>76</v>
      </c>
      <c r="F191" s="25" t="s">
        <v>104</v>
      </c>
      <c r="G191" s="26" t="s">
        <v>17</v>
      </c>
      <c r="H191" s="26" t="s">
        <v>17</v>
      </c>
      <c r="I191" s="26" t="s">
        <v>17</v>
      </c>
      <c r="J191" s="26" t="str">
        <f t="shared" si="6"/>
        <v>-</v>
      </c>
      <c r="K191" s="22"/>
      <c r="L191" s="22" t="str">
        <f ca="1">IFERROR(__xludf.dummyfunction("CONCATENATE(ArrayFormula(""; ""&amp;QUERY(Hallazgos!A:F,""SELECT B WHERE E CONTAINS '""&amp;A191&amp;""' LABEL B ''"")))"),"#N/A")</f>
        <v>#N/A</v>
      </c>
    </row>
    <row r="192" spans="1:12" ht="156.75" x14ac:dyDescent="0.25">
      <c r="A192" s="28" t="s">
        <v>511</v>
      </c>
      <c r="B192" s="28" t="s">
        <v>886</v>
      </c>
      <c r="C192" s="25" t="s">
        <v>41</v>
      </c>
      <c r="D192" s="25" t="s">
        <v>599</v>
      </c>
      <c r="E192" s="25" t="s">
        <v>184</v>
      </c>
      <c r="F192" s="25" t="s">
        <v>55</v>
      </c>
      <c r="G192" s="26" t="s">
        <v>17</v>
      </c>
      <c r="H192" s="26" t="s">
        <v>17</v>
      </c>
      <c r="I192" s="26" t="s">
        <v>17</v>
      </c>
      <c r="J192" s="26" t="str">
        <f t="shared" si="6"/>
        <v>-</v>
      </c>
      <c r="K192" s="22"/>
      <c r="L192" s="22" t="str">
        <f ca="1">IFERROR(__xludf.dummyfunction("CONCATENATE(ArrayFormula(""; ""&amp;QUERY(Hallazgos!A:F,""SELECT B WHERE E CONTAINS '""&amp;A192&amp;""' LABEL B ''"")))"),"#N/A")</f>
        <v>#N/A</v>
      </c>
    </row>
    <row r="193" spans="1:12" ht="199.5" x14ac:dyDescent="0.25">
      <c r="A193" s="28" t="s">
        <v>513</v>
      </c>
      <c r="B193" s="28" t="s">
        <v>887</v>
      </c>
      <c r="C193" s="25" t="s">
        <v>13</v>
      </c>
      <c r="D193" s="25" t="s">
        <v>599</v>
      </c>
      <c r="E193" s="25" t="s">
        <v>54</v>
      </c>
      <c r="F193" s="25" t="s">
        <v>55</v>
      </c>
      <c r="G193" s="26" t="s">
        <v>17</v>
      </c>
      <c r="H193" s="26" t="s">
        <v>17</v>
      </c>
      <c r="I193" s="26" t="s">
        <v>17</v>
      </c>
      <c r="J193" s="26" t="str">
        <f t="shared" si="6"/>
        <v>-</v>
      </c>
      <c r="K193" s="22"/>
      <c r="L193" s="22" t="str">
        <f ca="1">IFERROR(__xludf.dummyfunction("CONCATENATE(ArrayFormula(""; ""&amp;QUERY(Hallazgos!A:F,""SELECT B WHERE E CONTAINS '""&amp;A193&amp;""' LABEL B ''"")))"),"#N/A")</f>
        <v>#N/A</v>
      </c>
    </row>
    <row r="194" spans="1:12" ht="128.25" x14ac:dyDescent="0.25">
      <c r="A194" s="28" t="s">
        <v>515</v>
      </c>
      <c r="B194" s="28" t="s">
        <v>631</v>
      </c>
      <c r="C194" s="25" t="s">
        <v>13</v>
      </c>
      <c r="D194" s="25" t="s">
        <v>599</v>
      </c>
      <c r="E194" s="25" t="s">
        <v>111</v>
      </c>
      <c r="F194" s="25" t="s">
        <v>55</v>
      </c>
      <c r="G194" s="26" t="s">
        <v>17</v>
      </c>
      <c r="H194" s="26" t="s">
        <v>17</v>
      </c>
      <c r="I194" s="26" t="s">
        <v>17</v>
      </c>
      <c r="J194" s="26" t="str">
        <f t="shared" si="6"/>
        <v>-</v>
      </c>
      <c r="K194" s="22"/>
      <c r="L194" s="22" t="str">
        <f ca="1">IFERROR(__xludf.dummyfunction("CONCATENATE(ArrayFormula(""; ""&amp;QUERY(Hallazgos!A:F,""SELECT B WHERE E CONTAINS '""&amp;A194&amp;""' LABEL B ''"")))"),"#N/A")</f>
        <v>#N/A</v>
      </c>
    </row>
    <row r="195" spans="1:12" ht="299.25" x14ac:dyDescent="0.25">
      <c r="A195" s="28" t="s">
        <v>517</v>
      </c>
      <c r="B195" s="28" t="s">
        <v>888</v>
      </c>
      <c r="C195" s="25" t="s">
        <v>13</v>
      </c>
      <c r="D195" s="25" t="s">
        <v>599</v>
      </c>
      <c r="E195" s="25" t="s">
        <v>181</v>
      </c>
      <c r="F195" s="25" t="s">
        <v>55</v>
      </c>
      <c r="G195" s="26" t="s">
        <v>17</v>
      </c>
      <c r="H195" s="26" t="s">
        <v>17</v>
      </c>
      <c r="I195" s="26" t="s">
        <v>17</v>
      </c>
      <c r="J195" s="26" t="str">
        <f t="shared" ref="J195:J219" si="9">IF(G195="Sí", IF(H195="Sí", "DP", "SP"), IF(H195="Sí", "SD", "-"))</f>
        <v>-</v>
      </c>
      <c r="K195" s="22"/>
      <c r="L195" s="22" t="str">
        <f ca="1">IFERROR(__xludf.dummyfunction("CONCATENATE(ArrayFormula(""; ""&amp;QUERY(Hallazgos!A:F,""SELECT B WHERE E CONTAINS '""&amp;A195&amp;""' LABEL B ''"")))"),"#N/A")</f>
        <v>#N/A</v>
      </c>
    </row>
    <row r="196" spans="1:12" ht="171" x14ac:dyDescent="0.25">
      <c r="A196" s="28" t="s">
        <v>519</v>
      </c>
      <c r="B196" s="28" t="s">
        <v>635</v>
      </c>
      <c r="C196" s="25" t="s">
        <v>38</v>
      </c>
      <c r="D196" s="25" t="s">
        <v>599</v>
      </c>
      <c r="E196" s="25" t="s">
        <v>15</v>
      </c>
      <c r="F196" s="25" t="s">
        <v>44</v>
      </c>
      <c r="G196" s="26" t="s">
        <v>17</v>
      </c>
      <c r="H196" s="26" t="s">
        <v>17</v>
      </c>
      <c r="I196" s="26" t="s">
        <v>17</v>
      </c>
      <c r="J196" s="26" t="str">
        <f t="shared" si="9"/>
        <v>-</v>
      </c>
      <c r="K196" s="22"/>
      <c r="L196" s="22" t="str">
        <f ca="1">IFERROR(__xludf.dummyfunction("CONCATENATE(ArrayFormula(""; ""&amp;QUERY(Hallazgos!A:F,""SELECT B WHERE E CONTAINS '""&amp;A196&amp;""' LABEL B ''"")))"),"#N/A")</f>
        <v>#N/A</v>
      </c>
    </row>
    <row r="197" spans="1:12" ht="213.75" x14ac:dyDescent="0.25">
      <c r="A197" s="28" t="s">
        <v>521</v>
      </c>
      <c r="B197" s="28" t="s">
        <v>889</v>
      </c>
      <c r="C197" s="25" t="s">
        <v>13</v>
      </c>
      <c r="D197" s="25" t="s">
        <v>599</v>
      </c>
      <c r="E197" s="25" t="s">
        <v>192</v>
      </c>
      <c r="F197" s="25" t="s">
        <v>55</v>
      </c>
      <c r="G197" s="26" t="s">
        <v>17</v>
      </c>
      <c r="H197" s="26" t="s">
        <v>17</v>
      </c>
      <c r="I197" s="26" t="s">
        <v>17</v>
      </c>
      <c r="J197" s="26" t="str">
        <f t="shared" si="9"/>
        <v>-</v>
      </c>
      <c r="K197" s="22"/>
      <c r="L197" s="22" t="str">
        <f ca="1">IFERROR(__xludf.dummyfunction("CONCATENATE(ArrayFormula(""; ""&amp;QUERY(Hallazgos!A:F,""SELECT B WHERE E CONTAINS '""&amp;A197&amp;""' LABEL B ''"")))"),"#N/A")</f>
        <v>#N/A</v>
      </c>
    </row>
    <row r="198" spans="1:12" ht="142.5" x14ac:dyDescent="0.25">
      <c r="A198" s="28" t="s">
        <v>523</v>
      </c>
      <c r="B198" s="28" t="s">
        <v>890</v>
      </c>
      <c r="C198" s="25" t="s">
        <v>13</v>
      </c>
      <c r="D198" s="25" t="s">
        <v>599</v>
      </c>
      <c r="E198" s="25" t="s">
        <v>81</v>
      </c>
      <c r="F198" s="25" t="s">
        <v>55</v>
      </c>
      <c r="G198" s="26" t="s">
        <v>17</v>
      </c>
      <c r="H198" s="26" t="s">
        <v>17</v>
      </c>
      <c r="I198" s="26" t="s">
        <v>17</v>
      </c>
      <c r="J198" s="26" t="str">
        <f t="shared" si="9"/>
        <v>-</v>
      </c>
      <c r="K198" s="22"/>
      <c r="L198" s="22" t="str">
        <f ca="1">IFERROR(__xludf.dummyfunction("CONCATENATE(ArrayFormula(""; ""&amp;QUERY(Hallazgos!A:F,""SELECT B WHERE E CONTAINS '""&amp;A198&amp;""' LABEL B ''"")))"),"#N/A")</f>
        <v>#N/A</v>
      </c>
    </row>
    <row r="199" spans="1:12" ht="114" x14ac:dyDescent="0.25">
      <c r="A199" s="28" t="s">
        <v>525</v>
      </c>
      <c r="B199" s="28" t="s">
        <v>891</v>
      </c>
      <c r="C199" s="25" t="s">
        <v>13</v>
      </c>
      <c r="D199" s="25" t="s">
        <v>599</v>
      </c>
      <c r="E199" s="25" t="s">
        <v>81</v>
      </c>
      <c r="F199" s="25" t="s">
        <v>55</v>
      </c>
      <c r="G199" s="26" t="s">
        <v>17</v>
      </c>
      <c r="H199" s="26" t="s">
        <v>17</v>
      </c>
      <c r="I199" s="26" t="s">
        <v>17</v>
      </c>
      <c r="J199" s="26" t="str">
        <f t="shared" si="9"/>
        <v>-</v>
      </c>
      <c r="K199" s="22"/>
      <c r="L199" s="22" t="str">
        <f ca="1">IFERROR(__xludf.dummyfunction("CONCATENATE(ArrayFormula(""; ""&amp;QUERY(Hallazgos!A:F,""SELECT B WHERE E CONTAINS '""&amp;A199&amp;""' LABEL B ''"")))"),"#N/A")</f>
        <v>#N/A</v>
      </c>
    </row>
    <row r="200" spans="1:12" ht="213.75" x14ac:dyDescent="0.25">
      <c r="A200" s="28" t="s">
        <v>527</v>
      </c>
      <c r="B200" s="28" t="s">
        <v>641</v>
      </c>
      <c r="C200" s="25" t="s">
        <v>38</v>
      </c>
      <c r="D200" s="25" t="s">
        <v>599</v>
      </c>
      <c r="E200" s="25" t="s">
        <v>15</v>
      </c>
      <c r="F200" s="25" t="s">
        <v>104</v>
      </c>
      <c r="G200" s="26" t="s">
        <v>17</v>
      </c>
      <c r="H200" s="26" t="s">
        <v>17</v>
      </c>
      <c r="I200" s="26" t="s">
        <v>17</v>
      </c>
      <c r="J200" s="26" t="str">
        <f t="shared" si="9"/>
        <v>-</v>
      </c>
      <c r="K200" s="22"/>
      <c r="L200" s="22" t="str">
        <f ca="1">IFERROR(__xludf.dummyfunction("CONCATENATE(ArrayFormula(""; ""&amp;QUERY(Hallazgos!A:F,""SELECT B WHERE E CONTAINS '""&amp;A200&amp;""' LABEL B ''"")))"),"#N/A")</f>
        <v>#N/A</v>
      </c>
    </row>
    <row r="201" spans="1:12" ht="185.25" x14ac:dyDescent="0.25">
      <c r="A201" s="28" t="s">
        <v>529</v>
      </c>
      <c r="B201" s="28" t="s">
        <v>892</v>
      </c>
      <c r="C201" s="25" t="s">
        <v>38</v>
      </c>
      <c r="D201" s="25" t="s">
        <v>599</v>
      </c>
      <c r="E201" s="25" t="s">
        <v>15</v>
      </c>
      <c r="F201" s="25" t="s">
        <v>104</v>
      </c>
      <c r="G201" s="26" t="s">
        <v>17</v>
      </c>
      <c r="H201" s="26" t="s">
        <v>17</v>
      </c>
      <c r="I201" s="26" t="s">
        <v>17</v>
      </c>
      <c r="J201" s="26" t="str">
        <f t="shared" si="9"/>
        <v>-</v>
      </c>
      <c r="K201" s="22"/>
      <c r="L201" s="22" t="str">
        <f ca="1">IFERROR(__xludf.dummyfunction("CONCATENATE(ArrayFormula(""; ""&amp;QUERY(Hallazgos!A:F,""SELECT B WHERE E CONTAINS '""&amp;A201&amp;""' LABEL B ''"")))"),"#N/A")</f>
        <v>#N/A</v>
      </c>
    </row>
    <row r="202" spans="1:12" ht="256.5" x14ac:dyDescent="0.25">
      <c r="A202" s="28" t="s">
        <v>531</v>
      </c>
      <c r="B202" s="28" t="s">
        <v>57</v>
      </c>
      <c r="C202" s="25" t="s">
        <v>38</v>
      </c>
      <c r="D202" s="25" t="s">
        <v>58</v>
      </c>
      <c r="E202" s="25" t="s">
        <v>15</v>
      </c>
      <c r="F202" s="25" t="s">
        <v>55</v>
      </c>
      <c r="G202" s="26" t="s">
        <v>17</v>
      </c>
      <c r="H202" s="26" t="s">
        <v>17</v>
      </c>
      <c r="I202" s="26" t="s">
        <v>17</v>
      </c>
      <c r="J202" s="26" t="str">
        <f t="shared" si="9"/>
        <v>-</v>
      </c>
      <c r="K202" s="22"/>
      <c r="L202" s="22" t="str">
        <f ca="1">IFERROR(__xludf.dummyfunction("CONCATENATE(ArrayFormula(""; ""&amp;QUERY(Hallazgos!A:F,""SELECT B WHERE E CONTAINS '""&amp;A202&amp;""' LABEL B ''"")))"),"#N/A")</f>
        <v>#N/A</v>
      </c>
    </row>
    <row r="203" spans="1:12" ht="256.5" x14ac:dyDescent="0.25">
      <c r="A203" s="28" t="s">
        <v>533</v>
      </c>
      <c r="B203" s="28" t="s">
        <v>60</v>
      </c>
      <c r="C203" s="25" t="s">
        <v>38</v>
      </c>
      <c r="D203" s="25" t="s">
        <v>58</v>
      </c>
      <c r="E203" s="25" t="s">
        <v>15</v>
      </c>
      <c r="F203" s="25" t="s">
        <v>55</v>
      </c>
      <c r="G203" s="26" t="s">
        <v>17</v>
      </c>
      <c r="H203" s="26" t="s">
        <v>17</v>
      </c>
      <c r="I203" s="26" t="s">
        <v>17</v>
      </c>
      <c r="J203" s="26" t="str">
        <f t="shared" si="9"/>
        <v>-</v>
      </c>
      <c r="K203" s="22"/>
      <c r="L203" s="22" t="str">
        <f ca="1">IFERROR(__xludf.dummyfunction("CONCATENATE(ArrayFormula(""; ""&amp;QUERY(Hallazgos!A:F,""SELECT B WHERE E CONTAINS '""&amp;A203&amp;""' LABEL B ''"")))"),"#N/A")</f>
        <v>#N/A</v>
      </c>
    </row>
    <row r="204" spans="1:12" ht="228" x14ac:dyDescent="0.25">
      <c r="A204" s="28" t="s">
        <v>536</v>
      </c>
      <c r="B204" s="28" t="s">
        <v>62</v>
      </c>
      <c r="C204" s="25" t="s">
        <v>38</v>
      </c>
      <c r="D204" s="25" t="s">
        <v>58</v>
      </c>
      <c r="E204" s="25" t="s">
        <v>15</v>
      </c>
      <c r="F204" s="25" t="s">
        <v>16</v>
      </c>
      <c r="G204" s="26" t="s">
        <v>17</v>
      </c>
      <c r="H204" s="26" t="s">
        <v>17</v>
      </c>
      <c r="I204" s="26" t="s">
        <v>17</v>
      </c>
      <c r="J204" s="26" t="str">
        <f t="shared" si="9"/>
        <v>-</v>
      </c>
      <c r="K204" s="22"/>
      <c r="L204" s="22" t="str">
        <f ca="1">IFERROR(__xludf.dummyfunction("CONCATENATE(ArrayFormula(""; ""&amp;QUERY(Hallazgos!A:F,""SELECT B WHERE E CONTAINS '""&amp;A204&amp;""' LABEL B ''"")))"),"#N/A")</f>
        <v>#N/A</v>
      </c>
    </row>
    <row r="205" spans="1:12" ht="128.25" x14ac:dyDescent="0.25">
      <c r="A205" s="28" t="s">
        <v>540</v>
      </c>
      <c r="B205" s="28" t="s">
        <v>893</v>
      </c>
      <c r="C205" s="25" t="s">
        <v>38</v>
      </c>
      <c r="D205" s="25" t="s">
        <v>58</v>
      </c>
      <c r="E205" s="25" t="s">
        <v>15</v>
      </c>
      <c r="F205" s="25" t="s">
        <v>55</v>
      </c>
      <c r="G205" s="26" t="s">
        <v>17</v>
      </c>
      <c r="H205" s="26" t="s">
        <v>17</v>
      </c>
      <c r="I205" s="26" t="s">
        <v>17</v>
      </c>
      <c r="J205" s="26" t="str">
        <f t="shared" si="9"/>
        <v>-</v>
      </c>
      <c r="K205" s="22"/>
      <c r="L205" s="22" t="str">
        <f ca="1">IFERROR(__xludf.dummyfunction("CONCATENATE(ArrayFormula(""; ""&amp;QUERY(Hallazgos!A:F,""SELECT B WHERE E CONTAINS '""&amp;A205&amp;""' LABEL B ''"")))"),"#N/A")</f>
        <v>#N/A</v>
      </c>
    </row>
    <row r="206" spans="1:12" ht="128.25" x14ac:dyDescent="0.25">
      <c r="A206" s="28" t="s">
        <v>542</v>
      </c>
      <c r="B206" s="28" t="s">
        <v>894</v>
      </c>
      <c r="C206" s="25" t="s">
        <v>13</v>
      </c>
      <c r="D206" s="25" t="s">
        <v>599</v>
      </c>
      <c r="E206" s="25" t="s">
        <v>646</v>
      </c>
      <c r="F206" s="25" t="s">
        <v>55</v>
      </c>
      <c r="G206" s="26" t="s">
        <v>17</v>
      </c>
      <c r="H206" s="26" t="s">
        <v>17</v>
      </c>
      <c r="I206" s="26" t="s">
        <v>17</v>
      </c>
      <c r="J206" s="26" t="str">
        <f t="shared" si="9"/>
        <v>-</v>
      </c>
      <c r="K206" s="22"/>
      <c r="L206" s="22" t="str">
        <f ca="1">IFERROR(__xludf.dummyfunction("CONCATENATE(ArrayFormula(""; ""&amp;QUERY(Hallazgos!A:F,""SELECT B WHERE E CONTAINS '""&amp;A206&amp;""' LABEL B ''"")))"),"#N/A")</f>
        <v>#N/A</v>
      </c>
    </row>
    <row r="207" spans="1:12" ht="171" x14ac:dyDescent="0.25">
      <c r="A207" s="28" t="s">
        <v>545</v>
      </c>
      <c r="B207" s="28" t="s">
        <v>895</v>
      </c>
      <c r="C207" s="25" t="s">
        <v>13</v>
      </c>
      <c r="D207" s="25" t="s">
        <v>599</v>
      </c>
      <c r="E207" s="25" t="s">
        <v>646</v>
      </c>
      <c r="F207" s="25" t="s">
        <v>55</v>
      </c>
      <c r="G207" s="26" t="s">
        <v>17</v>
      </c>
      <c r="H207" s="26" t="s">
        <v>17</v>
      </c>
      <c r="I207" s="26" t="s">
        <v>17</v>
      </c>
      <c r="J207" s="26" t="str">
        <f t="shared" si="9"/>
        <v>-</v>
      </c>
      <c r="K207" s="22"/>
      <c r="L207" s="22" t="str">
        <f ca="1">IFERROR(__xludf.dummyfunction("CONCATENATE(ArrayFormula(""; ""&amp;QUERY(Hallazgos!A:F,""SELECT B WHERE E CONTAINS '""&amp;A207&amp;""' LABEL B ''"")))"),"#N/A")</f>
        <v>#N/A</v>
      </c>
    </row>
    <row r="208" spans="1:12" ht="199.5" x14ac:dyDescent="0.25">
      <c r="A208" s="28" t="s">
        <v>547</v>
      </c>
      <c r="B208" s="28" t="s">
        <v>392</v>
      </c>
      <c r="C208" s="25" t="s">
        <v>41</v>
      </c>
      <c r="D208" s="25" t="s">
        <v>352</v>
      </c>
      <c r="E208" s="25" t="s">
        <v>116</v>
      </c>
      <c r="F208" s="25" t="s">
        <v>73</v>
      </c>
      <c r="G208" s="26" t="s">
        <v>17</v>
      </c>
      <c r="H208" s="26" t="s">
        <v>17</v>
      </c>
      <c r="I208" s="26" t="s">
        <v>17</v>
      </c>
      <c r="J208" s="26" t="str">
        <f t="shared" si="9"/>
        <v>-</v>
      </c>
      <c r="K208" s="22"/>
      <c r="L208" s="22" t="str">
        <f ca="1">IFERROR(__xludf.dummyfunction("CONCATENATE(ArrayFormula(""; ""&amp;QUERY(Hallazgos!A:F,""SELECT B WHERE E CONTAINS '""&amp;A208&amp;""' LABEL B ''"")))"),"#N/A")</f>
        <v>#N/A</v>
      </c>
    </row>
    <row r="209" spans="1:12" ht="128.25" x14ac:dyDescent="0.25">
      <c r="A209" s="28" t="s">
        <v>549</v>
      </c>
      <c r="B209" s="28" t="s">
        <v>896</v>
      </c>
      <c r="C209" s="25" t="s">
        <v>41</v>
      </c>
      <c r="D209" s="25" t="s">
        <v>274</v>
      </c>
      <c r="E209" s="25" t="s">
        <v>76</v>
      </c>
      <c r="F209" s="25" t="s">
        <v>73</v>
      </c>
      <c r="G209" s="26" t="s">
        <v>17</v>
      </c>
      <c r="H209" s="26" t="s">
        <v>17</v>
      </c>
      <c r="I209" s="26" t="s">
        <v>17</v>
      </c>
      <c r="J209" s="26" t="str">
        <f t="shared" si="9"/>
        <v>-</v>
      </c>
      <c r="K209" s="22"/>
      <c r="L209" s="22" t="str">
        <f ca="1">IFERROR(__xludf.dummyfunction("CONCATENATE(ArrayFormula(""; ""&amp;QUERY(Hallazgos!A:F,""SELECT B WHERE E CONTAINS '""&amp;A209&amp;""' LABEL B ''"")))"),"#N/A")</f>
        <v>#N/A</v>
      </c>
    </row>
    <row r="210" spans="1:12" ht="199.5" x14ac:dyDescent="0.25">
      <c r="A210" s="28" t="s">
        <v>551</v>
      </c>
      <c r="B210" s="28" t="s">
        <v>289</v>
      </c>
      <c r="C210" s="25" t="s">
        <v>41</v>
      </c>
      <c r="D210" s="25" t="s">
        <v>274</v>
      </c>
      <c r="E210" s="25" t="s">
        <v>54</v>
      </c>
      <c r="F210" s="25" t="s">
        <v>55</v>
      </c>
      <c r="G210" s="26" t="s">
        <v>17</v>
      </c>
      <c r="H210" s="26" t="s">
        <v>17</v>
      </c>
      <c r="I210" s="26" t="s">
        <v>17</v>
      </c>
      <c r="J210" s="26" t="str">
        <f t="shared" si="9"/>
        <v>-</v>
      </c>
      <c r="K210" s="22"/>
      <c r="L210" s="22" t="str">
        <f ca="1">IFERROR(__xludf.dummyfunction("CONCATENATE(ArrayFormula(""; ""&amp;QUERY(Hallazgos!A:F,""SELECT B WHERE E CONTAINS '""&amp;A210&amp;""' LABEL B ''"")))"),"#N/A")</f>
        <v>#N/A</v>
      </c>
    </row>
    <row r="211" spans="1:12" ht="185.25" x14ac:dyDescent="0.25">
      <c r="A211" s="28" t="s">
        <v>554</v>
      </c>
      <c r="B211" s="28" t="s">
        <v>897</v>
      </c>
      <c r="C211" s="25" t="s">
        <v>41</v>
      </c>
      <c r="D211" s="25" t="s">
        <v>274</v>
      </c>
      <c r="E211" s="25" t="s">
        <v>88</v>
      </c>
      <c r="F211" s="25" t="s">
        <v>55</v>
      </c>
      <c r="G211" s="26" t="s">
        <v>17</v>
      </c>
      <c r="H211" s="26" t="s">
        <v>17</v>
      </c>
      <c r="I211" s="26" t="s">
        <v>17</v>
      </c>
      <c r="J211" s="26" t="str">
        <f t="shared" si="9"/>
        <v>-</v>
      </c>
      <c r="K211" s="22"/>
      <c r="L211" s="22" t="str">
        <f ca="1">IFERROR(__xludf.dummyfunction("CONCATENATE(ArrayFormula(""; ""&amp;QUERY(Hallazgos!A:F,""SELECT B WHERE E CONTAINS '""&amp;A211&amp;""' LABEL B ''"")))"),"#N/A")</f>
        <v>#N/A</v>
      </c>
    </row>
    <row r="212" spans="1:12" ht="242.25" x14ac:dyDescent="0.25">
      <c r="A212" s="28" t="s">
        <v>556</v>
      </c>
      <c r="B212" s="28" t="s">
        <v>532</v>
      </c>
      <c r="C212" s="25" t="s">
        <v>41</v>
      </c>
      <c r="D212" s="25" t="s">
        <v>506</v>
      </c>
      <c r="E212" s="25" t="s">
        <v>88</v>
      </c>
      <c r="F212" s="25" t="s">
        <v>55</v>
      </c>
      <c r="G212" s="26" t="s">
        <v>17</v>
      </c>
      <c r="H212" s="26" t="s">
        <v>17</v>
      </c>
      <c r="I212" s="26" t="s">
        <v>17</v>
      </c>
      <c r="J212" s="26" t="str">
        <f t="shared" si="9"/>
        <v>-</v>
      </c>
      <c r="K212" s="22"/>
      <c r="L212" s="22" t="str">
        <f ca="1">IFERROR(__xludf.dummyfunction("CONCATENATE(ArrayFormula(""; ""&amp;QUERY(Hallazgos!A:F,""SELECT B WHERE E CONTAINS '""&amp;A212&amp;""' LABEL B ''"")))"),"#N/A")</f>
        <v>#N/A</v>
      </c>
    </row>
    <row r="213" spans="1:12" ht="171" x14ac:dyDescent="0.25">
      <c r="A213" s="28" t="s">
        <v>558</v>
      </c>
      <c r="B213" s="28" t="s">
        <v>898</v>
      </c>
      <c r="C213" s="25" t="s">
        <v>41</v>
      </c>
      <c r="D213" s="25" t="s">
        <v>352</v>
      </c>
      <c r="E213" s="25" t="s">
        <v>116</v>
      </c>
      <c r="F213" s="25" t="s">
        <v>73</v>
      </c>
      <c r="G213" s="26" t="s">
        <v>17</v>
      </c>
      <c r="H213" s="26" t="s">
        <v>17</v>
      </c>
      <c r="I213" s="26" t="s">
        <v>17</v>
      </c>
      <c r="J213" s="26" t="str">
        <f t="shared" si="9"/>
        <v>-</v>
      </c>
      <c r="K213" s="22"/>
      <c r="L213" s="22" t="str">
        <f ca="1">IFERROR(__xludf.dummyfunction("CONCATENATE(ArrayFormula(""; ""&amp;QUERY(Hallazgos!A:F,""SELECT B WHERE E CONTAINS '""&amp;A213&amp;""' LABEL B ''"")))"),"#N/A")</f>
        <v>#N/A</v>
      </c>
    </row>
    <row r="214" spans="1:12" ht="228" x14ac:dyDescent="0.25">
      <c r="A214" s="28" t="s">
        <v>560</v>
      </c>
      <c r="B214" s="28" t="s">
        <v>422</v>
      </c>
      <c r="C214" s="25" t="s">
        <v>13</v>
      </c>
      <c r="D214" s="25" t="s">
        <v>399</v>
      </c>
      <c r="E214" s="25" t="s">
        <v>81</v>
      </c>
      <c r="F214" s="25" t="s">
        <v>16</v>
      </c>
      <c r="G214" s="26" t="s">
        <v>17</v>
      </c>
      <c r="H214" s="26" t="s">
        <v>17</v>
      </c>
      <c r="I214" s="26" t="s">
        <v>17</v>
      </c>
      <c r="J214" s="26" t="str">
        <f t="shared" si="9"/>
        <v>-</v>
      </c>
      <c r="K214" s="22"/>
      <c r="L214" s="22" t="str">
        <f ca="1">IFERROR(__xludf.dummyfunction("CONCATENATE(ArrayFormula(""; ""&amp;QUERY(Hallazgos!A:F,""SELECT B WHERE E CONTAINS '""&amp;A214&amp;""' LABEL B ''"")))"),"#N/A")</f>
        <v>#N/A</v>
      </c>
    </row>
    <row r="215" spans="1:12" ht="142.5" x14ac:dyDescent="0.25">
      <c r="A215" s="28" t="s">
        <v>562</v>
      </c>
      <c r="B215" s="28" t="s">
        <v>424</v>
      </c>
      <c r="C215" s="25" t="s">
        <v>13</v>
      </c>
      <c r="D215" s="25" t="s">
        <v>399</v>
      </c>
      <c r="E215" s="25" t="s">
        <v>81</v>
      </c>
      <c r="F215" s="25" t="s">
        <v>16</v>
      </c>
      <c r="G215" s="26" t="s">
        <v>17</v>
      </c>
      <c r="H215" s="26" t="s">
        <v>17</v>
      </c>
      <c r="I215" s="26" t="s">
        <v>17</v>
      </c>
      <c r="J215" s="26" t="str">
        <f t="shared" si="9"/>
        <v>-</v>
      </c>
      <c r="K215" s="22"/>
      <c r="L215" s="22" t="str">
        <f ca="1">IFERROR(__xludf.dummyfunction("CONCATENATE(ArrayFormula(""; ""&amp;QUERY(Hallazgos!A:F,""SELECT B WHERE E CONTAINS '""&amp;A215&amp;""' LABEL B ''"")))"),"#N/A")</f>
        <v>#N/A</v>
      </c>
    </row>
    <row r="216" spans="1:12" ht="185.25" x14ac:dyDescent="0.25">
      <c r="A216" s="28" t="s">
        <v>564</v>
      </c>
      <c r="B216" s="28" t="s">
        <v>426</v>
      </c>
      <c r="C216" s="25" t="s">
        <v>13</v>
      </c>
      <c r="D216" s="25" t="s">
        <v>399</v>
      </c>
      <c r="E216" s="25" t="s">
        <v>81</v>
      </c>
      <c r="F216" s="25" t="s">
        <v>44</v>
      </c>
      <c r="G216" s="26" t="s">
        <v>17</v>
      </c>
      <c r="H216" s="26" t="s">
        <v>17</v>
      </c>
      <c r="I216" s="26" t="s">
        <v>17</v>
      </c>
      <c r="J216" s="26" t="str">
        <f t="shared" si="9"/>
        <v>-</v>
      </c>
      <c r="K216" s="22"/>
      <c r="L216" s="22" t="str">
        <f ca="1">IFERROR(__xludf.dummyfunction("CONCATENATE(ArrayFormula(""; ""&amp;QUERY(Hallazgos!A:F,""SELECT B WHERE E CONTAINS '""&amp;A216&amp;""' LABEL B ''"")))"),"#N/A")</f>
        <v>#N/A</v>
      </c>
    </row>
    <row r="217" spans="1:12" ht="156.75" x14ac:dyDescent="0.25">
      <c r="A217" s="28" t="s">
        <v>566</v>
      </c>
      <c r="B217" s="28" t="s">
        <v>899</v>
      </c>
      <c r="C217" s="25" t="s">
        <v>13</v>
      </c>
      <c r="D217" s="25" t="s">
        <v>399</v>
      </c>
      <c r="E217" s="25" t="s">
        <v>81</v>
      </c>
      <c r="F217" s="25" t="s">
        <v>73</v>
      </c>
      <c r="G217" s="26" t="s">
        <v>17</v>
      </c>
      <c r="H217" s="26" t="s">
        <v>17</v>
      </c>
      <c r="I217" s="26" t="s">
        <v>17</v>
      </c>
      <c r="J217" s="26" t="str">
        <f t="shared" si="9"/>
        <v>-</v>
      </c>
      <c r="K217" s="22"/>
      <c r="L217" s="22" t="str">
        <f ca="1">IFERROR(__xludf.dummyfunction("CONCATENATE(ArrayFormula(""; ""&amp;QUERY(Hallazgos!A:F,""SELECT B WHERE E CONTAINS '""&amp;A217&amp;""' LABEL B ''"")))"),"#N/A")</f>
        <v>#N/A</v>
      </c>
    </row>
    <row r="218" spans="1:12" ht="171" x14ac:dyDescent="0.25">
      <c r="A218" s="28" t="s">
        <v>568</v>
      </c>
      <c r="B218" s="28" t="s">
        <v>430</v>
      </c>
      <c r="C218" s="25" t="s">
        <v>13</v>
      </c>
      <c r="D218" s="25" t="s">
        <v>399</v>
      </c>
      <c r="E218" s="25" t="s">
        <v>81</v>
      </c>
      <c r="F218" s="25" t="s">
        <v>55</v>
      </c>
      <c r="G218" s="26" t="s">
        <v>17</v>
      </c>
      <c r="H218" s="26" t="s">
        <v>17</v>
      </c>
      <c r="I218" s="26" t="s">
        <v>17</v>
      </c>
      <c r="J218" s="26" t="str">
        <f t="shared" si="9"/>
        <v>-</v>
      </c>
      <c r="K218" s="22"/>
      <c r="L218" s="22" t="str">
        <f ca="1">IFERROR(__xludf.dummyfunction("CONCATENATE(ArrayFormula(""; ""&amp;QUERY(Hallazgos!A:F,""SELECT B WHERE E CONTAINS '""&amp;A218&amp;""' LABEL B ''"")))"),"#N/A")</f>
        <v>#N/A</v>
      </c>
    </row>
    <row r="219" spans="1:12" ht="156.75" x14ac:dyDescent="0.25">
      <c r="A219" s="28" t="s">
        <v>571</v>
      </c>
      <c r="B219" s="28" t="s">
        <v>648</v>
      </c>
      <c r="C219" s="25" t="s">
        <v>13</v>
      </c>
      <c r="D219" s="25" t="s">
        <v>599</v>
      </c>
      <c r="E219" s="25" t="s">
        <v>116</v>
      </c>
      <c r="F219" s="25" t="s">
        <v>55</v>
      </c>
      <c r="G219" s="26" t="s">
        <v>17</v>
      </c>
      <c r="H219" s="26" t="s">
        <v>17</v>
      </c>
      <c r="I219" s="26" t="s">
        <v>17</v>
      </c>
      <c r="J219" s="26" t="str">
        <f t="shared" si="9"/>
        <v>-</v>
      </c>
      <c r="K219" s="22"/>
      <c r="L219" s="22" t="str">
        <f ca="1">IFERROR(__xludf.dummyfunction("CONCATENATE(ArrayFormula(""; ""&amp;QUERY(Hallazgos!A:F,""SELECT B WHERE E CONTAINS '""&amp;A219&amp;""' LABEL B ''"")))"),"#N/A")</f>
        <v>#N/A</v>
      </c>
    </row>
    <row r="220" spans="1:12" x14ac:dyDescent="0.2">
      <c r="A220" s="29"/>
      <c r="B220" s="30"/>
      <c r="C220" s="30"/>
      <c r="D220" s="29"/>
      <c r="E220" s="29"/>
      <c r="F220" s="29"/>
      <c r="G220" s="31"/>
      <c r="H220" s="31"/>
      <c r="I220" s="31"/>
      <c r="J220" s="29"/>
      <c r="K220" s="32"/>
      <c r="L220" s="29"/>
    </row>
    <row r="221" spans="1:12" x14ac:dyDescent="0.2">
      <c r="A221" s="33"/>
      <c r="B221" s="34" t="s">
        <v>900</v>
      </c>
      <c r="C221" s="35" t="s">
        <v>901</v>
      </c>
      <c r="D221" s="36"/>
      <c r="E221" s="37"/>
      <c r="F221" s="37"/>
      <c r="G221" s="38"/>
      <c r="H221" s="39"/>
      <c r="I221" s="39"/>
      <c r="J221" s="40"/>
      <c r="K221" s="41"/>
      <c r="L221" s="40"/>
    </row>
    <row r="222" spans="1:12" x14ac:dyDescent="0.2">
      <c r="A222" s="33"/>
      <c r="B222" s="42" t="s">
        <v>902</v>
      </c>
      <c r="C222" s="26">
        <f>COUNTIF(J3:J219,"DP")</f>
        <v>0</v>
      </c>
      <c r="D222" s="43"/>
      <c r="E222" s="40"/>
      <c r="F222" s="40"/>
      <c r="G222" s="44"/>
      <c r="H222" s="39"/>
      <c r="I222" s="39"/>
      <c r="J222" s="40"/>
      <c r="K222" s="41"/>
      <c r="L222" s="40"/>
    </row>
    <row r="223" spans="1:12" x14ac:dyDescent="0.2">
      <c r="A223" s="33"/>
      <c r="B223" s="42" t="s">
        <v>903</v>
      </c>
      <c r="C223" s="26">
        <f>COUNTIF(J3:J219,"SP")</f>
        <v>0</v>
      </c>
      <c r="D223" s="43"/>
      <c r="E223" s="40"/>
      <c r="F223" s="40"/>
      <c r="G223" s="44"/>
      <c r="H223" s="39"/>
      <c r="I223" s="39"/>
      <c r="J223" s="40"/>
      <c r="K223" s="41"/>
      <c r="L223" s="40"/>
    </row>
    <row r="224" spans="1:12" x14ac:dyDescent="0.2">
      <c r="A224" s="33"/>
      <c r="B224" s="42" t="s">
        <v>904</v>
      </c>
      <c r="C224" s="26">
        <f>COUNTIF(J3:J219,"SD")</f>
        <v>0</v>
      </c>
      <c r="D224" s="43"/>
      <c r="E224" s="40"/>
      <c r="F224" s="40"/>
      <c r="G224" s="44"/>
      <c r="H224" s="39"/>
      <c r="I224" s="39"/>
      <c r="J224" s="40"/>
      <c r="K224" s="41"/>
      <c r="L224" s="40"/>
    </row>
    <row r="225" spans="1:12" x14ac:dyDescent="0.2">
      <c r="A225" s="40"/>
      <c r="B225" s="30"/>
      <c r="C225" s="30"/>
      <c r="D225" s="21"/>
      <c r="E225" s="21"/>
      <c r="F225" s="40"/>
      <c r="G225" s="39"/>
      <c r="H225" s="39"/>
      <c r="I225" s="39"/>
      <c r="J225" s="40"/>
      <c r="K225" s="41"/>
      <c r="L225" s="40"/>
    </row>
    <row r="226" spans="1:12" x14ac:dyDescent="0.2">
      <c r="A226" s="33"/>
      <c r="B226" s="34" t="s">
        <v>684</v>
      </c>
      <c r="C226" s="35" t="s">
        <v>905</v>
      </c>
      <c r="D226" s="35" t="s">
        <v>685</v>
      </c>
      <c r="E226" s="35" t="s">
        <v>686</v>
      </c>
      <c r="F226" s="36"/>
      <c r="G226" s="38"/>
      <c r="H226" s="38"/>
      <c r="I226" s="38"/>
      <c r="J226" s="40"/>
      <c r="K226" s="41"/>
      <c r="L226" s="40"/>
    </row>
    <row r="227" spans="1:12" x14ac:dyDescent="0.2">
      <c r="A227" s="33"/>
      <c r="B227" s="42" t="s">
        <v>687</v>
      </c>
      <c r="C227" s="45" t="str">
        <f>IFERROR(D227/(D227+E227),"Error")</f>
        <v>Error</v>
      </c>
      <c r="D227" s="46">
        <f>COUNTIF(G2:G219,"Sí")</f>
        <v>0</v>
      </c>
      <c r="E227" s="46">
        <f>COUNTIF(G2:G219,"No")</f>
        <v>0</v>
      </c>
      <c r="F227" s="43"/>
      <c r="G227" s="47"/>
      <c r="H227" s="39"/>
      <c r="I227" s="39"/>
      <c r="J227" s="40"/>
      <c r="K227" s="41"/>
      <c r="L227" s="40"/>
    </row>
    <row r="228" spans="1:12" x14ac:dyDescent="0.2">
      <c r="A228" s="33"/>
      <c r="B228" s="42" t="s">
        <v>688</v>
      </c>
      <c r="C228" s="45" t="str">
        <f>IFERROR(D228/D227, "Error")</f>
        <v>Error</v>
      </c>
      <c r="D228" s="46">
        <f>COUNTIF(H2:H219,"Sí")</f>
        <v>0</v>
      </c>
      <c r="E228" s="46">
        <f>COUNTIF(H2:H219,"No")</f>
        <v>0</v>
      </c>
      <c r="F228" s="43"/>
      <c r="G228" s="47"/>
      <c r="H228" s="39"/>
      <c r="I228" s="39"/>
      <c r="J228" s="40"/>
      <c r="K228" s="41"/>
      <c r="L228" s="40"/>
    </row>
    <row r="229" spans="1:12" x14ac:dyDescent="0.2">
      <c r="A229" s="33"/>
      <c r="B229" s="42" t="s">
        <v>689</v>
      </c>
      <c r="C229" s="45" t="str">
        <f>IFERROR(D229/D228, "Error")</f>
        <v>Error</v>
      </c>
      <c r="D229" s="46">
        <f>COUNTIF(I2:I219,"Sí")</f>
        <v>0</v>
      </c>
      <c r="E229" s="46">
        <f>COUNTIF(I2:I219,"No")</f>
        <v>0</v>
      </c>
      <c r="F229" s="43"/>
      <c r="G229" s="47"/>
      <c r="H229" s="39"/>
      <c r="I229" s="39"/>
      <c r="J229" s="40"/>
      <c r="K229" s="41"/>
      <c r="L229" s="4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0"/>
  <sheetViews>
    <sheetView workbookViewId="0"/>
  </sheetViews>
  <sheetFormatPr defaultRowHeight="15.75" x14ac:dyDescent="0.25"/>
  <sheetData>
    <row r="1" spans="1:17" x14ac:dyDescent="0.2">
      <c r="A1" s="48" t="s">
        <v>906</v>
      </c>
      <c r="B1" s="49" t="str">
        <f>HYPERLINK("http://www.ezimba.com/","EZIMBA")</f>
        <v>EZIMBA</v>
      </c>
      <c r="C1" s="48" t="s">
        <v>907</v>
      </c>
      <c r="D1" s="48" t="s">
        <v>908</v>
      </c>
      <c r="E1" s="48" t="s">
        <v>909</v>
      </c>
      <c r="F1" s="50">
        <v>0.3</v>
      </c>
      <c r="G1" s="40"/>
      <c r="H1" s="40"/>
      <c r="K1" s="40"/>
    </row>
    <row r="2" spans="1:17" x14ac:dyDescent="0.2">
      <c r="A2" s="48" t="s">
        <v>910</v>
      </c>
      <c r="B2" s="48">
        <v>2</v>
      </c>
      <c r="G2" s="40"/>
      <c r="H2" s="40"/>
      <c r="K2" s="40"/>
    </row>
    <row r="3" spans="1:17" x14ac:dyDescent="0.2">
      <c r="A3" s="48" t="s">
        <v>911</v>
      </c>
      <c r="B3" s="48">
        <v>10</v>
      </c>
      <c r="G3" s="40"/>
      <c r="H3" s="40"/>
      <c r="K3" s="40"/>
      <c r="L3" s="48" t="s">
        <v>912</v>
      </c>
      <c r="M3" s="48" t="s">
        <v>913</v>
      </c>
      <c r="N3" s="48" t="s">
        <v>914</v>
      </c>
      <c r="O3" s="48" t="s">
        <v>915</v>
      </c>
      <c r="P3" s="48" t="s">
        <v>916</v>
      </c>
    </row>
    <row r="4" spans="1:17" x14ac:dyDescent="0.2">
      <c r="A4" s="40"/>
      <c r="B4" s="40"/>
      <c r="G4" s="40"/>
      <c r="H4" s="40"/>
      <c r="K4" s="40"/>
      <c r="L4" s="51" t="s">
        <v>917</v>
      </c>
      <c r="M4" s="51">
        <v>0</v>
      </c>
      <c r="N4" s="51">
        <v>0</v>
      </c>
      <c r="O4" s="51" t="s">
        <v>690</v>
      </c>
      <c r="P4" s="51">
        <v>0</v>
      </c>
      <c r="Q4" s="51" t="s">
        <v>918</v>
      </c>
    </row>
    <row r="5" spans="1:17" x14ac:dyDescent="0.2">
      <c r="A5" s="52" t="s">
        <v>919</v>
      </c>
      <c r="B5" s="52" t="s">
        <v>920</v>
      </c>
      <c r="C5" s="52" t="e">
        <f>#REF!</f>
        <v>#REF!</v>
      </c>
      <c r="D5" s="52" t="e">
        <f>#REF!</f>
        <v>#REF!</v>
      </c>
      <c r="E5" s="52" t="e">
        <f>#REF!</f>
        <v>#REF!</v>
      </c>
      <c r="F5" s="52" t="e">
        <f>#REF!</f>
        <v>#REF!</v>
      </c>
      <c r="G5" s="52"/>
      <c r="H5" s="52" t="e">
        <f>#REF!</f>
        <v>#REF!</v>
      </c>
      <c r="I5" s="52" t="e">
        <f>#REF!</f>
        <v>#REF!</v>
      </c>
      <c r="J5" s="52" t="e">
        <f>#REF!</f>
        <v>#REF!</v>
      </c>
      <c r="K5" s="40"/>
      <c r="L5" s="51" t="s">
        <v>917</v>
      </c>
      <c r="M5" s="51">
        <v>0</v>
      </c>
      <c r="N5" s="51">
        <v>0</v>
      </c>
      <c r="O5" s="51" t="s">
        <v>917</v>
      </c>
      <c r="P5" s="51">
        <v>0</v>
      </c>
      <c r="Q5" s="51" t="s">
        <v>918</v>
      </c>
    </row>
    <row r="6" spans="1:17" x14ac:dyDescent="0.2">
      <c r="A6" s="48">
        <v>1</v>
      </c>
      <c r="B6" s="40">
        <f t="shared" ref="B6:B30" si="0">((A6-1)*$B$3)+$B$2+1</f>
        <v>3</v>
      </c>
      <c r="C6" s="40" t="e">
        <f ca="1">IF(INDIRECT("Hallazgos!G"&amp;B6)=#REF!,#REF!,IF(INDIRECT("Hallazgos!G"&amp;B6)=#REF!,#REF!,IF(INDIRECT("Hallazgos!G"&amp;B6)=#REF!,#REF!,0)))</f>
        <v>#REF!</v>
      </c>
      <c r="D6" s="40" t="e">
        <f ca="1">IF(INDIRECT("Hallazgos!G"&amp;B6+1)=#REF!,#REF!,IF(INDIRECT("Hallazgos!G"&amp;B6+1)=#REF!,#REF!,IF(INDIRECT("Hallazgos!G"&amp;B6+1)=#REF!,#REF!,0)))</f>
        <v>#REF!</v>
      </c>
      <c r="E6" s="40" t="e">
        <f ca="1">IF(INDIRECT("Hallazgos!G"&amp;B6+2)=#REF!,#REF!,IF(INDIRECT("Hallazgos!G"&amp;B6+2)=#REF!,#REF!,IF(INDIRECT("Hallazgos!G"&amp;B6+2)=#REF!,#REF!,0)))</f>
        <v>#REF!</v>
      </c>
      <c r="F6" s="40" t="e">
        <f ca="1">IF(INDIRECT("Hallazgos!G"&amp;B6+6)=#REF!,#REF!,IF(INDIRECT("Hallazgos!G"&amp;B6+6)=#REF!,#REF!,IF(INDIRECT("Hallazgos!G"&amp;B6+6)=#REF!,#REF!,IF(INDIRECT("Hallazgos!G"&amp;B6+6)=#REF!,#REF!,0))))</f>
        <v>#REF!</v>
      </c>
      <c r="G6" s="40"/>
      <c r="H6" s="40" t="e">
        <f ca="1">IF(INDIRECT("Hallazgos!G"&amp;B6+3)=#REF!,#REF!,IF(INDIRECT("Hallazgos!G"&amp;B6+3)=#REF!,#REF!,IF(INDIRECT("Hallazgos!G"&amp;B6+3)=#REF!,#REF!,0)))</f>
        <v>#REF!</v>
      </c>
      <c r="I6" s="40" t="e">
        <f ca="1">IF(INDIRECT("Hallazgos!G"&amp;B6+4)=#REF!,#REF!,IF(INDIRECT("Hallazgos!G"&amp;B6+4)=#REF!,#REF!,IF(INDIRECT("Hallazgos!G"&amp;B6+4)=#REF!,#REF!,0)))</f>
        <v>#REF!</v>
      </c>
      <c r="J6" s="40" t="e">
        <f ca="1">IF(INDIRECT("Hallazgos!G"&amp;B6+5)=#REF!,#REF!,IF(INDIRECT("Hallazgos!G"&amp;B6+5)=#REF!,#REF!,IF(INDIRECT("Hallazgos!G"&amp;B6+5)=#REF!,#REF!,0)))</f>
        <v>#REF!</v>
      </c>
      <c r="K6" s="40"/>
      <c r="L6" s="40" t="str">
        <f t="shared" ref="L6:L30" ca="1" si="1">IF(P6&lt;1,"x",A6&amp;" ")</f>
        <v xml:space="preserve">1 </v>
      </c>
      <c r="M6" s="40" t="e">
        <f t="shared" ref="M6:M30" ca="1" si="2">10*C6*D6*E6*F6</f>
        <v>#REF!</v>
      </c>
      <c r="N6" s="40" t="e">
        <f t="shared" ref="N6:N30" ca="1" si="3">IF((5.21*(1-(1-H6)*(1-I6)*(1-J6)))=0,0.2,(5.21*(1-(1-H6)*(1-I6)*(1-J6))))</f>
        <v>#REF!</v>
      </c>
      <c r="O6" s="40" t="str">
        <f t="shared" ref="O6:O30" ca="1" si="4">L6&amp;INDIRECT("Hallazgos!B"&amp;B6)&amp;" ("&amp;P6&amp;")"</f>
        <v>1 Vulnerabilidad 1 (9)</v>
      </c>
      <c r="P6" s="40">
        <f t="shared" ref="P6:P30" ca="1" si="5">IF(INDIRECT("Hallazgos!I"&amp;B6)&gt;0,INDIRECT("Hallazgos!I"&amp;B6),0)</f>
        <v>9</v>
      </c>
    </row>
    <row r="7" spans="1:17" x14ac:dyDescent="0.2">
      <c r="A7" s="48">
        <v>2</v>
      </c>
      <c r="B7" s="40">
        <f t="shared" si="0"/>
        <v>13</v>
      </c>
      <c r="C7" s="40" t="e">
        <f ca="1">IF(INDIRECT("Hallazgos!G"&amp;B7)=#REF!,#REF!,IF(INDIRECT("Hallazgos!G"&amp;B7)=#REF!,#REF!,IF(INDIRECT("Hallazgos!G"&amp;B7)=#REF!,#REF!,0)))</f>
        <v>#REF!</v>
      </c>
      <c r="D7" s="40" t="e">
        <f ca="1">IF(INDIRECT("Hallazgos!G"&amp;B7+1)=#REF!,#REF!,IF(INDIRECT("Hallazgos!G"&amp;B7+1)=#REF!,#REF!,IF(INDIRECT("Hallazgos!G"&amp;B7+1)=#REF!,#REF!,0)))</f>
        <v>#REF!</v>
      </c>
      <c r="E7" s="40" t="e">
        <f ca="1">IF(INDIRECT("Hallazgos!G"&amp;B7+2)=#REF!,#REF!,IF(INDIRECT("Hallazgos!G"&amp;B7+2)=#REF!,#REF!,IF(INDIRECT("Hallazgos!G"&amp;B7+2)=#REF!,#REF!,0)))</f>
        <v>#REF!</v>
      </c>
      <c r="F7" s="40" t="e">
        <f ca="1">IF(INDIRECT("Hallazgos!G"&amp;B7+6)=#REF!,#REF!,IF(INDIRECT("Hallazgos!G"&amp;B7+6)=#REF!,#REF!,IF(INDIRECT("Hallazgos!G"&amp;B7+6)=#REF!,#REF!,IF(INDIRECT("Hallazgos!G"&amp;B7+6)=#REF!,#REF!,0))))</f>
        <v>#REF!</v>
      </c>
      <c r="G7" s="40"/>
      <c r="H7" s="40" t="e">
        <f ca="1">IF(INDIRECT("Hallazgos!G"&amp;B7+3)=#REF!,#REF!,IF(INDIRECT("Hallazgos!G"&amp;B7+3)=#REF!,#REF!,IF(INDIRECT("Hallazgos!G"&amp;B7+3)=#REF!,#REF!,0)))</f>
        <v>#REF!</v>
      </c>
      <c r="I7" s="40" t="e">
        <f ca="1">IF(INDIRECT("Hallazgos!G"&amp;B7+4)=#REF!,#REF!,IF(INDIRECT("Hallazgos!G"&amp;B7+4)=#REF!,#REF!,IF(INDIRECT("Hallazgos!G"&amp;B7+4)=#REF!,#REF!,0)))</f>
        <v>#REF!</v>
      </c>
      <c r="J7" s="40" t="e">
        <f ca="1">IF(INDIRECT("Hallazgos!G"&amp;B7+5)=#REF!,#REF!,IF(INDIRECT("Hallazgos!G"&amp;B7+5)=#REF!,#REF!,IF(INDIRECT("Hallazgos!G"&amp;B7+5)=#REF!,#REF!,0)))</f>
        <v>#REF!</v>
      </c>
      <c r="K7" s="40"/>
      <c r="L7" s="40" t="str">
        <f t="shared" ca="1" si="1"/>
        <v>x</v>
      </c>
      <c r="M7" s="40" t="e">
        <f t="shared" ca="1" si="2"/>
        <v>#REF!</v>
      </c>
      <c r="N7" s="40" t="e">
        <f t="shared" ca="1" si="3"/>
        <v>#REF!</v>
      </c>
      <c r="O7" s="40" t="str">
        <f t="shared" ca="1" si="4"/>
        <v>x (0)</v>
      </c>
      <c r="P7" s="40">
        <f t="shared" ca="1" si="5"/>
        <v>0</v>
      </c>
    </row>
    <row r="8" spans="1:17" x14ac:dyDescent="0.2">
      <c r="A8" s="48">
        <v>3</v>
      </c>
      <c r="B8" s="40">
        <f t="shared" si="0"/>
        <v>23</v>
      </c>
      <c r="C8" s="40" t="e">
        <f ca="1">IF(INDIRECT("Hallazgos!G"&amp;B8)=#REF!,#REF!,IF(INDIRECT("Hallazgos!G"&amp;B8)=#REF!,#REF!,IF(INDIRECT("Hallazgos!G"&amp;B8)=#REF!,#REF!,0)))</f>
        <v>#REF!</v>
      </c>
      <c r="D8" s="40" t="e">
        <f ca="1">IF(INDIRECT("Hallazgos!G"&amp;B8+1)=#REF!,#REF!,IF(INDIRECT("Hallazgos!G"&amp;B8+1)=#REF!,#REF!,IF(INDIRECT("Hallazgos!G"&amp;B8+1)=#REF!,#REF!,0)))</f>
        <v>#REF!</v>
      </c>
      <c r="E8" s="40" t="e">
        <f ca="1">IF(INDIRECT("Hallazgos!G"&amp;B8+2)=#REF!,#REF!,IF(INDIRECT("Hallazgos!G"&amp;B8+2)=#REF!,#REF!,IF(INDIRECT("Hallazgos!G"&amp;B8+2)=#REF!,#REF!,0)))</f>
        <v>#REF!</v>
      </c>
      <c r="F8" s="40" t="e">
        <f ca="1">IF(INDIRECT("Hallazgos!G"&amp;B8+6)=#REF!,#REF!,IF(INDIRECT("Hallazgos!G"&amp;B8+6)=#REF!,#REF!,IF(INDIRECT("Hallazgos!G"&amp;B8+6)=#REF!,#REF!,IF(INDIRECT("Hallazgos!G"&amp;B8+6)=#REF!,#REF!,0))))</f>
        <v>#REF!</v>
      </c>
      <c r="G8" s="40"/>
      <c r="H8" s="40" t="e">
        <f ca="1">IF(INDIRECT("Hallazgos!G"&amp;B8+3)=#REF!,#REF!,IF(INDIRECT("Hallazgos!G"&amp;B8+3)=#REF!,#REF!,IF(INDIRECT("Hallazgos!G"&amp;B8+3)=#REF!,#REF!,0)))</f>
        <v>#REF!</v>
      </c>
      <c r="I8" s="40" t="e">
        <f ca="1">IF(INDIRECT("Hallazgos!G"&amp;B8+4)=#REF!,#REF!,IF(INDIRECT("Hallazgos!G"&amp;B8+4)=#REF!,#REF!,IF(INDIRECT("Hallazgos!G"&amp;B8+4)=#REF!,#REF!,0)))</f>
        <v>#REF!</v>
      </c>
      <c r="J8" s="40" t="e">
        <f ca="1">IF(INDIRECT("Hallazgos!G"&amp;B8+5)=#REF!,#REF!,IF(INDIRECT("Hallazgos!G"&amp;B8+5)=#REF!,#REF!,IF(INDIRECT("Hallazgos!G"&amp;B8+5)=#REF!,#REF!,0)))</f>
        <v>#REF!</v>
      </c>
      <c r="K8" s="40"/>
      <c r="L8" s="40" t="str">
        <f t="shared" ca="1" si="1"/>
        <v>x</v>
      </c>
      <c r="M8" s="40" t="e">
        <f t="shared" ca="1" si="2"/>
        <v>#REF!</v>
      </c>
      <c r="N8" s="40" t="e">
        <f t="shared" ca="1" si="3"/>
        <v>#REF!</v>
      </c>
      <c r="O8" s="40" t="str">
        <f t="shared" ca="1" si="4"/>
        <v>x (0)</v>
      </c>
      <c r="P8" s="40">
        <f t="shared" ca="1" si="5"/>
        <v>0</v>
      </c>
    </row>
    <row r="9" spans="1:17" x14ac:dyDescent="0.2">
      <c r="A9" s="48">
        <v>4</v>
      </c>
      <c r="B9" s="40">
        <f t="shared" si="0"/>
        <v>33</v>
      </c>
      <c r="C9" s="40" t="e">
        <f ca="1">IF(INDIRECT("Hallazgos!G"&amp;B9)=#REF!,#REF!,IF(INDIRECT("Hallazgos!G"&amp;B9)=#REF!,#REF!,IF(INDIRECT("Hallazgos!G"&amp;B9)=#REF!,#REF!,0)))</f>
        <v>#REF!</v>
      </c>
      <c r="D9" s="40" t="e">
        <f ca="1">IF(INDIRECT("Hallazgos!G"&amp;B9+1)=#REF!,#REF!,IF(INDIRECT("Hallazgos!G"&amp;B9+1)=#REF!,#REF!,IF(INDIRECT("Hallazgos!G"&amp;B9+1)=#REF!,#REF!,0)))</f>
        <v>#REF!</v>
      </c>
      <c r="E9" s="40" t="e">
        <f ca="1">IF(INDIRECT("Hallazgos!G"&amp;B9+2)=#REF!,#REF!,IF(INDIRECT("Hallazgos!G"&amp;B9+2)=#REF!,#REF!,IF(INDIRECT("Hallazgos!G"&amp;B9+2)=#REF!,#REF!,0)))</f>
        <v>#REF!</v>
      </c>
      <c r="F9" s="40" t="e">
        <f ca="1">IF(INDIRECT("Hallazgos!G"&amp;B9+6)=#REF!,#REF!,IF(INDIRECT("Hallazgos!G"&amp;B9+6)=#REF!,#REF!,IF(INDIRECT("Hallazgos!G"&amp;B9+6)=#REF!,#REF!,IF(INDIRECT("Hallazgos!G"&amp;B9+6)=#REF!,#REF!,0))))</f>
        <v>#REF!</v>
      </c>
      <c r="G9" s="40"/>
      <c r="H9" s="40" t="e">
        <f ca="1">IF(INDIRECT("Hallazgos!G"&amp;B9+3)=#REF!,#REF!,IF(INDIRECT("Hallazgos!G"&amp;B9+3)=#REF!,#REF!,IF(INDIRECT("Hallazgos!G"&amp;B9+3)=#REF!,#REF!,0)))</f>
        <v>#REF!</v>
      </c>
      <c r="I9" s="40" t="e">
        <f ca="1">IF(INDIRECT("Hallazgos!G"&amp;B9+4)=#REF!,#REF!,IF(INDIRECT("Hallazgos!G"&amp;B9+4)=#REF!,#REF!,IF(INDIRECT("Hallazgos!G"&amp;B9+4)=#REF!,#REF!,0)))</f>
        <v>#REF!</v>
      </c>
      <c r="J9" s="40" t="e">
        <f ca="1">IF(INDIRECT("Hallazgos!G"&amp;B9+5)=#REF!,#REF!,IF(INDIRECT("Hallazgos!G"&amp;B9+5)=#REF!,#REF!,IF(INDIRECT("Hallazgos!G"&amp;B9+5)=#REF!,#REF!,0)))</f>
        <v>#REF!</v>
      </c>
      <c r="K9" s="40"/>
      <c r="L9" s="40" t="str">
        <f t="shared" ca="1" si="1"/>
        <v>x</v>
      </c>
      <c r="M9" s="40" t="e">
        <f t="shared" ca="1" si="2"/>
        <v>#REF!</v>
      </c>
      <c r="N9" s="40" t="e">
        <f t="shared" ca="1" si="3"/>
        <v>#REF!</v>
      </c>
      <c r="O9" s="40" t="str">
        <f t="shared" ca="1" si="4"/>
        <v>x (0)</v>
      </c>
      <c r="P9" s="40">
        <f t="shared" ca="1" si="5"/>
        <v>0</v>
      </c>
    </row>
    <row r="10" spans="1:17" x14ac:dyDescent="0.2">
      <c r="A10" s="48">
        <v>5</v>
      </c>
      <c r="B10" s="40">
        <f t="shared" si="0"/>
        <v>43</v>
      </c>
      <c r="C10" s="40" t="e">
        <f ca="1">IF(INDIRECT("Hallazgos!G"&amp;B10)=#REF!,#REF!,IF(INDIRECT("Hallazgos!G"&amp;B10)=#REF!,#REF!,IF(INDIRECT("Hallazgos!G"&amp;B10)=#REF!,#REF!,0)))</f>
        <v>#REF!</v>
      </c>
      <c r="D10" s="40" t="e">
        <f ca="1">IF(INDIRECT("Hallazgos!G"&amp;B10+1)=#REF!,#REF!,IF(INDIRECT("Hallazgos!G"&amp;B10+1)=#REF!,#REF!,IF(INDIRECT("Hallazgos!G"&amp;B10+1)=#REF!,#REF!,0)))</f>
        <v>#REF!</v>
      </c>
      <c r="E10" s="40" t="e">
        <f ca="1">IF(INDIRECT("Hallazgos!G"&amp;B10+2)=#REF!,#REF!,IF(INDIRECT("Hallazgos!G"&amp;B10+2)=#REF!,#REF!,IF(INDIRECT("Hallazgos!G"&amp;B10+2)=#REF!,#REF!,0)))</f>
        <v>#REF!</v>
      </c>
      <c r="F10" s="40" t="e">
        <f ca="1">IF(INDIRECT("Hallazgos!G"&amp;B10+6)=#REF!,#REF!,IF(INDIRECT("Hallazgos!G"&amp;B10+6)=#REF!,#REF!,IF(INDIRECT("Hallazgos!G"&amp;B10+6)=#REF!,#REF!,IF(INDIRECT("Hallazgos!G"&amp;B10+6)=#REF!,#REF!,0))))</f>
        <v>#REF!</v>
      </c>
      <c r="G10" s="40"/>
      <c r="H10" s="40" t="e">
        <f ca="1">IF(INDIRECT("Hallazgos!G"&amp;B10+3)=#REF!,#REF!,IF(INDIRECT("Hallazgos!G"&amp;B10+3)=#REF!,#REF!,IF(INDIRECT("Hallazgos!G"&amp;B10+3)=#REF!,#REF!,0)))</f>
        <v>#REF!</v>
      </c>
      <c r="I10" s="40" t="e">
        <f ca="1">IF(INDIRECT("Hallazgos!G"&amp;B10+4)=#REF!,#REF!,IF(INDIRECT("Hallazgos!G"&amp;B10+4)=#REF!,#REF!,IF(INDIRECT("Hallazgos!G"&amp;B10+4)=#REF!,#REF!,0)))</f>
        <v>#REF!</v>
      </c>
      <c r="J10" s="40" t="e">
        <f ca="1">IF(INDIRECT("Hallazgos!G"&amp;B10+5)=#REF!,#REF!,IF(INDIRECT("Hallazgos!G"&amp;B10+5)=#REF!,#REF!,IF(INDIRECT("Hallazgos!G"&amp;B10+5)=#REF!,#REF!,0)))</f>
        <v>#REF!</v>
      </c>
      <c r="K10" s="40"/>
      <c r="L10" s="40" t="str">
        <f t="shared" ca="1" si="1"/>
        <v>x</v>
      </c>
      <c r="M10" s="40" t="e">
        <f t="shared" ca="1" si="2"/>
        <v>#REF!</v>
      </c>
      <c r="N10" s="40" t="e">
        <f t="shared" ca="1" si="3"/>
        <v>#REF!</v>
      </c>
      <c r="O10" s="40" t="str">
        <f t="shared" ca="1" si="4"/>
        <v>x (0)</v>
      </c>
      <c r="P10" s="40">
        <f t="shared" ca="1" si="5"/>
        <v>0</v>
      </c>
    </row>
    <row r="11" spans="1:17" x14ac:dyDescent="0.2">
      <c r="A11" s="48">
        <v>6</v>
      </c>
      <c r="B11" s="40">
        <f t="shared" si="0"/>
        <v>53</v>
      </c>
      <c r="C11" s="40" t="e">
        <f ca="1">IF(INDIRECT("Hallazgos!G"&amp;B11)=#REF!,#REF!,IF(INDIRECT("Hallazgos!G"&amp;B11)=#REF!,#REF!,IF(INDIRECT("Hallazgos!G"&amp;B11)=#REF!,#REF!,0)))</f>
        <v>#REF!</v>
      </c>
      <c r="D11" s="40" t="e">
        <f ca="1">IF(INDIRECT("Hallazgos!G"&amp;B11+1)=#REF!,#REF!,IF(INDIRECT("Hallazgos!G"&amp;B11+1)=#REF!,#REF!,IF(INDIRECT("Hallazgos!G"&amp;B11+1)=#REF!,#REF!,0)))</f>
        <v>#REF!</v>
      </c>
      <c r="E11" s="40" t="e">
        <f ca="1">IF(INDIRECT("Hallazgos!G"&amp;B11+2)=#REF!,#REF!,IF(INDIRECT("Hallazgos!G"&amp;B11+2)=#REF!,#REF!,IF(INDIRECT("Hallazgos!G"&amp;B11+2)=#REF!,#REF!,0)))</f>
        <v>#REF!</v>
      </c>
      <c r="F11" s="40" t="e">
        <f ca="1">IF(INDIRECT("Hallazgos!G"&amp;B11+6)=#REF!,#REF!,IF(INDIRECT("Hallazgos!G"&amp;B11+6)=#REF!,#REF!,IF(INDIRECT("Hallazgos!G"&amp;B11+6)=#REF!,#REF!,IF(INDIRECT("Hallazgos!G"&amp;B11+6)=#REF!,#REF!,0))))</f>
        <v>#REF!</v>
      </c>
      <c r="G11" s="40"/>
      <c r="H11" s="40" t="e">
        <f ca="1">IF(INDIRECT("Hallazgos!G"&amp;B11+3)=#REF!,#REF!,IF(INDIRECT("Hallazgos!G"&amp;B11+3)=#REF!,#REF!,IF(INDIRECT("Hallazgos!G"&amp;B11+3)=#REF!,#REF!,0)))</f>
        <v>#REF!</v>
      </c>
      <c r="I11" s="40" t="e">
        <f ca="1">IF(INDIRECT("Hallazgos!G"&amp;B11+4)=#REF!,#REF!,IF(INDIRECT("Hallazgos!G"&amp;B11+4)=#REF!,#REF!,IF(INDIRECT("Hallazgos!G"&amp;B11+4)=#REF!,#REF!,0)))</f>
        <v>#REF!</v>
      </c>
      <c r="J11" s="40" t="e">
        <f ca="1">IF(INDIRECT("Hallazgos!G"&amp;B11+5)=#REF!,#REF!,IF(INDIRECT("Hallazgos!G"&amp;B11+5)=#REF!,#REF!,IF(INDIRECT("Hallazgos!G"&amp;B11+5)=#REF!,#REF!,0)))</f>
        <v>#REF!</v>
      </c>
      <c r="K11" s="40"/>
      <c r="L11" s="40" t="str">
        <f t="shared" ca="1" si="1"/>
        <v>x</v>
      </c>
      <c r="M11" s="40" t="e">
        <f t="shared" ca="1" si="2"/>
        <v>#REF!</v>
      </c>
      <c r="N11" s="40" t="e">
        <f t="shared" ca="1" si="3"/>
        <v>#REF!</v>
      </c>
      <c r="O11" s="40" t="str">
        <f t="shared" ca="1" si="4"/>
        <v>x (0)</v>
      </c>
      <c r="P11" s="40">
        <f t="shared" ca="1" si="5"/>
        <v>0</v>
      </c>
    </row>
    <row r="12" spans="1:17" x14ac:dyDescent="0.2">
      <c r="A12" s="48">
        <v>7</v>
      </c>
      <c r="B12" s="40">
        <f t="shared" si="0"/>
        <v>63</v>
      </c>
      <c r="C12" s="40" t="e">
        <f ca="1">IF(INDIRECT("Hallazgos!G"&amp;B12)=#REF!,#REF!,IF(INDIRECT("Hallazgos!G"&amp;B12)=#REF!,#REF!,IF(INDIRECT("Hallazgos!G"&amp;B12)=#REF!,#REF!,0)))</f>
        <v>#REF!</v>
      </c>
      <c r="D12" s="40" t="e">
        <f ca="1">IF(INDIRECT("Hallazgos!G"&amp;B12+1)=#REF!,#REF!,IF(INDIRECT("Hallazgos!G"&amp;B12+1)=#REF!,#REF!,IF(INDIRECT("Hallazgos!G"&amp;B12+1)=#REF!,#REF!,0)))</f>
        <v>#REF!</v>
      </c>
      <c r="E12" s="40" t="e">
        <f ca="1">IF(INDIRECT("Hallazgos!G"&amp;B12+2)=#REF!,#REF!,IF(INDIRECT("Hallazgos!G"&amp;B12+2)=#REF!,#REF!,IF(INDIRECT("Hallazgos!G"&amp;B12+2)=#REF!,#REF!,0)))</f>
        <v>#REF!</v>
      </c>
      <c r="F12" s="40" t="e">
        <f ca="1">IF(INDIRECT("Hallazgos!G"&amp;B12+6)=#REF!,#REF!,IF(INDIRECT("Hallazgos!G"&amp;B12+6)=#REF!,#REF!,IF(INDIRECT("Hallazgos!G"&amp;B12+6)=#REF!,#REF!,IF(INDIRECT("Hallazgos!G"&amp;B12+6)=#REF!,#REF!,0))))</f>
        <v>#REF!</v>
      </c>
      <c r="G12" s="40"/>
      <c r="H12" s="40" t="e">
        <f ca="1">IF(INDIRECT("Hallazgos!G"&amp;B12+3)=#REF!,#REF!,IF(INDIRECT("Hallazgos!G"&amp;B12+3)=#REF!,#REF!,IF(INDIRECT("Hallazgos!G"&amp;B12+3)=#REF!,#REF!,0)))</f>
        <v>#REF!</v>
      </c>
      <c r="I12" s="40" t="e">
        <f ca="1">IF(INDIRECT("Hallazgos!G"&amp;B12+4)=#REF!,#REF!,IF(INDIRECT("Hallazgos!G"&amp;B12+4)=#REF!,#REF!,IF(INDIRECT("Hallazgos!G"&amp;B12+4)=#REF!,#REF!,0)))</f>
        <v>#REF!</v>
      </c>
      <c r="J12" s="40" t="e">
        <f ca="1">IF(INDIRECT("Hallazgos!G"&amp;B12+5)=#REF!,#REF!,IF(INDIRECT("Hallazgos!G"&amp;B12+5)=#REF!,#REF!,IF(INDIRECT("Hallazgos!G"&amp;B12+5)=#REF!,#REF!,0)))</f>
        <v>#REF!</v>
      </c>
      <c r="K12" s="40"/>
      <c r="L12" s="40" t="str">
        <f t="shared" ca="1" si="1"/>
        <v xml:space="preserve">7 </v>
      </c>
      <c r="M12" s="40" t="e">
        <f t="shared" ca="1" si="2"/>
        <v>#REF!</v>
      </c>
      <c r="N12" s="40" t="e">
        <f t="shared" ca="1" si="3"/>
        <v>#REF!</v>
      </c>
      <c r="O12" s="40" t="str">
        <f t="shared" ca="1" si="4"/>
        <v>7 Vulnerabilidad 6 (9)</v>
      </c>
      <c r="P12" s="40">
        <f t="shared" ca="1" si="5"/>
        <v>9</v>
      </c>
    </row>
    <row r="13" spans="1:17" x14ac:dyDescent="0.2">
      <c r="A13" s="48">
        <v>8</v>
      </c>
      <c r="B13" s="40">
        <f t="shared" si="0"/>
        <v>73</v>
      </c>
      <c r="C13" s="40" t="e">
        <f ca="1">IF(INDIRECT("Hallazgos!G"&amp;B13)=#REF!,#REF!,IF(INDIRECT("Hallazgos!G"&amp;B13)=#REF!,#REF!,IF(INDIRECT("Hallazgos!G"&amp;B13)=#REF!,#REF!,0)))</f>
        <v>#REF!</v>
      </c>
      <c r="D13" s="40" t="e">
        <f ca="1">IF(INDIRECT("Hallazgos!G"&amp;B13+1)=#REF!,#REF!,IF(INDIRECT("Hallazgos!G"&amp;B13+1)=#REF!,#REF!,IF(INDIRECT("Hallazgos!G"&amp;B13+1)=#REF!,#REF!,0)))</f>
        <v>#REF!</v>
      </c>
      <c r="E13" s="40" t="e">
        <f ca="1">IF(INDIRECT("Hallazgos!G"&amp;B13+2)=#REF!,#REF!,IF(INDIRECT("Hallazgos!G"&amp;B13+2)=#REF!,#REF!,IF(INDIRECT("Hallazgos!G"&amp;B13+2)=#REF!,#REF!,0)))</f>
        <v>#REF!</v>
      </c>
      <c r="F13" s="40" t="e">
        <f ca="1">IF(INDIRECT("Hallazgos!G"&amp;B13+6)=#REF!,#REF!,IF(INDIRECT("Hallazgos!G"&amp;B13+6)=#REF!,#REF!,IF(INDIRECT("Hallazgos!G"&amp;B13+6)=#REF!,#REF!,IF(INDIRECT("Hallazgos!G"&amp;B13+6)=#REF!,#REF!,0))))</f>
        <v>#REF!</v>
      </c>
      <c r="G13" s="40"/>
      <c r="H13" s="40" t="e">
        <f ca="1">IF(INDIRECT("Hallazgos!G"&amp;B13+3)=#REF!,#REF!,IF(INDIRECT("Hallazgos!G"&amp;B13+3)=#REF!,#REF!,IF(INDIRECT("Hallazgos!G"&amp;B13+3)=#REF!,#REF!,0)))</f>
        <v>#REF!</v>
      </c>
      <c r="I13" s="40" t="e">
        <f ca="1">IF(INDIRECT("Hallazgos!G"&amp;B13+4)=#REF!,#REF!,IF(INDIRECT("Hallazgos!G"&amp;B13+4)=#REF!,#REF!,IF(INDIRECT("Hallazgos!G"&amp;B13+4)=#REF!,#REF!,0)))</f>
        <v>#REF!</v>
      </c>
      <c r="J13" s="40" t="e">
        <f ca="1">IF(INDIRECT("Hallazgos!G"&amp;B13+5)=#REF!,#REF!,IF(INDIRECT("Hallazgos!G"&amp;B13+5)=#REF!,#REF!,IF(INDIRECT("Hallazgos!G"&amp;B13+5)=#REF!,#REF!,0)))</f>
        <v>#REF!</v>
      </c>
      <c r="K13" s="40"/>
      <c r="L13" s="40" t="str">
        <f t="shared" ca="1" si="1"/>
        <v>x</v>
      </c>
      <c r="M13" s="40" t="e">
        <f t="shared" ca="1" si="2"/>
        <v>#REF!</v>
      </c>
      <c r="N13" s="40" t="e">
        <f t="shared" ca="1" si="3"/>
        <v>#REF!</v>
      </c>
      <c r="O13" s="40" t="str">
        <f t="shared" ca="1" si="4"/>
        <v>x (0)</v>
      </c>
      <c r="P13" s="40">
        <f t="shared" ca="1" si="5"/>
        <v>0</v>
      </c>
    </row>
    <row r="14" spans="1:17" x14ac:dyDescent="0.2">
      <c r="A14" s="48">
        <v>9</v>
      </c>
      <c r="B14" s="40">
        <f t="shared" si="0"/>
        <v>83</v>
      </c>
      <c r="C14" s="40" t="e">
        <f ca="1">IF(INDIRECT("Hallazgos!G"&amp;B14)=#REF!,#REF!,IF(INDIRECT("Hallazgos!G"&amp;B14)=#REF!,#REF!,IF(INDIRECT("Hallazgos!G"&amp;B14)=#REF!,#REF!,0)))</f>
        <v>#REF!</v>
      </c>
      <c r="D14" s="40" t="e">
        <f ca="1">IF(INDIRECT("Hallazgos!G"&amp;B14+1)=#REF!,#REF!,IF(INDIRECT("Hallazgos!G"&amp;B14+1)=#REF!,#REF!,IF(INDIRECT("Hallazgos!G"&amp;B14+1)=#REF!,#REF!,0)))</f>
        <v>#REF!</v>
      </c>
      <c r="E14" s="40" t="e">
        <f ca="1">IF(INDIRECT("Hallazgos!G"&amp;B14+2)=#REF!,#REF!,IF(INDIRECT("Hallazgos!G"&amp;B14+2)=#REF!,#REF!,IF(INDIRECT("Hallazgos!G"&amp;B14+2)=#REF!,#REF!,0)))</f>
        <v>#REF!</v>
      </c>
      <c r="F14" s="40" t="e">
        <f ca="1">IF(INDIRECT("Hallazgos!G"&amp;B14+6)=#REF!,#REF!,IF(INDIRECT("Hallazgos!G"&amp;B14+6)=#REF!,#REF!,IF(INDIRECT("Hallazgos!G"&amp;B14+6)=#REF!,#REF!,IF(INDIRECT("Hallazgos!G"&amp;B14+6)=#REF!,#REF!,0))))</f>
        <v>#REF!</v>
      </c>
      <c r="G14" s="40"/>
      <c r="H14" s="40" t="e">
        <f ca="1">IF(INDIRECT("Hallazgos!G"&amp;B14+3)=#REF!,#REF!,IF(INDIRECT("Hallazgos!G"&amp;B14+3)=#REF!,#REF!,IF(INDIRECT("Hallazgos!G"&amp;B14+3)=#REF!,#REF!,0)))</f>
        <v>#REF!</v>
      </c>
      <c r="I14" s="40" t="e">
        <f ca="1">IF(INDIRECT("Hallazgos!G"&amp;B14+4)=#REF!,#REF!,IF(INDIRECT("Hallazgos!G"&amp;B14+4)=#REF!,#REF!,IF(INDIRECT("Hallazgos!G"&amp;B14+4)=#REF!,#REF!,0)))</f>
        <v>#REF!</v>
      </c>
      <c r="J14" s="40" t="e">
        <f ca="1">IF(INDIRECT("Hallazgos!G"&amp;B14+5)=#REF!,#REF!,IF(INDIRECT("Hallazgos!G"&amp;B14+5)=#REF!,#REF!,IF(INDIRECT("Hallazgos!G"&amp;B14+5)=#REF!,#REF!,0)))</f>
        <v>#REF!</v>
      </c>
      <c r="K14" s="40"/>
      <c r="L14" s="40" t="str">
        <f t="shared" ca="1" si="1"/>
        <v>x</v>
      </c>
      <c r="M14" s="40" t="e">
        <f t="shared" ca="1" si="2"/>
        <v>#REF!</v>
      </c>
      <c r="N14" s="40" t="e">
        <f t="shared" ca="1" si="3"/>
        <v>#REF!</v>
      </c>
      <c r="O14" s="40" t="str">
        <f t="shared" ca="1" si="4"/>
        <v>x (0)</v>
      </c>
      <c r="P14" s="40">
        <f t="shared" ca="1" si="5"/>
        <v>0</v>
      </c>
    </row>
    <row r="15" spans="1:17" x14ac:dyDescent="0.2">
      <c r="A15" s="48">
        <v>10</v>
      </c>
      <c r="B15" s="40">
        <f t="shared" si="0"/>
        <v>93</v>
      </c>
      <c r="C15" s="40" t="e">
        <f ca="1">IF(INDIRECT("Hallazgos!G"&amp;B15)=#REF!,#REF!,IF(INDIRECT("Hallazgos!G"&amp;B15)=#REF!,#REF!,IF(INDIRECT("Hallazgos!G"&amp;B15)=#REF!,#REF!,0)))</f>
        <v>#REF!</v>
      </c>
      <c r="D15" s="40" t="e">
        <f ca="1">IF(INDIRECT("Hallazgos!G"&amp;B15+1)=#REF!,#REF!,IF(INDIRECT("Hallazgos!G"&amp;B15+1)=#REF!,#REF!,IF(INDIRECT("Hallazgos!G"&amp;B15+1)=#REF!,#REF!,0)))</f>
        <v>#REF!</v>
      </c>
      <c r="E15" s="40" t="e">
        <f ca="1">IF(INDIRECT("Hallazgos!G"&amp;B15+2)=#REF!,#REF!,IF(INDIRECT("Hallazgos!G"&amp;B15+2)=#REF!,#REF!,IF(INDIRECT("Hallazgos!G"&amp;B15+2)=#REF!,#REF!,0)))</f>
        <v>#REF!</v>
      </c>
      <c r="F15" s="40" t="e">
        <f ca="1">IF(INDIRECT("Hallazgos!G"&amp;B15+6)=#REF!,#REF!,IF(INDIRECT("Hallazgos!G"&amp;B15+6)=#REF!,#REF!,IF(INDIRECT("Hallazgos!G"&amp;B15+6)=#REF!,#REF!,IF(INDIRECT("Hallazgos!G"&amp;B15+6)=#REF!,#REF!,0))))</f>
        <v>#REF!</v>
      </c>
      <c r="G15" s="40"/>
      <c r="H15" s="40" t="e">
        <f ca="1">IF(INDIRECT("Hallazgos!G"&amp;B15+3)=#REF!,#REF!,IF(INDIRECT("Hallazgos!G"&amp;B15+3)=#REF!,#REF!,IF(INDIRECT("Hallazgos!G"&amp;B15+3)=#REF!,#REF!,0)))</f>
        <v>#REF!</v>
      </c>
      <c r="I15" s="40" t="e">
        <f ca="1">IF(INDIRECT("Hallazgos!G"&amp;B15+4)=#REF!,#REF!,IF(INDIRECT("Hallazgos!G"&amp;B15+4)=#REF!,#REF!,IF(INDIRECT("Hallazgos!G"&amp;B15+4)=#REF!,#REF!,0)))</f>
        <v>#REF!</v>
      </c>
      <c r="J15" s="40" t="e">
        <f ca="1">IF(INDIRECT("Hallazgos!G"&amp;B15+5)=#REF!,#REF!,IF(INDIRECT("Hallazgos!G"&amp;B15+5)=#REF!,#REF!,IF(INDIRECT("Hallazgos!G"&amp;B15+5)=#REF!,#REF!,0)))</f>
        <v>#REF!</v>
      </c>
      <c r="K15" s="40"/>
      <c r="L15" s="40" t="str">
        <f t="shared" ca="1" si="1"/>
        <v>x</v>
      </c>
      <c r="M15" s="40" t="e">
        <f t="shared" ca="1" si="2"/>
        <v>#REF!</v>
      </c>
      <c r="N15" s="40" t="e">
        <f t="shared" ca="1" si="3"/>
        <v>#REF!</v>
      </c>
      <c r="O15" s="40" t="str">
        <f t="shared" ca="1" si="4"/>
        <v>x (0)</v>
      </c>
      <c r="P15" s="40">
        <f t="shared" ca="1" si="5"/>
        <v>0</v>
      </c>
    </row>
    <row r="16" spans="1:17" x14ac:dyDescent="0.2">
      <c r="A16" s="48">
        <v>11</v>
      </c>
      <c r="B16" s="40">
        <f t="shared" si="0"/>
        <v>103</v>
      </c>
      <c r="C16" s="40" t="e">
        <f ca="1">IF(INDIRECT("Hallazgos!G"&amp;B16)=#REF!,#REF!,IF(INDIRECT("Hallazgos!G"&amp;B16)=#REF!,#REF!,IF(INDIRECT("Hallazgos!G"&amp;B16)=#REF!,#REF!,0)))</f>
        <v>#REF!</v>
      </c>
      <c r="D16" s="40" t="e">
        <f ca="1">IF(INDIRECT("Hallazgos!G"&amp;B16+1)=#REF!,#REF!,IF(INDIRECT("Hallazgos!G"&amp;B16+1)=#REF!,#REF!,IF(INDIRECT("Hallazgos!G"&amp;B16+1)=#REF!,#REF!,0)))</f>
        <v>#REF!</v>
      </c>
      <c r="E16" s="40" t="e">
        <f ca="1">IF(INDIRECT("Hallazgos!G"&amp;B16+2)=#REF!,#REF!,IF(INDIRECT("Hallazgos!G"&amp;B16+2)=#REF!,#REF!,IF(INDIRECT("Hallazgos!G"&amp;B16+2)=#REF!,#REF!,0)))</f>
        <v>#REF!</v>
      </c>
      <c r="F16" s="40" t="e">
        <f ca="1">IF(INDIRECT("Hallazgos!G"&amp;B16+6)=#REF!,#REF!,IF(INDIRECT("Hallazgos!G"&amp;B16+6)=#REF!,#REF!,IF(INDIRECT("Hallazgos!G"&amp;B16+6)=#REF!,#REF!,IF(INDIRECT("Hallazgos!G"&amp;B16+6)=#REF!,#REF!,0))))</f>
        <v>#REF!</v>
      </c>
      <c r="G16" s="40"/>
      <c r="H16" s="40" t="e">
        <f ca="1">IF(INDIRECT("Hallazgos!G"&amp;B16+3)=#REF!,#REF!,IF(INDIRECT("Hallazgos!G"&amp;B16+3)=#REF!,#REF!,IF(INDIRECT("Hallazgos!G"&amp;B16+3)=#REF!,#REF!,0)))</f>
        <v>#REF!</v>
      </c>
      <c r="I16" s="40" t="e">
        <f ca="1">IF(INDIRECT("Hallazgos!G"&amp;B16+4)=#REF!,#REF!,IF(INDIRECT("Hallazgos!G"&amp;B16+4)=#REF!,#REF!,IF(INDIRECT("Hallazgos!G"&amp;B16+4)=#REF!,#REF!,0)))</f>
        <v>#REF!</v>
      </c>
      <c r="J16" s="40" t="e">
        <f ca="1">IF(INDIRECT("Hallazgos!G"&amp;B16+5)=#REF!,#REF!,IF(INDIRECT("Hallazgos!G"&amp;B16+5)=#REF!,#REF!,IF(INDIRECT("Hallazgos!G"&amp;B16+5)=#REF!,#REF!,0)))</f>
        <v>#REF!</v>
      </c>
      <c r="K16" s="40"/>
      <c r="L16" s="40" t="str">
        <f t="shared" ca="1" si="1"/>
        <v>x</v>
      </c>
      <c r="M16" s="40" t="e">
        <f t="shared" ca="1" si="2"/>
        <v>#REF!</v>
      </c>
      <c r="N16" s="40" t="e">
        <f t="shared" ca="1" si="3"/>
        <v>#REF!</v>
      </c>
      <c r="O16" s="40" t="str">
        <f t="shared" ca="1" si="4"/>
        <v>x (0)</v>
      </c>
      <c r="P16" s="40">
        <f t="shared" ca="1" si="5"/>
        <v>0</v>
      </c>
    </row>
    <row r="17" spans="1:16" x14ac:dyDescent="0.2">
      <c r="A17" s="48">
        <v>12</v>
      </c>
      <c r="B17" s="40">
        <f t="shared" si="0"/>
        <v>113</v>
      </c>
      <c r="C17" s="40" t="e">
        <f ca="1">IF(INDIRECT("Hallazgos!G"&amp;B17)=#REF!,#REF!,IF(INDIRECT("Hallazgos!G"&amp;B17)=#REF!,#REF!,IF(INDIRECT("Hallazgos!G"&amp;B17)=#REF!,#REF!,0)))</f>
        <v>#REF!</v>
      </c>
      <c r="D17" s="40" t="e">
        <f ca="1">IF(INDIRECT("Hallazgos!G"&amp;B17+1)=#REF!,#REF!,IF(INDIRECT("Hallazgos!G"&amp;B17+1)=#REF!,#REF!,IF(INDIRECT("Hallazgos!G"&amp;B17+1)=#REF!,#REF!,0)))</f>
        <v>#REF!</v>
      </c>
      <c r="E17" s="40" t="e">
        <f ca="1">IF(INDIRECT("Hallazgos!G"&amp;B17+2)=#REF!,#REF!,IF(INDIRECT("Hallazgos!G"&amp;B17+2)=#REF!,#REF!,IF(INDIRECT("Hallazgos!G"&amp;B17+2)=#REF!,#REF!,0)))</f>
        <v>#REF!</v>
      </c>
      <c r="F17" s="40" t="e">
        <f ca="1">IF(INDIRECT("Hallazgos!G"&amp;B17+6)=#REF!,#REF!,IF(INDIRECT("Hallazgos!G"&amp;B17+6)=#REF!,#REF!,IF(INDIRECT("Hallazgos!G"&amp;B17+6)=#REF!,#REF!,IF(INDIRECT("Hallazgos!G"&amp;B17+6)=#REF!,#REF!,0))))</f>
        <v>#REF!</v>
      </c>
      <c r="G17" s="40"/>
      <c r="H17" s="40" t="e">
        <f ca="1">IF(INDIRECT("Hallazgos!G"&amp;B17+3)=#REF!,#REF!,IF(INDIRECT("Hallazgos!G"&amp;B17+3)=#REF!,#REF!,IF(INDIRECT("Hallazgos!G"&amp;B17+3)=#REF!,#REF!,0)))</f>
        <v>#REF!</v>
      </c>
      <c r="I17" s="40" t="e">
        <f ca="1">IF(INDIRECT("Hallazgos!G"&amp;B17+4)=#REF!,#REF!,IF(INDIRECT("Hallazgos!G"&amp;B17+4)=#REF!,#REF!,IF(INDIRECT("Hallazgos!G"&amp;B17+4)=#REF!,#REF!,0)))</f>
        <v>#REF!</v>
      </c>
      <c r="J17" s="40" t="e">
        <f ca="1">IF(INDIRECT("Hallazgos!G"&amp;B17+5)=#REF!,#REF!,IF(INDIRECT("Hallazgos!G"&amp;B17+5)=#REF!,#REF!,IF(INDIRECT("Hallazgos!G"&amp;B17+5)=#REF!,#REF!,0)))</f>
        <v>#REF!</v>
      </c>
      <c r="K17" s="40"/>
      <c r="L17" s="40" t="str">
        <f t="shared" ca="1" si="1"/>
        <v>x</v>
      </c>
      <c r="M17" s="40" t="e">
        <f t="shared" ca="1" si="2"/>
        <v>#REF!</v>
      </c>
      <c r="N17" s="40" t="e">
        <f t="shared" ca="1" si="3"/>
        <v>#REF!</v>
      </c>
      <c r="O17" s="40" t="str">
        <f t="shared" ca="1" si="4"/>
        <v>x (0)</v>
      </c>
      <c r="P17" s="40">
        <f t="shared" ca="1" si="5"/>
        <v>0</v>
      </c>
    </row>
    <row r="18" spans="1:16" x14ac:dyDescent="0.2">
      <c r="A18" s="48">
        <v>13</v>
      </c>
      <c r="B18" s="40">
        <f t="shared" si="0"/>
        <v>123</v>
      </c>
      <c r="C18" s="40" t="e">
        <f ca="1">IF(INDIRECT("Hallazgos!G"&amp;B18)=#REF!,#REF!,IF(INDIRECT("Hallazgos!G"&amp;B18)=#REF!,#REF!,IF(INDIRECT("Hallazgos!G"&amp;B18)=#REF!,#REF!,0)))</f>
        <v>#REF!</v>
      </c>
      <c r="D18" s="40" t="e">
        <f ca="1">IF(INDIRECT("Hallazgos!G"&amp;B18+1)=#REF!,#REF!,IF(INDIRECT("Hallazgos!G"&amp;B18+1)=#REF!,#REF!,IF(INDIRECT("Hallazgos!G"&amp;B18+1)=#REF!,#REF!,0)))</f>
        <v>#REF!</v>
      </c>
      <c r="E18" s="40" t="e">
        <f ca="1">IF(INDIRECT("Hallazgos!G"&amp;B18+2)=#REF!,#REF!,IF(INDIRECT("Hallazgos!G"&amp;B18+2)=#REF!,#REF!,IF(INDIRECT("Hallazgos!G"&amp;B18+2)=#REF!,#REF!,0)))</f>
        <v>#REF!</v>
      </c>
      <c r="F18" s="40" t="e">
        <f ca="1">IF(INDIRECT("Hallazgos!G"&amp;B18+6)=#REF!,#REF!,IF(INDIRECT("Hallazgos!G"&amp;B18+6)=#REF!,#REF!,IF(INDIRECT("Hallazgos!G"&amp;B18+6)=#REF!,#REF!,IF(INDIRECT("Hallazgos!G"&amp;B18+6)=#REF!,#REF!,0))))</f>
        <v>#REF!</v>
      </c>
      <c r="G18" s="40"/>
      <c r="H18" s="40" t="e">
        <f ca="1">IF(INDIRECT("Hallazgos!G"&amp;B18+3)=#REF!,#REF!,IF(INDIRECT("Hallazgos!G"&amp;B18+3)=#REF!,#REF!,IF(INDIRECT("Hallazgos!G"&amp;B18+3)=#REF!,#REF!,0)))</f>
        <v>#REF!</v>
      </c>
      <c r="I18" s="40" t="e">
        <f ca="1">IF(INDIRECT("Hallazgos!G"&amp;B18+4)=#REF!,#REF!,IF(INDIRECT("Hallazgos!G"&amp;B18+4)=#REF!,#REF!,IF(INDIRECT("Hallazgos!G"&amp;B18+4)=#REF!,#REF!,0)))</f>
        <v>#REF!</v>
      </c>
      <c r="J18" s="40" t="e">
        <f ca="1">IF(INDIRECT("Hallazgos!G"&amp;B18+5)=#REF!,#REF!,IF(INDIRECT("Hallazgos!G"&amp;B18+5)=#REF!,#REF!,IF(INDIRECT("Hallazgos!G"&amp;B18+5)=#REF!,#REF!,0)))</f>
        <v>#REF!</v>
      </c>
      <c r="K18" s="40"/>
      <c r="L18" s="40" t="str">
        <f t="shared" ca="1" si="1"/>
        <v xml:space="preserve">13 </v>
      </c>
      <c r="M18" s="40" t="e">
        <f t="shared" ca="1" si="2"/>
        <v>#REF!</v>
      </c>
      <c r="N18" s="40" t="e">
        <f t="shared" ca="1" si="3"/>
        <v>#REF!</v>
      </c>
      <c r="O18" s="40" t="str">
        <f t="shared" ca="1" si="4"/>
        <v>13 Vulnerabilidad 11 (9)</v>
      </c>
      <c r="P18" s="40">
        <f t="shared" ca="1" si="5"/>
        <v>9</v>
      </c>
    </row>
    <row r="19" spans="1:16" x14ac:dyDescent="0.2">
      <c r="A19" s="48">
        <v>14</v>
      </c>
      <c r="B19" s="40">
        <f t="shared" si="0"/>
        <v>133</v>
      </c>
      <c r="C19" s="40" t="e">
        <f ca="1">IF(INDIRECT("Hallazgos!G"&amp;B19)=#REF!,#REF!,IF(INDIRECT("Hallazgos!G"&amp;B19)=#REF!,#REF!,IF(INDIRECT("Hallazgos!G"&amp;B19)=#REF!,#REF!,0)))</f>
        <v>#REF!</v>
      </c>
      <c r="D19" s="40" t="e">
        <f ca="1">IF(INDIRECT("Hallazgos!G"&amp;B19+1)=#REF!,#REF!,IF(INDIRECT("Hallazgos!G"&amp;B19+1)=#REF!,#REF!,IF(INDIRECT("Hallazgos!G"&amp;B19+1)=#REF!,#REF!,0)))</f>
        <v>#REF!</v>
      </c>
      <c r="E19" s="40" t="e">
        <f ca="1">IF(INDIRECT("Hallazgos!G"&amp;B19+2)=#REF!,#REF!,IF(INDIRECT("Hallazgos!G"&amp;B19+2)=#REF!,#REF!,IF(INDIRECT("Hallazgos!G"&amp;B19+2)=#REF!,#REF!,0)))</f>
        <v>#REF!</v>
      </c>
      <c r="F19" s="40" t="e">
        <f ca="1">IF(INDIRECT("Hallazgos!G"&amp;B19+6)=#REF!,#REF!,IF(INDIRECT("Hallazgos!G"&amp;B19+6)=#REF!,#REF!,IF(INDIRECT("Hallazgos!G"&amp;B19+6)=#REF!,#REF!,IF(INDIRECT("Hallazgos!G"&amp;B19+6)=#REF!,#REF!,0))))</f>
        <v>#REF!</v>
      </c>
      <c r="G19" s="40"/>
      <c r="H19" s="40" t="e">
        <f ca="1">IF(INDIRECT("Hallazgos!G"&amp;B19+3)=#REF!,#REF!,IF(INDIRECT("Hallazgos!G"&amp;B19+3)=#REF!,#REF!,IF(INDIRECT("Hallazgos!G"&amp;B19+3)=#REF!,#REF!,0)))</f>
        <v>#REF!</v>
      </c>
      <c r="I19" s="40" t="e">
        <f ca="1">IF(INDIRECT("Hallazgos!G"&amp;B19+4)=#REF!,#REF!,IF(INDIRECT("Hallazgos!G"&amp;B19+4)=#REF!,#REF!,IF(INDIRECT("Hallazgos!G"&amp;B19+4)=#REF!,#REF!,0)))</f>
        <v>#REF!</v>
      </c>
      <c r="J19" s="40" t="e">
        <f ca="1">IF(INDIRECT("Hallazgos!G"&amp;B19+5)=#REF!,#REF!,IF(INDIRECT("Hallazgos!G"&amp;B19+5)=#REF!,#REF!,IF(INDIRECT("Hallazgos!G"&amp;B19+5)=#REF!,#REF!,0)))</f>
        <v>#REF!</v>
      </c>
      <c r="K19" s="40"/>
      <c r="L19" s="40" t="str">
        <f t="shared" ca="1" si="1"/>
        <v>x</v>
      </c>
      <c r="M19" s="40" t="e">
        <f t="shared" ca="1" si="2"/>
        <v>#REF!</v>
      </c>
      <c r="N19" s="40" t="e">
        <f t="shared" ca="1" si="3"/>
        <v>#REF!</v>
      </c>
      <c r="O19" s="40" t="str">
        <f t="shared" ca="1" si="4"/>
        <v>x (0)</v>
      </c>
      <c r="P19" s="40">
        <f t="shared" ca="1" si="5"/>
        <v>0</v>
      </c>
    </row>
    <row r="20" spans="1:16" x14ac:dyDescent="0.2">
      <c r="A20" s="48">
        <v>15</v>
      </c>
      <c r="B20" s="40">
        <f t="shared" si="0"/>
        <v>143</v>
      </c>
      <c r="C20" s="40" t="e">
        <f ca="1">IF(INDIRECT("Hallazgos!G"&amp;B20)=#REF!,#REF!,IF(INDIRECT("Hallazgos!G"&amp;B20)=#REF!,#REF!,IF(INDIRECT("Hallazgos!G"&amp;B20)=#REF!,#REF!,0)))</f>
        <v>#REF!</v>
      </c>
      <c r="D20" s="40" t="e">
        <f ca="1">IF(INDIRECT("Hallazgos!G"&amp;B20+1)=#REF!,#REF!,IF(INDIRECT("Hallazgos!G"&amp;B20+1)=#REF!,#REF!,IF(INDIRECT("Hallazgos!G"&amp;B20+1)=#REF!,#REF!,0)))</f>
        <v>#REF!</v>
      </c>
      <c r="E20" s="40" t="e">
        <f ca="1">IF(INDIRECT("Hallazgos!G"&amp;B20+2)=#REF!,#REF!,IF(INDIRECT("Hallazgos!G"&amp;B20+2)=#REF!,#REF!,IF(INDIRECT("Hallazgos!G"&amp;B20+2)=#REF!,#REF!,0)))</f>
        <v>#REF!</v>
      </c>
      <c r="F20" s="40" t="e">
        <f ca="1">IF(INDIRECT("Hallazgos!G"&amp;B20+6)=#REF!,#REF!,IF(INDIRECT("Hallazgos!G"&amp;B20+6)=#REF!,#REF!,IF(INDIRECT("Hallazgos!G"&amp;B20+6)=#REF!,#REF!,IF(INDIRECT("Hallazgos!G"&amp;B20+6)=#REF!,#REF!,0))))</f>
        <v>#REF!</v>
      </c>
      <c r="G20" s="40"/>
      <c r="H20" s="40" t="e">
        <f ca="1">IF(INDIRECT("Hallazgos!G"&amp;B20+3)=#REF!,#REF!,IF(INDIRECT("Hallazgos!G"&amp;B20+3)=#REF!,#REF!,IF(INDIRECT("Hallazgos!G"&amp;B20+3)=#REF!,#REF!,0)))</f>
        <v>#REF!</v>
      </c>
      <c r="I20" s="40" t="e">
        <f ca="1">IF(INDIRECT("Hallazgos!G"&amp;B20+4)=#REF!,#REF!,IF(INDIRECT("Hallazgos!G"&amp;B20+4)=#REF!,#REF!,IF(INDIRECT("Hallazgos!G"&amp;B20+4)=#REF!,#REF!,0)))</f>
        <v>#REF!</v>
      </c>
      <c r="J20" s="40" t="e">
        <f ca="1">IF(INDIRECT("Hallazgos!G"&amp;B20+5)=#REF!,#REF!,IF(INDIRECT("Hallazgos!G"&amp;B20+5)=#REF!,#REF!,IF(INDIRECT("Hallazgos!G"&amp;B20+5)=#REF!,#REF!,0)))</f>
        <v>#REF!</v>
      </c>
      <c r="K20" s="40"/>
      <c r="L20" s="40" t="str">
        <f t="shared" ca="1" si="1"/>
        <v>x</v>
      </c>
      <c r="M20" s="40" t="e">
        <f t="shared" ca="1" si="2"/>
        <v>#REF!</v>
      </c>
      <c r="N20" s="40" t="e">
        <f t="shared" ca="1" si="3"/>
        <v>#REF!</v>
      </c>
      <c r="O20" s="40" t="str">
        <f t="shared" ca="1" si="4"/>
        <v>x (0)</v>
      </c>
      <c r="P20" s="40">
        <f t="shared" ca="1" si="5"/>
        <v>0</v>
      </c>
    </row>
    <row r="21" spans="1:16" x14ac:dyDescent="0.2">
      <c r="A21" s="48">
        <v>16</v>
      </c>
      <c r="B21" s="40">
        <f t="shared" si="0"/>
        <v>153</v>
      </c>
      <c r="C21" s="40" t="e">
        <f ca="1">IF(INDIRECT("Hallazgos!G"&amp;B21)=#REF!,#REF!,IF(INDIRECT("Hallazgos!G"&amp;B21)=#REF!,#REF!,IF(INDIRECT("Hallazgos!G"&amp;B21)=#REF!,#REF!,0)))</f>
        <v>#REF!</v>
      </c>
      <c r="D21" s="40" t="e">
        <f ca="1">IF(INDIRECT("Hallazgos!G"&amp;B21+1)=#REF!,#REF!,IF(INDIRECT("Hallazgos!G"&amp;B21+1)=#REF!,#REF!,IF(INDIRECT("Hallazgos!G"&amp;B21+1)=#REF!,#REF!,0)))</f>
        <v>#REF!</v>
      </c>
      <c r="E21" s="40" t="e">
        <f ca="1">IF(INDIRECT("Hallazgos!G"&amp;B21+2)=#REF!,#REF!,IF(INDIRECT("Hallazgos!G"&amp;B21+2)=#REF!,#REF!,IF(INDIRECT("Hallazgos!G"&amp;B21+2)=#REF!,#REF!,0)))</f>
        <v>#REF!</v>
      </c>
      <c r="F21" s="40" t="e">
        <f ca="1">IF(INDIRECT("Hallazgos!G"&amp;B21+6)=#REF!,#REF!,IF(INDIRECT("Hallazgos!G"&amp;B21+6)=#REF!,#REF!,IF(INDIRECT("Hallazgos!G"&amp;B21+6)=#REF!,#REF!,IF(INDIRECT("Hallazgos!G"&amp;B21+6)=#REF!,#REF!,0))))</f>
        <v>#REF!</v>
      </c>
      <c r="G21" s="40"/>
      <c r="H21" s="40" t="e">
        <f ca="1">IF(INDIRECT("Hallazgos!G"&amp;B21+3)=#REF!,#REF!,IF(INDIRECT("Hallazgos!G"&amp;B21+3)=#REF!,#REF!,IF(INDIRECT("Hallazgos!G"&amp;B21+3)=#REF!,#REF!,0)))</f>
        <v>#REF!</v>
      </c>
      <c r="I21" s="40" t="e">
        <f ca="1">IF(INDIRECT("Hallazgos!G"&amp;B21+4)=#REF!,#REF!,IF(INDIRECT("Hallazgos!G"&amp;B21+4)=#REF!,#REF!,IF(INDIRECT("Hallazgos!G"&amp;B21+4)=#REF!,#REF!,0)))</f>
        <v>#REF!</v>
      </c>
      <c r="J21" s="40" t="e">
        <f ca="1">IF(INDIRECT("Hallazgos!G"&amp;B21+5)=#REF!,#REF!,IF(INDIRECT("Hallazgos!G"&amp;B21+5)=#REF!,#REF!,IF(INDIRECT("Hallazgos!G"&amp;B21+5)=#REF!,#REF!,0)))</f>
        <v>#REF!</v>
      </c>
      <c r="K21" s="40"/>
      <c r="L21" s="40" t="str">
        <f t="shared" ca="1" si="1"/>
        <v>x</v>
      </c>
      <c r="M21" s="40" t="e">
        <f t="shared" ca="1" si="2"/>
        <v>#REF!</v>
      </c>
      <c r="N21" s="40" t="e">
        <f t="shared" ca="1" si="3"/>
        <v>#REF!</v>
      </c>
      <c r="O21" s="40" t="str">
        <f t="shared" ca="1" si="4"/>
        <v>x (0)</v>
      </c>
      <c r="P21" s="40">
        <f t="shared" ca="1" si="5"/>
        <v>0</v>
      </c>
    </row>
    <row r="22" spans="1:16" x14ac:dyDescent="0.2">
      <c r="A22" s="48">
        <v>17</v>
      </c>
      <c r="B22" s="40">
        <f t="shared" si="0"/>
        <v>163</v>
      </c>
      <c r="C22" s="40" t="e">
        <f ca="1">IF(INDIRECT("Hallazgos!G"&amp;B22)=#REF!,#REF!,IF(INDIRECT("Hallazgos!G"&amp;B22)=#REF!,#REF!,IF(INDIRECT("Hallazgos!G"&amp;B22)=#REF!,#REF!,0)))</f>
        <v>#REF!</v>
      </c>
      <c r="D22" s="40" t="e">
        <f ca="1">IF(INDIRECT("Hallazgos!G"&amp;B22+1)=#REF!,#REF!,IF(INDIRECT("Hallazgos!G"&amp;B22+1)=#REF!,#REF!,IF(INDIRECT("Hallazgos!G"&amp;B22+1)=#REF!,#REF!,0)))</f>
        <v>#REF!</v>
      </c>
      <c r="E22" s="40" t="e">
        <f ca="1">IF(INDIRECT("Hallazgos!G"&amp;B22+2)=#REF!,#REF!,IF(INDIRECT("Hallazgos!G"&amp;B22+2)=#REF!,#REF!,IF(INDIRECT("Hallazgos!G"&amp;B22+2)=#REF!,#REF!,0)))</f>
        <v>#REF!</v>
      </c>
      <c r="F22" s="40" t="e">
        <f ca="1">IF(INDIRECT("Hallazgos!G"&amp;B22+6)=#REF!,#REF!,IF(INDIRECT("Hallazgos!G"&amp;B22+6)=#REF!,#REF!,IF(INDIRECT("Hallazgos!G"&amp;B22+6)=#REF!,#REF!,IF(INDIRECT("Hallazgos!G"&amp;B22+6)=#REF!,#REF!,0))))</f>
        <v>#REF!</v>
      </c>
      <c r="G22" s="40"/>
      <c r="H22" s="40" t="e">
        <f ca="1">IF(INDIRECT("Hallazgos!G"&amp;B22+3)=#REF!,#REF!,IF(INDIRECT("Hallazgos!G"&amp;B22+3)=#REF!,#REF!,IF(INDIRECT("Hallazgos!G"&amp;B22+3)=#REF!,#REF!,0)))</f>
        <v>#REF!</v>
      </c>
      <c r="I22" s="40" t="e">
        <f ca="1">IF(INDIRECT("Hallazgos!G"&amp;B22+4)=#REF!,#REF!,IF(INDIRECT("Hallazgos!G"&amp;B22+4)=#REF!,#REF!,IF(INDIRECT("Hallazgos!G"&amp;B22+4)=#REF!,#REF!,0)))</f>
        <v>#REF!</v>
      </c>
      <c r="J22" s="40" t="e">
        <f ca="1">IF(INDIRECT("Hallazgos!G"&amp;B22+5)=#REF!,#REF!,IF(INDIRECT("Hallazgos!G"&amp;B22+5)=#REF!,#REF!,IF(INDIRECT("Hallazgos!G"&amp;B22+5)=#REF!,#REF!,0)))</f>
        <v>#REF!</v>
      </c>
      <c r="K22" s="40"/>
      <c r="L22" s="40" t="str">
        <f t="shared" ca="1" si="1"/>
        <v>x</v>
      </c>
      <c r="M22" s="40" t="e">
        <f t="shared" ca="1" si="2"/>
        <v>#REF!</v>
      </c>
      <c r="N22" s="40" t="e">
        <f t="shared" ca="1" si="3"/>
        <v>#REF!</v>
      </c>
      <c r="O22" s="40" t="str">
        <f t="shared" ca="1" si="4"/>
        <v>x (0)</v>
      </c>
      <c r="P22" s="40">
        <f t="shared" ca="1" si="5"/>
        <v>0</v>
      </c>
    </row>
    <row r="23" spans="1:16" x14ac:dyDescent="0.2">
      <c r="A23" s="48">
        <v>18</v>
      </c>
      <c r="B23" s="40">
        <f t="shared" si="0"/>
        <v>173</v>
      </c>
      <c r="C23" s="40" t="e">
        <f ca="1">IF(INDIRECT("Hallazgos!G"&amp;B23)=#REF!,#REF!,IF(INDIRECT("Hallazgos!G"&amp;B23)=#REF!,#REF!,IF(INDIRECT("Hallazgos!G"&amp;B23)=#REF!,#REF!,0)))</f>
        <v>#REF!</v>
      </c>
      <c r="D23" s="40" t="e">
        <f ca="1">IF(INDIRECT("Hallazgos!G"&amp;B23+1)=#REF!,#REF!,IF(INDIRECT("Hallazgos!G"&amp;B23+1)=#REF!,#REF!,IF(INDIRECT("Hallazgos!G"&amp;B23+1)=#REF!,#REF!,0)))</f>
        <v>#REF!</v>
      </c>
      <c r="E23" s="40" t="e">
        <f ca="1">IF(INDIRECT("Hallazgos!G"&amp;B23+2)=#REF!,#REF!,IF(INDIRECT("Hallazgos!G"&amp;B23+2)=#REF!,#REF!,IF(INDIRECT("Hallazgos!G"&amp;B23+2)=#REF!,#REF!,0)))</f>
        <v>#REF!</v>
      </c>
      <c r="F23" s="40" t="e">
        <f ca="1">IF(INDIRECT("Hallazgos!G"&amp;B23+6)=#REF!,#REF!,IF(INDIRECT("Hallazgos!G"&amp;B23+6)=#REF!,#REF!,IF(INDIRECT("Hallazgos!G"&amp;B23+6)=#REF!,#REF!,IF(INDIRECT("Hallazgos!G"&amp;B23+6)=#REF!,#REF!,0))))</f>
        <v>#REF!</v>
      </c>
      <c r="G23" s="40"/>
      <c r="H23" s="40" t="e">
        <f ca="1">IF(INDIRECT("Hallazgos!G"&amp;B23+3)=#REF!,#REF!,IF(INDIRECT("Hallazgos!G"&amp;B23+3)=#REF!,#REF!,IF(INDIRECT("Hallazgos!G"&amp;B23+3)=#REF!,#REF!,0)))</f>
        <v>#REF!</v>
      </c>
      <c r="I23" s="40" t="e">
        <f ca="1">IF(INDIRECT("Hallazgos!G"&amp;B23+4)=#REF!,#REF!,IF(INDIRECT("Hallazgos!G"&amp;B23+4)=#REF!,#REF!,IF(INDIRECT("Hallazgos!G"&amp;B23+4)=#REF!,#REF!,0)))</f>
        <v>#REF!</v>
      </c>
      <c r="J23" s="40" t="e">
        <f ca="1">IF(INDIRECT("Hallazgos!G"&amp;B23+5)=#REF!,#REF!,IF(INDIRECT("Hallazgos!G"&amp;B23+5)=#REF!,#REF!,IF(INDIRECT("Hallazgos!G"&amp;B23+5)=#REF!,#REF!,0)))</f>
        <v>#REF!</v>
      </c>
      <c r="K23" s="40"/>
      <c r="L23" s="40" t="str">
        <f t="shared" ca="1" si="1"/>
        <v>x</v>
      </c>
      <c r="M23" s="40" t="e">
        <f t="shared" ca="1" si="2"/>
        <v>#REF!</v>
      </c>
      <c r="N23" s="40" t="e">
        <f t="shared" ca="1" si="3"/>
        <v>#REF!</v>
      </c>
      <c r="O23" s="40" t="str">
        <f t="shared" ca="1" si="4"/>
        <v>x (0)</v>
      </c>
      <c r="P23" s="40">
        <f t="shared" ca="1" si="5"/>
        <v>0</v>
      </c>
    </row>
    <row r="24" spans="1:16" x14ac:dyDescent="0.2">
      <c r="A24" s="48">
        <v>19</v>
      </c>
      <c r="B24" s="40">
        <f t="shared" si="0"/>
        <v>183</v>
      </c>
      <c r="C24" s="40" t="e">
        <f ca="1">IF(INDIRECT("Hallazgos!G"&amp;B24)=#REF!,#REF!,IF(INDIRECT("Hallazgos!G"&amp;B24)=#REF!,#REF!,IF(INDIRECT("Hallazgos!G"&amp;B24)=#REF!,#REF!,0)))</f>
        <v>#REF!</v>
      </c>
      <c r="D24" s="40" t="e">
        <f ca="1">IF(INDIRECT("Hallazgos!G"&amp;B24+1)=#REF!,#REF!,IF(INDIRECT("Hallazgos!G"&amp;B24+1)=#REF!,#REF!,IF(INDIRECT("Hallazgos!G"&amp;B24+1)=#REF!,#REF!,0)))</f>
        <v>#REF!</v>
      </c>
      <c r="E24" s="40" t="e">
        <f ca="1">IF(INDIRECT("Hallazgos!G"&amp;B24+2)=#REF!,#REF!,IF(INDIRECT("Hallazgos!G"&amp;B24+2)=#REF!,#REF!,IF(INDIRECT("Hallazgos!G"&amp;B24+2)=#REF!,#REF!,0)))</f>
        <v>#REF!</v>
      </c>
      <c r="F24" s="40" t="e">
        <f ca="1">IF(INDIRECT("Hallazgos!G"&amp;B24+6)=#REF!,#REF!,IF(INDIRECT("Hallazgos!G"&amp;B24+6)=#REF!,#REF!,IF(INDIRECT("Hallazgos!G"&amp;B24+6)=#REF!,#REF!,IF(INDIRECT("Hallazgos!G"&amp;B24+6)=#REF!,#REF!,0))))</f>
        <v>#REF!</v>
      </c>
      <c r="G24" s="40"/>
      <c r="H24" s="40" t="e">
        <f ca="1">IF(INDIRECT("Hallazgos!G"&amp;B24+3)=#REF!,#REF!,IF(INDIRECT("Hallazgos!G"&amp;B24+3)=#REF!,#REF!,IF(INDIRECT("Hallazgos!G"&amp;B24+3)=#REF!,#REF!,0)))</f>
        <v>#REF!</v>
      </c>
      <c r="I24" s="40" t="e">
        <f ca="1">IF(INDIRECT("Hallazgos!G"&amp;B24+4)=#REF!,#REF!,IF(INDIRECT("Hallazgos!G"&amp;B24+4)=#REF!,#REF!,IF(INDIRECT("Hallazgos!G"&amp;B24+4)=#REF!,#REF!,0)))</f>
        <v>#REF!</v>
      </c>
      <c r="J24" s="40" t="e">
        <f ca="1">IF(INDIRECT("Hallazgos!G"&amp;B24+5)=#REF!,#REF!,IF(INDIRECT("Hallazgos!G"&amp;B24+5)=#REF!,#REF!,IF(INDIRECT("Hallazgos!G"&amp;B24+5)=#REF!,#REF!,0)))</f>
        <v>#REF!</v>
      </c>
      <c r="K24" s="40"/>
      <c r="L24" s="40" t="str">
        <f t="shared" ca="1" si="1"/>
        <v xml:space="preserve">19 </v>
      </c>
      <c r="M24" s="40" t="e">
        <f t="shared" ca="1" si="2"/>
        <v>#REF!</v>
      </c>
      <c r="N24" s="40" t="e">
        <f t="shared" ca="1" si="3"/>
        <v>#REF!</v>
      </c>
      <c r="O24" s="40" t="str">
        <f t="shared" ca="1" si="4"/>
        <v>19 Vulnerabilidad 16 (9)</v>
      </c>
      <c r="P24" s="40">
        <f t="shared" ca="1" si="5"/>
        <v>9</v>
      </c>
    </row>
    <row r="25" spans="1:16" x14ac:dyDescent="0.2">
      <c r="A25" s="48">
        <v>20</v>
      </c>
      <c r="B25" s="40">
        <f t="shared" si="0"/>
        <v>193</v>
      </c>
      <c r="C25" s="40" t="e">
        <f ca="1">IF(INDIRECT("Hallazgos!G"&amp;B25)=#REF!,#REF!,IF(INDIRECT("Hallazgos!G"&amp;B25)=#REF!,#REF!,IF(INDIRECT("Hallazgos!G"&amp;B25)=#REF!,#REF!,0)))</f>
        <v>#REF!</v>
      </c>
      <c r="D25" s="40" t="e">
        <f ca="1">IF(INDIRECT("Hallazgos!G"&amp;B25+1)=#REF!,#REF!,IF(INDIRECT("Hallazgos!G"&amp;B25+1)=#REF!,#REF!,IF(INDIRECT("Hallazgos!G"&amp;B25+1)=#REF!,#REF!,0)))</f>
        <v>#REF!</v>
      </c>
      <c r="E25" s="40" t="e">
        <f ca="1">IF(INDIRECT("Hallazgos!G"&amp;B25+2)=#REF!,#REF!,IF(INDIRECT("Hallazgos!G"&amp;B25+2)=#REF!,#REF!,IF(INDIRECT("Hallazgos!G"&amp;B25+2)=#REF!,#REF!,0)))</f>
        <v>#REF!</v>
      </c>
      <c r="F25" s="40" t="e">
        <f ca="1">IF(INDIRECT("Hallazgos!G"&amp;B25+6)=#REF!,#REF!,IF(INDIRECT("Hallazgos!G"&amp;B25+6)=#REF!,#REF!,IF(INDIRECT("Hallazgos!G"&amp;B25+6)=#REF!,#REF!,IF(INDIRECT("Hallazgos!G"&amp;B25+6)=#REF!,#REF!,0))))</f>
        <v>#REF!</v>
      </c>
      <c r="G25" s="40"/>
      <c r="H25" s="40" t="e">
        <f ca="1">IF(INDIRECT("Hallazgos!G"&amp;B25+3)=#REF!,#REF!,IF(INDIRECT("Hallazgos!G"&amp;B25+3)=#REF!,#REF!,IF(INDIRECT("Hallazgos!G"&amp;B25+3)=#REF!,#REF!,0)))</f>
        <v>#REF!</v>
      </c>
      <c r="I25" s="40" t="e">
        <f ca="1">IF(INDIRECT("Hallazgos!G"&amp;B25+4)=#REF!,#REF!,IF(INDIRECT("Hallazgos!G"&amp;B25+4)=#REF!,#REF!,IF(INDIRECT("Hallazgos!G"&amp;B25+4)=#REF!,#REF!,0)))</f>
        <v>#REF!</v>
      </c>
      <c r="J25" s="40" t="e">
        <f ca="1">IF(INDIRECT("Hallazgos!G"&amp;B25+5)=#REF!,#REF!,IF(INDIRECT("Hallazgos!G"&amp;B25+5)=#REF!,#REF!,IF(INDIRECT("Hallazgos!G"&amp;B25+5)=#REF!,#REF!,0)))</f>
        <v>#REF!</v>
      </c>
      <c r="K25" s="40"/>
      <c r="L25" s="40" t="str">
        <f t="shared" ca="1" si="1"/>
        <v>x</v>
      </c>
      <c r="M25" s="40" t="e">
        <f t="shared" ca="1" si="2"/>
        <v>#REF!</v>
      </c>
      <c r="N25" s="40" t="e">
        <f t="shared" ca="1" si="3"/>
        <v>#REF!</v>
      </c>
      <c r="O25" s="40" t="str">
        <f t="shared" ca="1" si="4"/>
        <v>x (0)</v>
      </c>
      <c r="P25" s="40">
        <f t="shared" ca="1" si="5"/>
        <v>0</v>
      </c>
    </row>
    <row r="26" spans="1:16" x14ac:dyDescent="0.2">
      <c r="A26" s="48">
        <v>21</v>
      </c>
      <c r="B26" s="40">
        <f t="shared" si="0"/>
        <v>203</v>
      </c>
      <c r="C26" s="40" t="e">
        <f ca="1">IF(INDIRECT("Hallazgos!G"&amp;B26)=#REF!,#REF!,IF(INDIRECT("Hallazgos!G"&amp;B26)=#REF!,#REF!,IF(INDIRECT("Hallazgos!G"&amp;B26)=#REF!,#REF!,0)))</f>
        <v>#REF!</v>
      </c>
      <c r="D26" s="40" t="e">
        <f ca="1">IF(INDIRECT("Hallazgos!G"&amp;B26+1)=#REF!,#REF!,IF(INDIRECT("Hallazgos!G"&amp;B26+1)=#REF!,#REF!,IF(INDIRECT("Hallazgos!G"&amp;B26+1)=#REF!,#REF!,0)))</f>
        <v>#REF!</v>
      </c>
      <c r="E26" s="40" t="e">
        <f ca="1">IF(INDIRECT("Hallazgos!G"&amp;B26+2)=#REF!,#REF!,IF(INDIRECT("Hallazgos!G"&amp;B26+2)=#REF!,#REF!,IF(INDIRECT("Hallazgos!G"&amp;B26+2)=#REF!,#REF!,0)))</f>
        <v>#REF!</v>
      </c>
      <c r="F26" s="40" t="e">
        <f ca="1">IF(INDIRECT("Hallazgos!G"&amp;B26+6)=#REF!,#REF!,IF(INDIRECT("Hallazgos!G"&amp;B26+6)=#REF!,#REF!,IF(INDIRECT("Hallazgos!G"&amp;B26+6)=#REF!,#REF!,IF(INDIRECT("Hallazgos!G"&amp;B26+6)=#REF!,#REF!,0))))</f>
        <v>#REF!</v>
      </c>
      <c r="G26" s="40"/>
      <c r="H26" s="40" t="e">
        <f ca="1">IF(INDIRECT("Hallazgos!G"&amp;B26+3)=#REF!,#REF!,IF(INDIRECT("Hallazgos!G"&amp;B26+3)=#REF!,#REF!,IF(INDIRECT("Hallazgos!G"&amp;B26+3)=#REF!,#REF!,0)))</f>
        <v>#REF!</v>
      </c>
      <c r="I26" s="40" t="e">
        <f ca="1">IF(INDIRECT("Hallazgos!G"&amp;B26+4)=#REF!,#REF!,IF(INDIRECT("Hallazgos!G"&amp;B26+4)=#REF!,#REF!,IF(INDIRECT("Hallazgos!G"&amp;B26+4)=#REF!,#REF!,0)))</f>
        <v>#REF!</v>
      </c>
      <c r="J26" s="40" t="e">
        <f ca="1">IF(INDIRECT("Hallazgos!G"&amp;B26+5)=#REF!,#REF!,IF(INDIRECT("Hallazgos!G"&amp;B26+5)=#REF!,#REF!,IF(INDIRECT("Hallazgos!G"&amp;B26+5)=#REF!,#REF!,0)))</f>
        <v>#REF!</v>
      </c>
      <c r="K26" s="40"/>
      <c r="L26" s="40" t="str">
        <f t="shared" ca="1" si="1"/>
        <v>x</v>
      </c>
      <c r="M26" s="40" t="e">
        <f t="shared" ca="1" si="2"/>
        <v>#REF!</v>
      </c>
      <c r="N26" s="40" t="e">
        <f t="shared" ca="1" si="3"/>
        <v>#REF!</v>
      </c>
      <c r="O26" s="40" t="str">
        <f t="shared" ca="1" si="4"/>
        <v>x (0)</v>
      </c>
      <c r="P26" s="40">
        <f t="shared" ca="1" si="5"/>
        <v>0</v>
      </c>
    </row>
    <row r="27" spans="1:16" x14ac:dyDescent="0.2">
      <c r="A27" s="48">
        <v>22</v>
      </c>
      <c r="B27" s="40">
        <f t="shared" si="0"/>
        <v>213</v>
      </c>
      <c r="C27" s="40" t="e">
        <f ca="1">IF(INDIRECT("Hallazgos!G"&amp;B27)=#REF!,#REF!,IF(INDIRECT("Hallazgos!G"&amp;B27)=#REF!,#REF!,IF(INDIRECT("Hallazgos!G"&amp;B27)=#REF!,#REF!,0)))</f>
        <v>#REF!</v>
      </c>
      <c r="D27" s="40" t="e">
        <f ca="1">IF(INDIRECT("Hallazgos!G"&amp;B27+1)=#REF!,#REF!,IF(INDIRECT("Hallazgos!G"&amp;B27+1)=#REF!,#REF!,IF(INDIRECT("Hallazgos!G"&amp;B27+1)=#REF!,#REF!,0)))</f>
        <v>#REF!</v>
      </c>
      <c r="E27" s="40" t="e">
        <f ca="1">IF(INDIRECT("Hallazgos!G"&amp;B27+2)=#REF!,#REF!,IF(INDIRECT("Hallazgos!G"&amp;B27+2)=#REF!,#REF!,IF(INDIRECT("Hallazgos!G"&amp;B27+2)=#REF!,#REF!,0)))</f>
        <v>#REF!</v>
      </c>
      <c r="F27" s="40" t="e">
        <f ca="1">IF(INDIRECT("Hallazgos!G"&amp;B27+6)=#REF!,#REF!,IF(INDIRECT("Hallazgos!G"&amp;B27+6)=#REF!,#REF!,IF(INDIRECT("Hallazgos!G"&amp;B27+6)=#REF!,#REF!,IF(INDIRECT("Hallazgos!G"&amp;B27+6)=#REF!,#REF!,0))))</f>
        <v>#REF!</v>
      </c>
      <c r="G27" s="40"/>
      <c r="H27" s="40" t="e">
        <f ca="1">IF(INDIRECT("Hallazgos!G"&amp;B27+3)=#REF!,#REF!,IF(INDIRECT("Hallazgos!G"&amp;B27+3)=#REF!,#REF!,IF(INDIRECT("Hallazgos!G"&amp;B27+3)=#REF!,#REF!,0)))</f>
        <v>#REF!</v>
      </c>
      <c r="I27" s="40" t="e">
        <f ca="1">IF(INDIRECT("Hallazgos!G"&amp;B27+4)=#REF!,#REF!,IF(INDIRECT("Hallazgos!G"&amp;B27+4)=#REF!,#REF!,IF(INDIRECT("Hallazgos!G"&amp;B27+4)=#REF!,#REF!,0)))</f>
        <v>#REF!</v>
      </c>
      <c r="J27" s="40" t="e">
        <f ca="1">IF(INDIRECT("Hallazgos!G"&amp;B27+5)=#REF!,#REF!,IF(INDIRECT("Hallazgos!G"&amp;B27+5)=#REF!,#REF!,IF(INDIRECT("Hallazgos!G"&amp;B27+5)=#REF!,#REF!,0)))</f>
        <v>#REF!</v>
      </c>
      <c r="K27" s="40"/>
      <c r="L27" s="40" t="str">
        <f t="shared" ca="1" si="1"/>
        <v>x</v>
      </c>
      <c r="M27" s="40" t="e">
        <f t="shared" ca="1" si="2"/>
        <v>#REF!</v>
      </c>
      <c r="N27" s="40" t="e">
        <f t="shared" ca="1" si="3"/>
        <v>#REF!</v>
      </c>
      <c r="O27" s="40" t="str">
        <f t="shared" ca="1" si="4"/>
        <v>x (0)</v>
      </c>
      <c r="P27" s="40">
        <f t="shared" ca="1" si="5"/>
        <v>0</v>
      </c>
    </row>
    <row r="28" spans="1:16" x14ac:dyDescent="0.2">
      <c r="A28" s="48">
        <v>23</v>
      </c>
      <c r="B28" s="40">
        <f t="shared" si="0"/>
        <v>223</v>
      </c>
      <c r="C28" s="40" t="e">
        <f ca="1">IF(INDIRECT("Hallazgos!G"&amp;B28)=#REF!,#REF!,IF(INDIRECT("Hallazgos!G"&amp;B28)=#REF!,#REF!,IF(INDIRECT("Hallazgos!G"&amp;B28)=#REF!,#REF!,0)))</f>
        <v>#REF!</v>
      </c>
      <c r="D28" s="40" t="e">
        <f ca="1">IF(INDIRECT("Hallazgos!G"&amp;B28+1)=#REF!,#REF!,IF(INDIRECT("Hallazgos!G"&amp;B28+1)=#REF!,#REF!,IF(INDIRECT("Hallazgos!G"&amp;B28+1)=#REF!,#REF!,0)))</f>
        <v>#REF!</v>
      </c>
      <c r="E28" s="40" t="e">
        <f ca="1">IF(INDIRECT("Hallazgos!G"&amp;B28+2)=#REF!,#REF!,IF(INDIRECT("Hallazgos!G"&amp;B28+2)=#REF!,#REF!,IF(INDIRECT("Hallazgos!G"&amp;B28+2)=#REF!,#REF!,0)))</f>
        <v>#REF!</v>
      </c>
      <c r="F28" s="40" t="e">
        <f ca="1">IF(INDIRECT("Hallazgos!G"&amp;B28+6)=#REF!,#REF!,IF(INDIRECT("Hallazgos!G"&amp;B28+6)=#REF!,#REF!,IF(INDIRECT("Hallazgos!G"&amp;B28+6)=#REF!,#REF!,IF(INDIRECT("Hallazgos!G"&amp;B28+6)=#REF!,#REF!,0))))</f>
        <v>#REF!</v>
      </c>
      <c r="G28" s="40"/>
      <c r="H28" s="40" t="e">
        <f ca="1">IF(INDIRECT("Hallazgos!G"&amp;B28+3)=#REF!,#REF!,IF(INDIRECT("Hallazgos!G"&amp;B28+3)=#REF!,#REF!,IF(INDIRECT("Hallazgos!G"&amp;B28+3)=#REF!,#REF!,0)))</f>
        <v>#REF!</v>
      </c>
      <c r="I28" s="40" t="e">
        <f ca="1">IF(INDIRECT("Hallazgos!G"&amp;B28+4)=#REF!,#REF!,IF(INDIRECT("Hallazgos!G"&amp;B28+4)=#REF!,#REF!,IF(INDIRECT("Hallazgos!G"&amp;B28+4)=#REF!,#REF!,0)))</f>
        <v>#REF!</v>
      </c>
      <c r="J28" s="40" t="e">
        <f ca="1">IF(INDIRECT("Hallazgos!G"&amp;B28+5)=#REF!,#REF!,IF(INDIRECT("Hallazgos!G"&amp;B28+5)=#REF!,#REF!,IF(INDIRECT("Hallazgos!G"&amp;B28+5)=#REF!,#REF!,0)))</f>
        <v>#REF!</v>
      </c>
      <c r="K28" s="40"/>
      <c r="L28" s="40" t="str">
        <f t="shared" ca="1" si="1"/>
        <v>x</v>
      </c>
      <c r="M28" s="40" t="e">
        <f t="shared" ca="1" si="2"/>
        <v>#REF!</v>
      </c>
      <c r="N28" s="40" t="e">
        <f t="shared" ca="1" si="3"/>
        <v>#REF!</v>
      </c>
      <c r="O28" s="40" t="str">
        <f t="shared" ca="1" si="4"/>
        <v>x (0)</v>
      </c>
      <c r="P28" s="40">
        <f t="shared" ca="1" si="5"/>
        <v>0</v>
      </c>
    </row>
    <row r="29" spans="1:16" x14ac:dyDescent="0.2">
      <c r="A29" s="48">
        <v>24</v>
      </c>
      <c r="B29" s="40">
        <f t="shared" si="0"/>
        <v>233</v>
      </c>
      <c r="C29" s="40" t="e">
        <f ca="1">IF(INDIRECT("Hallazgos!G"&amp;B29)=#REF!,#REF!,IF(INDIRECT("Hallazgos!G"&amp;B29)=#REF!,#REF!,IF(INDIRECT("Hallazgos!G"&amp;B29)=#REF!,#REF!,0)))</f>
        <v>#REF!</v>
      </c>
      <c r="D29" s="40" t="e">
        <f ca="1">IF(INDIRECT("Hallazgos!G"&amp;B29+1)=#REF!,#REF!,IF(INDIRECT("Hallazgos!G"&amp;B29+1)=#REF!,#REF!,IF(INDIRECT("Hallazgos!G"&amp;B29+1)=#REF!,#REF!,0)))</f>
        <v>#REF!</v>
      </c>
      <c r="E29" s="40" t="e">
        <f ca="1">IF(INDIRECT("Hallazgos!G"&amp;B29+2)=#REF!,#REF!,IF(INDIRECT("Hallazgos!G"&amp;B29+2)=#REF!,#REF!,IF(INDIRECT("Hallazgos!G"&amp;B29+2)=#REF!,#REF!,0)))</f>
        <v>#REF!</v>
      </c>
      <c r="F29" s="40" t="e">
        <f ca="1">IF(INDIRECT("Hallazgos!G"&amp;B29+6)=#REF!,#REF!,IF(INDIRECT("Hallazgos!G"&amp;B29+6)=#REF!,#REF!,IF(INDIRECT("Hallazgos!G"&amp;B29+6)=#REF!,#REF!,IF(INDIRECT("Hallazgos!G"&amp;B29+6)=#REF!,#REF!,0))))</f>
        <v>#REF!</v>
      </c>
      <c r="G29" s="40"/>
      <c r="H29" s="40" t="e">
        <f ca="1">IF(INDIRECT("Hallazgos!G"&amp;B29+3)=#REF!,#REF!,IF(INDIRECT("Hallazgos!G"&amp;B29+3)=#REF!,#REF!,IF(INDIRECT("Hallazgos!G"&amp;B29+3)=#REF!,#REF!,0)))</f>
        <v>#REF!</v>
      </c>
      <c r="I29" s="40" t="e">
        <f ca="1">IF(INDIRECT("Hallazgos!G"&amp;B29+4)=#REF!,#REF!,IF(INDIRECT("Hallazgos!G"&amp;B29+4)=#REF!,#REF!,IF(INDIRECT("Hallazgos!G"&amp;B29+4)=#REF!,#REF!,0)))</f>
        <v>#REF!</v>
      </c>
      <c r="J29" s="40" t="e">
        <f ca="1">IF(INDIRECT("Hallazgos!G"&amp;B29+5)=#REF!,#REF!,IF(INDIRECT("Hallazgos!G"&amp;B29+5)=#REF!,#REF!,IF(INDIRECT("Hallazgos!G"&amp;B29+5)=#REF!,#REF!,0)))</f>
        <v>#REF!</v>
      </c>
      <c r="K29" s="40"/>
      <c r="L29" s="40" t="str">
        <f t="shared" ca="1" si="1"/>
        <v>x</v>
      </c>
      <c r="M29" s="40" t="e">
        <f t="shared" ca="1" si="2"/>
        <v>#REF!</v>
      </c>
      <c r="N29" s="40" t="e">
        <f t="shared" ca="1" si="3"/>
        <v>#REF!</v>
      </c>
      <c r="O29" s="40" t="str">
        <f t="shared" ca="1" si="4"/>
        <v>x (0)</v>
      </c>
      <c r="P29" s="40">
        <f t="shared" ca="1" si="5"/>
        <v>0</v>
      </c>
    </row>
    <row r="30" spans="1:16" x14ac:dyDescent="0.2">
      <c r="A30" s="48">
        <v>25</v>
      </c>
      <c r="B30" s="40">
        <f t="shared" si="0"/>
        <v>243</v>
      </c>
      <c r="C30" s="40" t="e">
        <f ca="1">IF(INDIRECT("Hallazgos!G"&amp;B30)=#REF!,#REF!,IF(INDIRECT("Hallazgos!G"&amp;B30)=#REF!,#REF!,IF(INDIRECT("Hallazgos!G"&amp;B30)=#REF!,#REF!,0)))</f>
        <v>#REF!</v>
      </c>
      <c r="D30" s="40" t="e">
        <f ca="1">IF(INDIRECT("Hallazgos!G"&amp;B30+1)=#REF!,#REF!,IF(INDIRECT("Hallazgos!G"&amp;B30+1)=#REF!,#REF!,IF(INDIRECT("Hallazgos!G"&amp;B30+1)=#REF!,#REF!,0)))</f>
        <v>#REF!</v>
      </c>
      <c r="E30" s="40" t="e">
        <f ca="1">IF(INDIRECT("Hallazgos!G"&amp;B30+2)=#REF!,#REF!,IF(INDIRECT("Hallazgos!G"&amp;B30+2)=#REF!,#REF!,IF(INDIRECT("Hallazgos!G"&amp;B30+2)=#REF!,#REF!,0)))</f>
        <v>#REF!</v>
      </c>
      <c r="F30" s="40" t="e">
        <f ca="1">IF(INDIRECT("Hallazgos!G"&amp;B30+6)=#REF!,#REF!,IF(INDIRECT("Hallazgos!G"&amp;B30+6)=#REF!,#REF!,IF(INDIRECT("Hallazgos!G"&amp;B30+6)=#REF!,#REF!,IF(INDIRECT("Hallazgos!G"&amp;B30+6)=#REF!,#REF!,0))))</f>
        <v>#REF!</v>
      </c>
      <c r="G30" s="40"/>
      <c r="H30" s="40" t="e">
        <f ca="1">IF(INDIRECT("Hallazgos!G"&amp;B30+3)=#REF!,#REF!,IF(INDIRECT("Hallazgos!G"&amp;B30+3)=#REF!,#REF!,IF(INDIRECT("Hallazgos!G"&amp;B30+3)=#REF!,#REF!,0)))</f>
        <v>#REF!</v>
      </c>
      <c r="I30" s="40" t="e">
        <f ca="1">IF(INDIRECT("Hallazgos!G"&amp;B30+4)=#REF!,#REF!,IF(INDIRECT("Hallazgos!G"&amp;B30+4)=#REF!,#REF!,IF(INDIRECT("Hallazgos!G"&amp;B30+4)=#REF!,#REF!,0)))</f>
        <v>#REF!</v>
      </c>
      <c r="J30" s="40" t="e">
        <f ca="1">IF(INDIRECT("Hallazgos!G"&amp;B30+5)=#REF!,#REF!,IF(INDIRECT("Hallazgos!G"&amp;B30+5)=#REF!,#REF!,IF(INDIRECT("Hallazgos!G"&amp;B30+5)=#REF!,#REF!,0)))</f>
        <v>#REF!</v>
      </c>
      <c r="K30" s="40"/>
      <c r="L30" s="40" t="str">
        <f t="shared" ca="1" si="1"/>
        <v xml:space="preserve">25 </v>
      </c>
      <c r="M30" s="40" t="e">
        <f t="shared" ca="1" si="2"/>
        <v>#REF!</v>
      </c>
      <c r="N30" s="40" t="e">
        <f t="shared" ca="1" si="3"/>
        <v>#REF!</v>
      </c>
      <c r="O30" s="40" t="str">
        <f t="shared" ca="1" si="4"/>
        <v>25 Vulnerabilidad 21 (9)</v>
      </c>
      <c r="P30" s="40">
        <f t="shared" ca="1" si="5"/>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5"/>
  <sheetViews>
    <sheetView workbookViewId="0"/>
  </sheetViews>
  <sheetFormatPr defaultRowHeight="15.75" x14ac:dyDescent="0.25"/>
  <sheetData>
    <row r="1" spans="1:6" x14ac:dyDescent="0.2">
      <c r="A1" s="53" t="s">
        <v>921</v>
      </c>
      <c r="B1" s="53" t="s">
        <v>922</v>
      </c>
      <c r="C1" s="54"/>
      <c r="F1" s="55"/>
    </row>
    <row r="2" spans="1:6" x14ac:dyDescent="0.2">
      <c r="A2" s="26" t="s">
        <v>923</v>
      </c>
      <c r="B2" s="56" t="str">
        <f ca="1">IFERROR(__xludf.dummyfunction("IF(IFERROR(QUERY(Hallazgos!H:I,""SELECT count(H) where H&gt;6.9 label count(H) ''""),0)=0,0,QUERY(Hallazgos!H:I,""SELECT count(H) where H&gt;6.9 label count(H)  ''""))"),"0")</f>
        <v>0</v>
      </c>
      <c r="C2" s="54"/>
      <c r="F2" s="55"/>
    </row>
    <row r="3" spans="1:6" x14ac:dyDescent="0.2">
      <c r="A3" s="26" t="s">
        <v>924</v>
      </c>
      <c r="B3" s="57" t="str">
        <f ca="1">IFERROR(__xludf.dummyfunction("IF(IFERROR(QUERY(Hallazgos!H:I,""SELECT count(H) where H&gt;3.9 and H&lt;7 label count(H) ''""),0)=0,0,QUERY(Hallazgos!H:I,""SELECT count(H) where H&gt;3.9 and H&lt;7 label count(H) ''""))"),"0")</f>
        <v>0</v>
      </c>
      <c r="C3" s="43"/>
      <c r="F3" s="55"/>
    </row>
    <row r="4" spans="1:6" x14ac:dyDescent="0.2">
      <c r="A4" s="26" t="s">
        <v>925</v>
      </c>
      <c r="B4" s="57" t="str">
        <f ca="1">IFERROR(__xludf.dummyfunction("IF(IFERROR(QUERY(Hallazgos!H:I,""SELECT count(H) where H&lt;4 label count(H) ''""),0)=0,0,QUERY(Hallazgos!H:I,""SELECT count(H) where H&lt;4 label count(H) ''""))"),"0")</f>
        <v>0</v>
      </c>
      <c r="C4" s="43"/>
      <c r="F4" s="55"/>
    </row>
    <row r="5" spans="1:6" x14ac:dyDescent="0.15">
      <c r="A5" s="58"/>
      <c r="B5" s="58"/>
      <c r="F5" s="5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44"/>
  <sheetViews>
    <sheetView workbookViewId="0"/>
  </sheetViews>
  <sheetFormatPr defaultRowHeight="15.75" x14ac:dyDescent="0.25"/>
  <sheetData>
    <row r="1" spans="1:28" x14ac:dyDescent="0.25">
      <c r="A1" s="59" t="s">
        <v>926</v>
      </c>
      <c r="B1" s="60" t="s">
        <v>927</v>
      </c>
      <c r="C1" s="41"/>
      <c r="D1" s="59" t="s">
        <v>928</v>
      </c>
      <c r="E1" s="59" t="s">
        <v>926</v>
      </c>
      <c r="F1" s="44" t="s">
        <v>929</v>
      </c>
      <c r="G1" s="44" t="s">
        <v>930</v>
      </c>
      <c r="H1" s="44" t="s">
        <v>931</v>
      </c>
      <c r="I1" s="41"/>
      <c r="J1" s="41"/>
      <c r="K1" s="41"/>
      <c r="L1" s="41" t="s">
        <v>932</v>
      </c>
      <c r="M1" s="41"/>
      <c r="N1" s="41"/>
      <c r="O1" s="41"/>
      <c r="P1" s="61" t="str">
        <f ca="1">IFERROR(__xludf.dummyfunction("QUERY(TRANSPOSE((SPLIT(SUBSTITUTE(CONCATENATE(ARRAYFORMULA(QUERY(Hallazgos!A:F,""SELECT E"")&amp;CHAR(9))), CHAR(10), CHAR(9)),CHAR(9)))),""SELECT Col1 WHERE Col1 starts with 'REQ'"")"),"#N/A")</f>
        <v>#N/A</v>
      </c>
      <c r="Q1" s="61">
        <f t="shared" ref="Q1:Q43" ca="1" si="0">IFERROR(MATCH(LEFT(P1,8),INDIRECT($L$1&amp;"!A:A"),1),2)</f>
        <v>2</v>
      </c>
      <c r="R1" s="61" t="str">
        <f t="shared" ref="R1:R43" ca="1" si="1">IF(Q1=2,"",INDIRECT($L$1&amp;"!C"&amp;Q1))</f>
        <v/>
      </c>
      <c r="S1" s="61" t="str">
        <f t="shared" ref="S1:S43" ca="1" si="2">IF(Q1=2,"",INDIRECT($L$1&amp;"!D"&amp;Q1))</f>
        <v/>
      </c>
      <c r="T1" s="61" t="str">
        <f t="shared" ref="T1:T43" ca="1" si="3">IF(Q1=2,"",INDIRECT($L$1&amp;"!E"&amp;Q1))</f>
        <v/>
      </c>
      <c r="U1" s="61" t="str">
        <f t="shared" ref="U1:U43" ca="1" si="4">IF(Q1=2,"",INDIRECT($L$1&amp;"!F"&amp;Q1))</f>
        <v/>
      </c>
      <c r="V1" s="61"/>
      <c r="W1" s="61" t="str">
        <f ca="1">IFERROR(__xludf.dummyfunction("ArrayFormula(Query(IF({1,1},IF(S:S="""","""",S:S)),""SELECT Col1, COUNT(Col2) WHERE Col1 &lt;&gt; '' GROUP BY Col1 Label Col1 '', COUNT(Col2) ''""))"),"#REF!")</f>
        <v>#REF!</v>
      </c>
      <c r="X1" s="61">
        <v>1</v>
      </c>
      <c r="Y1" s="61" t="str">
        <f ca="1">IFERROR(__xludf.dummyfunction("IF(W1="""","""",QUERY(Hallazgos!C:I,""SELECT max(H) WHERE E CONTAINS 'Activo:""&amp;W1&amp;""' LABEL max(H) ''""))"),"#REF!")</f>
        <v>#REF!</v>
      </c>
      <c r="Z1" s="61" t="str">
        <f ca="1">IFERROR(__xludf.dummyfunction("ArrayFormula(Query(IF({1,1},IF(T:T="""","""",T:T)),""SELECT Col1, COUNT(Col2) WHERE Col1 &lt;&gt; '' GROUP BY Col1 Label Col1 '', COUNT(Col2) ''""))"),"#REF!")</f>
        <v>#REF!</v>
      </c>
      <c r="AA1" s="61">
        <v>1</v>
      </c>
      <c r="AB1" s="61" t="str">
        <f ca="1">IFERROR(__xludf.dummyfunction("IF(Z1="""","""",QUERY(Hallazgos!C:I,""SELECT max(H) WHERE E CONTAINS 'Alcance:""&amp;Z1&amp;""' LABEL max(H) ''""))"),"#REF!")</f>
        <v>#REF!</v>
      </c>
    </row>
    <row r="2" spans="1:28" x14ac:dyDescent="0.2">
      <c r="A2" s="59" t="str">
        <f ca="1">IFERROR(__xludf.dummyfunction("QUERY(Z:AA,""SELECT Z, AA WHERE Z &lt;&gt;'' ORDER BY AA DESC"")"),"#REF!")</f>
        <v>#REF!</v>
      </c>
      <c r="B2" s="44">
        <v>2</v>
      </c>
      <c r="C2" s="41"/>
      <c r="D2" s="59" t="str">
        <f ca="1">IFERROR(__xludf.dummyfunction("QUERY(Z:AB,""SELECT AB, Z WHERE Z&lt;&gt;'' ORDER BY AB DESC"")"),"#REF!")</f>
        <v>#REF!</v>
      </c>
      <c r="E2" s="62" t="s">
        <v>15</v>
      </c>
      <c r="F2" s="40" t="str">
        <f t="shared" ref="F2:F22" ca="1" si="5">IF(D2&gt;6.9,D2,0)</f>
        <v>#REF!</v>
      </c>
      <c r="G2" s="40">
        <f t="shared" ref="G2:G22" ca="1" si="6">IF(AND(D2&lt;7,D2&gt;3.9),D2,0)</f>
        <v>0</v>
      </c>
      <c r="H2" s="40">
        <f t="shared" ref="H2:H22" ca="1" si="7">IF(D2&lt;4,D2,0)</f>
        <v>0</v>
      </c>
      <c r="I2" s="41"/>
      <c r="J2" s="41"/>
      <c r="K2" s="41"/>
      <c r="L2" s="41"/>
      <c r="M2" s="41"/>
      <c r="N2" s="41"/>
      <c r="O2" s="41"/>
      <c r="P2" s="63" t="s">
        <v>933</v>
      </c>
      <c r="Q2" s="61">
        <f t="shared" ca="1" si="0"/>
        <v>4</v>
      </c>
      <c r="R2" s="61" t="str">
        <f t="shared" ca="1" si="1"/>
        <v>Capa de Recursos</v>
      </c>
      <c r="S2" s="61" t="str">
        <f t="shared" ca="1" si="2"/>
        <v>Activos de información</v>
      </c>
      <c r="T2" s="61" t="str">
        <f t="shared" ca="1" si="3"/>
        <v>Adherencia</v>
      </c>
      <c r="U2" s="61" t="str">
        <f t="shared" ca="1" si="4"/>
        <v>Análisis</v>
      </c>
      <c r="V2" s="61"/>
      <c r="W2" s="61" t="s">
        <v>95</v>
      </c>
      <c r="X2" s="61">
        <v>1</v>
      </c>
      <c r="Y2" s="61" t="str">
        <f ca="1">IFERROR(__xludf.dummyfunction("IF(W2="""","""",QUERY(Hallazgos!C:I,""SELECT max(H) WHERE E CONTAINS 'Activo:""&amp;W2&amp;""' LABEL max(H) ''""))"),"#N/A")</f>
        <v>#N/A</v>
      </c>
      <c r="Z2" s="61" t="s">
        <v>98</v>
      </c>
      <c r="AA2" s="61">
        <v>1</v>
      </c>
      <c r="AB2" s="61" t="str">
        <f ca="1">IFERROR(__xludf.dummyfunction("IF(Z2="""","""",QUERY(Hallazgos!C:I,""SELECT max(H) WHERE E CONTAINS 'Alcance:""&amp;Z2&amp;""' LABEL max(H) ''""))"),"#N/A")</f>
        <v>#N/A</v>
      </c>
    </row>
    <row r="3" spans="1:28" x14ac:dyDescent="0.2">
      <c r="A3" s="59" t="s">
        <v>15</v>
      </c>
      <c r="B3" s="44">
        <v>1</v>
      </c>
      <c r="C3" s="41"/>
      <c r="D3" s="59">
        <v>10</v>
      </c>
      <c r="E3" s="62" t="s">
        <v>98</v>
      </c>
      <c r="F3" s="40">
        <f t="shared" si="5"/>
        <v>10</v>
      </c>
      <c r="G3" s="40">
        <f t="shared" si="6"/>
        <v>0</v>
      </c>
      <c r="H3" s="40">
        <f t="shared" si="7"/>
        <v>0</v>
      </c>
      <c r="I3" s="41"/>
      <c r="J3" s="41"/>
      <c r="K3" s="41"/>
      <c r="L3" s="41"/>
      <c r="M3" s="41"/>
      <c r="N3" s="41"/>
      <c r="O3" s="41"/>
      <c r="P3" s="61" t="s">
        <v>934</v>
      </c>
      <c r="Q3" s="61">
        <f t="shared" ca="1" si="0"/>
        <v>52</v>
      </c>
      <c r="R3" s="61" t="str">
        <f t="shared" ca="1" si="1"/>
        <v>Capa de Aplicación</v>
      </c>
      <c r="S3" s="61" t="str">
        <f t="shared" ca="1" si="2"/>
        <v>Arquitectura de seguridad</v>
      </c>
      <c r="T3" s="61" t="str">
        <f t="shared" ca="1" si="3"/>
        <v>Confidencialidad</v>
      </c>
      <c r="U3" s="61" t="str">
        <f t="shared" ca="1" si="4"/>
        <v>Construcción</v>
      </c>
      <c r="V3" s="61"/>
      <c r="W3" s="61" t="s">
        <v>189</v>
      </c>
      <c r="X3" s="61">
        <v>1</v>
      </c>
      <c r="Y3" s="61" t="str">
        <f ca="1">IFERROR(__xludf.dummyfunction("IF(W3="""","""",QUERY(Hallazgos!C:I,""SELECT max(H) WHERE E CONTAINS 'Activo:""&amp;W3&amp;""' LABEL max(H) ''""))"),"#N/A")</f>
        <v>#N/A</v>
      </c>
      <c r="Z3" s="61" t="s">
        <v>81</v>
      </c>
      <c r="AA3" s="61">
        <v>2</v>
      </c>
      <c r="AB3" s="61" t="str">
        <f ca="1">IFERROR(__xludf.dummyfunction("IF(Z3="""","""",QUERY(Hallazgos!C:I,""SELECT max(H) WHERE E CONTAINS 'Alcance:""&amp;Z3&amp;""' LABEL max(H) ''""))"),"#N/A")</f>
        <v>#N/A</v>
      </c>
    </row>
    <row r="4" spans="1:28" x14ac:dyDescent="0.2">
      <c r="A4" s="59" t="s">
        <v>98</v>
      </c>
      <c r="B4" s="44">
        <v>1</v>
      </c>
      <c r="C4" s="41"/>
      <c r="D4" s="59">
        <v>10</v>
      </c>
      <c r="E4" s="62" t="s">
        <v>81</v>
      </c>
      <c r="F4" s="40">
        <f t="shared" si="5"/>
        <v>10</v>
      </c>
      <c r="G4" s="40">
        <f t="shared" si="6"/>
        <v>0</v>
      </c>
      <c r="H4" s="40">
        <f t="shared" si="7"/>
        <v>0</v>
      </c>
      <c r="I4" s="41"/>
      <c r="J4" s="41"/>
      <c r="K4" s="41"/>
      <c r="L4" s="41"/>
      <c r="M4" s="41"/>
      <c r="N4" s="41"/>
      <c r="O4" s="41"/>
      <c r="P4" s="61" t="s">
        <v>935</v>
      </c>
      <c r="Q4" s="61">
        <f t="shared" ca="1" si="0"/>
        <v>251</v>
      </c>
      <c r="R4" s="61" t="str">
        <f t="shared" ca="1" si="1"/>
        <v>Capa de Recursos</v>
      </c>
      <c r="S4" s="61" t="str">
        <f t="shared" ca="1" si="2"/>
        <v>Redes inalámbricas</v>
      </c>
      <c r="T4" s="61" t="str">
        <f t="shared" ca="1" si="3"/>
        <v>Autorización</v>
      </c>
      <c r="U4" s="61" t="str">
        <f t="shared" ca="1" si="4"/>
        <v>Operación</v>
      </c>
      <c r="V4" s="61"/>
      <c r="W4" s="61" t="s">
        <v>352</v>
      </c>
      <c r="X4" s="61">
        <v>1</v>
      </c>
      <c r="Y4" s="61" t="str">
        <f ca="1">IFERROR(__xludf.dummyfunction("IF(W4="""","""",QUERY(Hallazgos!C:I,""SELECT max(H) WHERE E CONTAINS 'Activo:""&amp;W4&amp;""' LABEL max(H) ''""))"),"#N/A")</f>
        <v>#N/A</v>
      </c>
      <c r="Z4" s="61" t="s">
        <v>116</v>
      </c>
      <c r="AA4" s="61">
        <v>1</v>
      </c>
      <c r="AB4" s="61" t="str">
        <f ca="1">IFERROR(__xludf.dummyfunction("IF(Z4="""","""",QUERY(Hallazgos!C:I,""SELECT max(H) WHERE E CONTAINS 'Alcance:""&amp;Z4&amp;""' LABEL max(H) ''""))"),"#N/A")</f>
        <v>#N/A</v>
      </c>
    </row>
    <row r="5" spans="1:28" x14ac:dyDescent="0.2">
      <c r="A5" s="59" t="s">
        <v>116</v>
      </c>
      <c r="B5" s="44">
        <v>1</v>
      </c>
      <c r="C5" s="41"/>
      <c r="D5" s="59">
        <v>10</v>
      </c>
      <c r="E5" s="62" t="s">
        <v>116</v>
      </c>
      <c r="F5" s="40">
        <f t="shared" si="5"/>
        <v>10</v>
      </c>
      <c r="G5" s="40">
        <f t="shared" si="6"/>
        <v>0</v>
      </c>
      <c r="H5" s="40">
        <f t="shared" si="7"/>
        <v>0</v>
      </c>
      <c r="I5" s="41"/>
      <c r="J5" s="41"/>
      <c r="K5" s="41"/>
      <c r="L5" s="41"/>
      <c r="M5" s="41"/>
      <c r="N5" s="41"/>
      <c r="O5" s="41"/>
      <c r="P5" s="61" t="s">
        <v>936</v>
      </c>
      <c r="Q5" s="61">
        <f t="shared" ca="1" si="0"/>
        <v>42</v>
      </c>
      <c r="R5" s="61" t="str">
        <f t="shared" ca="1" si="1"/>
        <v>Capa de Aplicación</v>
      </c>
      <c r="S5" s="61" t="str">
        <f t="shared" ca="1" si="2"/>
        <v>Archivos</v>
      </c>
      <c r="T5" s="61" t="str">
        <f t="shared" ca="1" si="3"/>
        <v>Integridad</v>
      </c>
      <c r="U5" s="61" t="str">
        <f t="shared" ca="1" si="4"/>
        <v>Operación</v>
      </c>
      <c r="V5" s="61"/>
      <c r="W5" s="61" t="s">
        <v>790</v>
      </c>
      <c r="X5" s="61">
        <v>1</v>
      </c>
      <c r="Y5" s="61" t="str">
        <f ca="1">IFERROR(__xludf.dummyfunction("IF(W5="""","""",QUERY(Hallazgos!C:I,""SELECT max(H) WHERE E CONTAINS 'Activo:""&amp;W5&amp;""' LABEL max(H) ''""))"),"#N/A")</f>
        <v>#N/A</v>
      </c>
      <c r="Z5" s="61"/>
      <c r="AA5" s="61"/>
      <c r="AB5" s="61" t="str">
        <f ca="1">IFERROR(__xludf.dummyfunction("IF(Z5="""","""",QUERY(Hallazgos!C:I,""SELECT max(H) WHERE E CONTAINS 'Alcance:""&amp;Z5&amp;""' LABEL max(H) ''""))"),"")</f>
        <v/>
      </c>
    </row>
    <row r="6" spans="1:28" x14ac:dyDescent="0.2">
      <c r="A6" s="59"/>
      <c r="B6" s="44"/>
      <c r="C6" s="41"/>
      <c r="D6" s="59"/>
      <c r="E6" s="62"/>
      <c r="F6" s="40">
        <f t="shared" si="5"/>
        <v>0</v>
      </c>
      <c r="G6" s="40">
        <f t="shared" si="6"/>
        <v>0</v>
      </c>
      <c r="H6" s="40">
        <f t="shared" si="7"/>
        <v>0</v>
      </c>
      <c r="I6" s="41"/>
      <c r="J6" s="41"/>
      <c r="K6" s="41"/>
      <c r="L6" s="41"/>
      <c r="M6" s="41"/>
      <c r="N6" s="41"/>
      <c r="O6" s="41"/>
      <c r="P6" s="61"/>
      <c r="Q6" s="61">
        <f t="shared" ca="1" si="0"/>
        <v>2</v>
      </c>
      <c r="R6" s="61" t="str">
        <f t="shared" ca="1" si="1"/>
        <v/>
      </c>
      <c r="S6" s="61" t="str">
        <f t="shared" ca="1" si="2"/>
        <v/>
      </c>
      <c r="T6" s="61" t="str">
        <f t="shared" ca="1" si="3"/>
        <v/>
      </c>
      <c r="U6" s="61" t="str">
        <f t="shared" ca="1" si="4"/>
        <v/>
      </c>
      <c r="V6" s="61"/>
      <c r="W6" s="61"/>
      <c r="X6" s="61"/>
      <c r="Y6" s="61" t="str">
        <f ca="1">IFERROR(__xludf.dummyfunction("IF(W6="""","""",QUERY(Hallazgos!C:I,""SELECT max(H) WHERE E CONTAINS 'Activo:""&amp;W6&amp;""' LABEL max(H) ''""))"),"")</f>
        <v/>
      </c>
      <c r="Z6" s="61"/>
      <c r="AA6" s="61"/>
      <c r="AB6" s="61" t="str">
        <f ca="1">IFERROR(__xludf.dummyfunction("IF(Z6="""","""",QUERY(Hallazgos!C:I,""SELECT max(H) WHERE E CONTAINS 'Alcance:""&amp;Z6&amp;""' LABEL max(H) ''""))"),"")</f>
        <v/>
      </c>
    </row>
    <row r="7" spans="1:28" x14ac:dyDescent="0.2">
      <c r="A7" s="59"/>
      <c r="B7" s="44"/>
      <c r="C7" s="44"/>
      <c r="D7" s="59"/>
      <c r="E7" s="62"/>
      <c r="F7" s="40">
        <f t="shared" si="5"/>
        <v>0</v>
      </c>
      <c r="G7" s="40">
        <f t="shared" si="6"/>
        <v>0</v>
      </c>
      <c r="H7" s="40">
        <f t="shared" si="7"/>
        <v>0</v>
      </c>
      <c r="I7" s="41"/>
      <c r="J7" s="41"/>
      <c r="K7" s="41"/>
      <c r="L7" s="41"/>
      <c r="M7" s="41"/>
      <c r="N7" s="41"/>
      <c r="O7" s="41"/>
      <c r="P7" s="64"/>
      <c r="Q7" s="61">
        <f t="shared" ca="1" si="0"/>
        <v>2</v>
      </c>
      <c r="R7" s="61" t="str">
        <f t="shared" ca="1" si="1"/>
        <v/>
      </c>
      <c r="S7" s="61" t="str">
        <f t="shared" ca="1" si="2"/>
        <v/>
      </c>
      <c r="T7" s="61" t="str">
        <f t="shared" ca="1" si="3"/>
        <v/>
      </c>
      <c r="U7" s="61" t="str">
        <f t="shared" ca="1" si="4"/>
        <v/>
      </c>
      <c r="V7" s="61"/>
      <c r="W7" s="61"/>
      <c r="X7" s="61"/>
      <c r="Y7" s="61" t="str">
        <f ca="1">IFERROR(__xludf.dummyfunction("IF(W7="""","""",QUERY(Hallazgos!C:I,""SELECT max(H) WHERE E CONTAINS 'Activo:""&amp;W7&amp;""' LABEL max(H) ''""))"),"")</f>
        <v/>
      </c>
      <c r="Z7" s="61"/>
      <c r="AA7" s="61"/>
      <c r="AB7" s="61" t="str">
        <f ca="1">IFERROR(__xludf.dummyfunction("IF(Z7="""","""",QUERY(Hallazgos!C:I,""SELECT max(H) WHERE E CONTAINS 'Alcance:""&amp;Z7&amp;""' LABEL max(H) ''""))"),"")</f>
        <v/>
      </c>
    </row>
    <row r="8" spans="1:28" x14ac:dyDescent="0.2">
      <c r="A8" s="65"/>
      <c r="B8" s="66"/>
      <c r="C8" s="44"/>
      <c r="D8" s="59"/>
      <c r="E8" s="62"/>
      <c r="F8" s="40">
        <f t="shared" si="5"/>
        <v>0</v>
      </c>
      <c r="G8" s="40">
        <f t="shared" si="6"/>
        <v>0</v>
      </c>
      <c r="H8" s="40">
        <f t="shared" si="7"/>
        <v>0</v>
      </c>
      <c r="I8" s="41"/>
      <c r="J8" s="41"/>
      <c r="K8" s="41"/>
      <c r="L8" s="41"/>
      <c r="M8" s="41"/>
      <c r="N8" s="41"/>
      <c r="O8" s="41"/>
      <c r="P8" s="64"/>
      <c r="Q8" s="61">
        <f t="shared" ca="1" si="0"/>
        <v>2</v>
      </c>
      <c r="R8" s="61" t="str">
        <f t="shared" ca="1" si="1"/>
        <v/>
      </c>
      <c r="S8" s="61" t="str">
        <f t="shared" ca="1" si="2"/>
        <v/>
      </c>
      <c r="T8" s="61" t="str">
        <f t="shared" ca="1" si="3"/>
        <v/>
      </c>
      <c r="U8" s="61" t="str">
        <f t="shared" ca="1" si="4"/>
        <v/>
      </c>
      <c r="V8" s="61"/>
      <c r="W8" s="61"/>
      <c r="X8" s="61"/>
      <c r="Y8" s="61" t="str">
        <f ca="1">IFERROR(__xludf.dummyfunction("IF(W8="""","""",QUERY(Hallazgos!C:I,""SELECT max(H) WHERE E CONTAINS 'Activo:""&amp;W8&amp;""' LABEL max(H) ''""))"),"")</f>
        <v/>
      </c>
      <c r="Z8" s="61"/>
      <c r="AA8" s="61"/>
      <c r="AB8" s="61" t="str">
        <f ca="1">IFERROR(__xludf.dummyfunction("IF(Z8="""","""",QUERY(Hallazgos!C:I,""SELECT max(H) WHERE E CONTAINS 'Alcance:""&amp;Z8&amp;""' LABEL max(H) ''""))"),"")</f>
        <v/>
      </c>
    </row>
    <row r="9" spans="1:28" x14ac:dyDescent="0.2">
      <c r="A9" s="59"/>
      <c r="B9" s="44"/>
      <c r="C9" s="44"/>
      <c r="D9" s="59"/>
      <c r="E9" s="62"/>
      <c r="F9" s="40">
        <f t="shared" si="5"/>
        <v>0</v>
      </c>
      <c r="G9" s="40">
        <f t="shared" si="6"/>
        <v>0</v>
      </c>
      <c r="H9" s="40">
        <f t="shared" si="7"/>
        <v>0</v>
      </c>
      <c r="I9" s="41"/>
      <c r="J9" s="41"/>
      <c r="K9" s="41"/>
      <c r="L9" s="41"/>
      <c r="M9" s="41"/>
      <c r="N9" s="41"/>
      <c r="O9" s="41"/>
      <c r="P9" s="61"/>
      <c r="Q9" s="61">
        <f t="shared" ca="1" si="0"/>
        <v>2</v>
      </c>
      <c r="R9" s="61" t="str">
        <f t="shared" ca="1" si="1"/>
        <v/>
      </c>
      <c r="S9" s="61" t="str">
        <f t="shared" ca="1" si="2"/>
        <v/>
      </c>
      <c r="T9" s="61" t="str">
        <f t="shared" ca="1" si="3"/>
        <v/>
      </c>
      <c r="U9" s="61" t="str">
        <f t="shared" ca="1" si="4"/>
        <v/>
      </c>
      <c r="V9" s="61"/>
      <c r="W9" s="61"/>
      <c r="X9" s="61"/>
      <c r="Y9" s="61" t="str">
        <f ca="1">IFERROR(__xludf.dummyfunction("IF(W9="""","""",QUERY(Hallazgos!C:I,""SELECT max(H) WHERE E CONTAINS 'Activo:""&amp;W9&amp;""' LABEL max(H) ''""))"),"")</f>
        <v/>
      </c>
      <c r="Z9" s="61"/>
      <c r="AA9" s="61"/>
      <c r="AB9" s="61" t="str">
        <f ca="1">IFERROR(__xludf.dummyfunction("IF(Z9="""","""",QUERY(Hallazgos!C:I,""SELECT max(H) WHERE E CONTAINS 'Alcance:""&amp;Z9&amp;""' LABEL max(H) ''""))"),"")</f>
        <v/>
      </c>
    </row>
    <row r="10" spans="1:28" x14ac:dyDescent="0.2">
      <c r="A10" s="59"/>
      <c r="B10" s="44"/>
      <c r="C10" s="41"/>
      <c r="D10" s="59"/>
      <c r="E10" s="62"/>
      <c r="F10" s="40">
        <f t="shared" si="5"/>
        <v>0</v>
      </c>
      <c r="G10" s="40">
        <f t="shared" si="6"/>
        <v>0</v>
      </c>
      <c r="H10" s="40">
        <f t="shared" si="7"/>
        <v>0</v>
      </c>
      <c r="I10" s="41"/>
      <c r="J10" s="41"/>
      <c r="K10" s="41"/>
      <c r="L10" s="41"/>
      <c r="M10" s="41"/>
      <c r="N10" s="41"/>
      <c r="O10" s="41"/>
      <c r="P10" s="61"/>
      <c r="Q10" s="61">
        <f t="shared" ca="1" si="0"/>
        <v>2</v>
      </c>
      <c r="R10" s="61" t="str">
        <f t="shared" ca="1" si="1"/>
        <v/>
      </c>
      <c r="S10" s="61" t="str">
        <f t="shared" ca="1" si="2"/>
        <v/>
      </c>
      <c r="T10" s="61" t="str">
        <f t="shared" ca="1" si="3"/>
        <v/>
      </c>
      <c r="U10" s="61" t="str">
        <f t="shared" ca="1" si="4"/>
        <v/>
      </c>
      <c r="V10" s="61"/>
      <c r="W10" s="61"/>
      <c r="X10" s="61"/>
      <c r="Y10" s="61" t="str">
        <f ca="1">IFERROR(__xludf.dummyfunction("IF(W10="""","""",QUERY(Hallazgos!C:I,""SELECT max(H) WHERE E CONTAINS 'Activo:""&amp;W10&amp;""' LABEL max(H) ''""))"),"")</f>
        <v/>
      </c>
      <c r="Z10" s="61"/>
      <c r="AA10" s="61"/>
      <c r="AB10" s="61" t="str">
        <f ca="1">IFERROR(__xludf.dummyfunction("IF(Z10="""","""",QUERY(Hallazgos!C:I,""SELECT max(H) WHERE E CONTAINS 'Alcance:""&amp;Z10&amp;""' LABEL max(H) ''""))"),"")</f>
        <v/>
      </c>
    </row>
    <row r="11" spans="1:28" x14ac:dyDescent="0.2">
      <c r="A11" s="59"/>
      <c r="B11" s="44"/>
      <c r="C11" s="41"/>
      <c r="D11" s="59"/>
      <c r="E11" s="62"/>
      <c r="F11" s="40">
        <f t="shared" si="5"/>
        <v>0</v>
      </c>
      <c r="G11" s="40">
        <f t="shared" si="6"/>
        <v>0</v>
      </c>
      <c r="H11" s="40">
        <f t="shared" si="7"/>
        <v>0</v>
      </c>
      <c r="I11" s="41"/>
      <c r="J11" s="41"/>
      <c r="K11" s="41"/>
      <c r="L11" s="41"/>
      <c r="M11" s="41"/>
      <c r="N11" s="41"/>
      <c r="O11" s="41"/>
      <c r="P11" s="61"/>
      <c r="Q11" s="61">
        <f t="shared" ca="1" si="0"/>
        <v>2</v>
      </c>
      <c r="R11" s="61" t="str">
        <f t="shared" ca="1" si="1"/>
        <v/>
      </c>
      <c r="S11" s="61" t="str">
        <f t="shared" ca="1" si="2"/>
        <v/>
      </c>
      <c r="T11" s="61" t="str">
        <f t="shared" ca="1" si="3"/>
        <v/>
      </c>
      <c r="U11" s="61" t="str">
        <f t="shared" ca="1" si="4"/>
        <v/>
      </c>
      <c r="V11" s="61"/>
      <c r="W11" s="61"/>
      <c r="X11" s="61"/>
      <c r="Y11" s="61" t="str">
        <f ca="1">IFERROR(__xludf.dummyfunction("IF(W11="""","""",QUERY(Hallazgos!C:I,""SELECT max(H) WHERE E CONTAINS 'Activo:""&amp;W11&amp;""' LABEL max(H) ''""))"),"")</f>
        <v/>
      </c>
      <c r="Z11" s="61"/>
      <c r="AA11" s="61"/>
      <c r="AB11" s="61" t="str">
        <f ca="1">IFERROR(__xludf.dummyfunction("IF(Z11="""","""",QUERY(Hallazgos!C:I,""SELECT max(H) WHERE E CONTAINS 'Alcance:""&amp;Z11&amp;""' LABEL max(H) ''""))"),"")</f>
        <v/>
      </c>
    </row>
    <row r="12" spans="1:28" x14ac:dyDescent="0.2">
      <c r="A12" s="59"/>
      <c r="B12" s="44"/>
      <c r="C12" s="41"/>
      <c r="D12" s="59"/>
      <c r="E12" s="62"/>
      <c r="F12" s="40">
        <f t="shared" si="5"/>
        <v>0</v>
      </c>
      <c r="G12" s="40">
        <f t="shared" si="6"/>
        <v>0</v>
      </c>
      <c r="H12" s="40">
        <f t="shared" si="7"/>
        <v>0</v>
      </c>
      <c r="I12" s="41"/>
      <c r="J12" s="41"/>
      <c r="K12" s="41"/>
      <c r="L12" s="41"/>
      <c r="M12" s="41"/>
      <c r="N12" s="41"/>
      <c r="O12" s="41"/>
      <c r="P12" s="61"/>
      <c r="Q12" s="61">
        <f t="shared" ca="1" si="0"/>
        <v>2</v>
      </c>
      <c r="R12" s="61" t="str">
        <f t="shared" ca="1" si="1"/>
        <v/>
      </c>
      <c r="S12" s="61" t="str">
        <f t="shared" ca="1" si="2"/>
        <v/>
      </c>
      <c r="T12" s="61" t="str">
        <f t="shared" ca="1" si="3"/>
        <v/>
      </c>
      <c r="U12" s="61" t="str">
        <f t="shared" ca="1" si="4"/>
        <v/>
      </c>
      <c r="V12" s="61"/>
      <c r="W12" s="61"/>
      <c r="X12" s="61"/>
      <c r="Y12" s="61" t="str">
        <f ca="1">IFERROR(__xludf.dummyfunction("IF(W12="""","""",QUERY(Hallazgos!C:I,""SELECT max(H) WHERE E CONTAINS 'Activo:""&amp;W12&amp;""' LABEL max(H) ''""))"),"")</f>
        <v/>
      </c>
      <c r="Z12" s="61"/>
      <c r="AA12" s="61"/>
      <c r="AB12" s="61" t="str">
        <f ca="1">IFERROR(__xludf.dummyfunction("IF(Z12="""","""",QUERY(Hallazgos!C:I,""SELECT max(H) WHERE E CONTAINS 'Alcance:""&amp;Z12&amp;""' LABEL max(H) ''""))"),"")</f>
        <v/>
      </c>
    </row>
    <row r="13" spans="1:28" x14ac:dyDescent="0.2">
      <c r="A13" s="65"/>
      <c r="B13" s="66"/>
      <c r="C13" s="41"/>
      <c r="D13" s="59"/>
      <c r="E13" s="62"/>
      <c r="F13" s="40">
        <f t="shared" si="5"/>
        <v>0</v>
      </c>
      <c r="G13" s="40">
        <f t="shared" si="6"/>
        <v>0</v>
      </c>
      <c r="H13" s="40">
        <f t="shared" si="7"/>
        <v>0</v>
      </c>
      <c r="I13" s="41"/>
      <c r="J13" s="41"/>
      <c r="K13" s="41"/>
      <c r="L13" s="41" t="str">
        <f ca="1">IFERROR(__xludf.dummyfunction("IF(I13="""","""",QUERY(Hallazgos!D:I,""SELECT max(J) WHERE G CONTAINS '""&amp;I13&amp;""' LABEL max(J) ''""))"),"")</f>
        <v/>
      </c>
      <c r="M13" s="41"/>
      <c r="N13" s="41"/>
      <c r="O13" s="41"/>
      <c r="P13" s="61"/>
      <c r="Q13" s="61">
        <f t="shared" ca="1" si="0"/>
        <v>2</v>
      </c>
      <c r="R13" s="61" t="str">
        <f t="shared" ca="1" si="1"/>
        <v/>
      </c>
      <c r="S13" s="61" t="str">
        <f t="shared" ca="1" si="2"/>
        <v/>
      </c>
      <c r="T13" s="61" t="str">
        <f t="shared" ca="1" si="3"/>
        <v/>
      </c>
      <c r="U13" s="61" t="str">
        <f t="shared" ca="1" si="4"/>
        <v/>
      </c>
      <c r="V13" s="61"/>
      <c r="W13" s="61"/>
      <c r="X13" s="61"/>
      <c r="Y13" s="61" t="str">
        <f ca="1">IFERROR(__xludf.dummyfunction("IF(W13="""","""",QUERY(Hallazgos!C:I,""SELECT max(H) WHERE E CONTAINS 'Activo:""&amp;W13&amp;""' LABEL max(H) ''""))"),"")</f>
        <v/>
      </c>
      <c r="Z13" s="61"/>
      <c r="AA13" s="61"/>
      <c r="AB13" s="61" t="str">
        <f ca="1">IFERROR(__xludf.dummyfunction("IF(Z13="""","""",QUERY(Hallazgos!C:I,""SELECT max(H) WHERE E CONTAINS 'Alcance:""&amp;Z13&amp;""' LABEL max(H) ''""))"),"")</f>
        <v/>
      </c>
    </row>
    <row r="14" spans="1:28" x14ac:dyDescent="0.2">
      <c r="A14" s="59"/>
      <c r="B14" s="44"/>
      <c r="C14" s="41"/>
      <c r="D14" s="59"/>
      <c r="E14" s="62"/>
      <c r="F14" s="40">
        <f t="shared" si="5"/>
        <v>0</v>
      </c>
      <c r="G14" s="40">
        <f t="shared" si="6"/>
        <v>0</v>
      </c>
      <c r="H14" s="40">
        <f t="shared" si="7"/>
        <v>0</v>
      </c>
      <c r="I14" s="41"/>
      <c r="J14" s="41"/>
      <c r="K14" s="41"/>
      <c r="L14" s="41" t="str">
        <f ca="1">IFERROR(__xludf.dummyfunction("IF(I14="""","""",QUERY(Hallazgos!D:I,""SELECT max(J) WHERE G CONTAINS '""&amp;I14&amp;""' LABEL max(J) ''""))"),"")</f>
        <v/>
      </c>
      <c r="M14" s="41"/>
      <c r="N14" s="41"/>
      <c r="O14" s="41"/>
      <c r="P14" s="61"/>
      <c r="Q14" s="61">
        <f t="shared" ca="1" si="0"/>
        <v>2</v>
      </c>
      <c r="R14" s="61" t="str">
        <f t="shared" ca="1" si="1"/>
        <v/>
      </c>
      <c r="S14" s="61" t="str">
        <f t="shared" ca="1" si="2"/>
        <v/>
      </c>
      <c r="T14" s="61" t="str">
        <f t="shared" ca="1" si="3"/>
        <v/>
      </c>
      <c r="U14" s="61" t="str">
        <f t="shared" ca="1" si="4"/>
        <v/>
      </c>
      <c r="V14" s="61"/>
      <c r="W14" s="61"/>
      <c r="X14" s="61"/>
      <c r="Y14" s="61" t="str">
        <f ca="1">IFERROR(__xludf.dummyfunction("IF(W14="""","""",QUERY(Hallazgos!C:I,""SELECT max(H) WHERE E CONTAINS 'Activo:""&amp;W14&amp;""' LABEL max(H) ''""))"),"")</f>
        <v/>
      </c>
      <c r="Z14" s="61"/>
      <c r="AA14" s="61"/>
      <c r="AB14" s="61" t="str">
        <f ca="1">IFERROR(__xludf.dummyfunction("IF(Z14="""","""",QUERY(Hallazgos!C:I,""SELECT max(H) WHERE E CONTAINS 'Alcance:""&amp;Z14&amp;""' LABEL max(H) ''""))"),"")</f>
        <v/>
      </c>
    </row>
    <row r="15" spans="1:28" x14ac:dyDescent="0.2">
      <c r="A15" s="59"/>
      <c r="B15" s="44"/>
      <c r="C15" s="41"/>
      <c r="D15" s="59"/>
      <c r="E15" s="62"/>
      <c r="F15" s="40">
        <f t="shared" si="5"/>
        <v>0</v>
      </c>
      <c r="G15" s="40">
        <f t="shared" si="6"/>
        <v>0</v>
      </c>
      <c r="H15" s="40">
        <f t="shared" si="7"/>
        <v>0</v>
      </c>
      <c r="I15" s="41"/>
      <c r="J15" s="41"/>
      <c r="K15" s="41"/>
      <c r="L15" s="41" t="str">
        <f ca="1">IFERROR(__xludf.dummyfunction("IF(I15="""","""",QUERY(Hallazgos!D:I,""SELECT max(J) WHERE G CONTAINS '""&amp;I15&amp;""' LABEL max(J) ''""))"),"")</f>
        <v/>
      </c>
      <c r="M15" s="41"/>
      <c r="N15" s="41"/>
      <c r="O15" s="41"/>
      <c r="P15" s="61"/>
      <c r="Q15" s="61">
        <f t="shared" ca="1" si="0"/>
        <v>2</v>
      </c>
      <c r="R15" s="61" t="str">
        <f t="shared" ca="1" si="1"/>
        <v/>
      </c>
      <c r="S15" s="61" t="str">
        <f t="shared" ca="1" si="2"/>
        <v/>
      </c>
      <c r="T15" s="61" t="str">
        <f t="shared" ca="1" si="3"/>
        <v/>
      </c>
      <c r="U15" s="61" t="str">
        <f t="shared" ca="1" si="4"/>
        <v/>
      </c>
      <c r="V15" s="61"/>
      <c r="W15" s="61"/>
      <c r="X15" s="61"/>
      <c r="Y15" s="61" t="str">
        <f ca="1">IFERROR(__xludf.dummyfunction("IF(W15="""","""",QUERY(Hallazgos!C:I,""SELECT max(H) WHERE E CONTAINS 'Activo:""&amp;W15&amp;""' LABEL max(H) ''""))"),"")</f>
        <v/>
      </c>
      <c r="Z15" s="61"/>
      <c r="AA15" s="61"/>
      <c r="AB15" s="61" t="str">
        <f ca="1">IFERROR(__xludf.dummyfunction("IF(Z15="""","""",QUERY(Hallazgos!C:I,""SELECT max(H) WHERE E CONTAINS 'Alcance:""&amp;Z15&amp;""' LABEL max(H) ''""))"),"")</f>
        <v/>
      </c>
    </row>
    <row r="16" spans="1:28" x14ac:dyDescent="0.2">
      <c r="A16" s="59"/>
      <c r="B16" s="44"/>
      <c r="C16" s="41"/>
      <c r="D16" s="59"/>
      <c r="E16" s="62"/>
      <c r="F16" s="40">
        <f t="shared" si="5"/>
        <v>0</v>
      </c>
      <c r="G16" s="40">
        <f t="shared" si="6"/>
        <v>0</v>
      </c>
      <c r="H16" s="40">
        <f t="shared" si="7"/>
        <v>0</v>
      </c>
      <c r="I16" s="41"/>
      <c r="J16" s="41"/>
      <c r="K16" s="41"/>
      <c r="L16" s="41" t="str">
        <f ca="1">IFERROR(__xludf.dummyfunction("IF(I16="""","""",QUERY(Hallazgos!D:I,""SELECT max(J) WHERE G CONTAINS '""&amp;I16&amp;""' LABEL max(J) ''""))"),"")</f>
        <v/>
      </c>
      <c r="M16" s="41"/>
      <c r="N16" s="41"/>
      <c r="O16" s="41"/>
      <c r="P16" s="61"/>
      <c r="Q16" s="61">
        <f t="shared" ca="1" si="0"/>
        <v>2</v>
      </c>
      <c r="R16" s="61" t="str">
        <f t="shared" ca="1" si="1"/>
        <v/>
      </c>
      <c r="S16" s="61" t="str">
        <f t="shared" ca="1" si="2"/>
        <v/>
      </c>
      <c r="T16" s="61" t="str">
        <f t="shared" ca="1" si="3"/>
        <v/>
      </c>
      <c r="U16" s="61" t="str">
        <f t="shared" ca="1" si="4"/>
        <v/>
      </c>
      <c r="V16" s="61"/>
      <c r="W16" s="61"/>
      <c r="X16" s="61"/>
      <c r="Y16" s="61" t="str">
        <f ca="1">IFERROR(__xludf.dummyfunction("IF(W16="""","""",QUERY(Hallazgos!C:I,""SELECT max(H) WHERE E CONTAINS 'Activo:""&amp;W16&amp;""' LABEL max(H) ''""))"),"")</f>
        <v/>
      </c>
      <c r="Z16" s="61"/>
      <c r="AA16" s="61"/>
      <c r="AB16" s="61" t="str">
        <f ca="1">IFERROR(__xludf.dummyfunction("IF(Z16="""","""",QUERY(Hallazgos!C:I,""SELECT max(H) WHERE E CONTAINS 'Alcance:""&amp;Z16&amp;""' LABEL max(H) ''""))"),"")</f>
        <v/>
      </c>
    </row>
    <row r="17" spans="1:28" x14ac:dyDescent="0.2">
      <c r="A17" s="59"/>
      <c r="B17" s="44"/>
      <c r="C17" s="41"/>
      <c r="D17" s="59"/>
      <c r="E17" s="62"/>
      <c r="F17" s="40">
        <f t="shared" si="5"/>
        <v>0</v>
      </c>
      <c r="G17" s="40">
        <f t="shared" si="6"/>
        <v>0</v>
      </c>
      <c r="H17" s="40">
        <f t="shared" si="7"/>
        <v>0</v>
      </c>
      <c r="I17" s="41"/>
      <c r="J17" s="41"/>
      <c r="K17" s="41"/>
      <c r="L17" s="41" t="str">
        <f ca="1">IFERROR(__xludf.dummyfunction("IF(I17="""","""",QUERY(Hallazgos!D:I,""SELECT max(J) WHERE G CONTAINS '""&amp;I17&amp;""' LABEL max(J) ''""))"),"")</f>
        <v/>
      </c>
      <c r="M17" s="41"/>
      <c r="N17" s="41"/>
      <c r="O17" s="41"/>
      <c r="P17" s="61"/>
      <c r="Q17" s="61">
        <f t="shared" ca="1" si="0"/>
        <v>2</v>
      </c>
      <c r="R17" s="61" t="str">
        <f t="shared" ca="1" si="1"/>
        <v/>
      </c>
      <c r="S17" s="61" t="str">
        <f t="shared" ca="1" si="2"/>
        <v/>
      </c>
      <c r="T17" s="61" t="str">
        <f t="shared" ca="1" si="3"/>
        <v/>
      </c>
      <c r="U17" s="61" t="str">
        <f t="shared" ca="1" si="4"/>
        <v/>
      </c>
      <c r="V17" s="61"/>
      <c r="W17" s="61"/>
      <c r="X17" s="61"/>
      <c r="Y17" s="61" t="str">
        <f ca="1">IFERROR(__xludf.dummyfunction("IF(W17="""","""",QUERY(Hallazgos!C:I,""SELECT max(H) WHERE E CONTAINS 'Activo:""&amp;W17&amp;""' LABEL max(H) ''""))"),"")</f>
        <v/>
      </c>
      <c r="Z17" s="61"/>
      <c r="AA17" s="61"/>
      <c r="AB17" s="61" t="str">
        <f ca="1">IFERROR(__xludf.dummyfunction("IF(Z17="""","""",QUERY(Hallazgos!C:I,""SELECT max(H) WHERE E CONTAINS 'Alcance:""&amp;Z17&amp;""' LABEL max(H) ''""))"),"")</f>
        <v/>
      </c>
    </row>
    <row r="18" spans="1:28" x14ac:dyDescent="0.2">
      <c r="A18" s="59"/>
      <c r="B18" s="44"/>
      <c r="C18" s="41"/>
      <c r="D18" s="59"/>
      <c r="E18" s="62"/>
      <c r="F18" s="40">
        <f t="shared" si="5"/>
        <v>0</v>
      </c>
      <c r="G18" s="40">
        <f t="shared" si="6"/>
        <v>0</v>
      </c>
      <c r="H18" s="40">
        <f t="shared" si="7"/>
        <v>0</v>
      </c>
      <c r="I18" s="41"/>
      <c r="J18" s="41"/>
      <c r="K18" s="41"/>
      <c r="L18" s="41" t="str">
        <f ca="1">IFERROR(__xludf.dummyfunction("IF(I18="""","""",QUERY(Hallazgos!D:I,""SELECT max(J) WHERE G CONTAINS '""&amp;I18&amp;""' LABEL max(J) ''""))"),"")</f>
        <v/>
      </c>
      <c r="M18" s="41"/>
      <c r="N18" s="41"/>
      <c r="O18" s="41"/>
      <c r="P18" s="61"/>
      <c r="Q18" s="61">
        <f t="shared" ca="1" si="0"/>
        <v>2</v>
      </c>
      <c r="R18" s="61" t="str">
        <f t="shared" ca="1" si="1"/>
        <v/>
      </c>
      <c r="S18" s="61" t="str">
        <f t="shared" ca="1" si="2"/>
        <v/>
      </c>
      <c r="T18" s="61" t="str">
        <f t="shared" ca="1" si="3"/>
        <v/>
      </c>
      <c r="U18" s="61" t="str">
        <f t="shared" ca="1" si="4"/>
        <v/>
      </c>
      <c r="V18" s="61"/>
      <c r="W18" s="61"/>
      <c r="X18" s="61"/>
      <c r="Y18" s="61" t="str">
        <f ca="1">IFERROR(__xludf.dummyfunction("IF(W18="""","""",QUERY(Hallazgos!C:I,""SELECT max(H) WHERE E CONTAINS 'Activo:""&amp;W18&amp;""' LABEL max(H) ''""))"),"")</f>
        <v/>
      </c>
      <c r="Z18" s="61"/>
      <c r="AA18" s="61"/>
      <c r="AB18" s="61" t="str">
        <f ca="1">IFERROR(__xludf.dummyfunction("IF(Z18="""","""",QUERY(Hallazgos!C:I,""SELECT max(H) WHERE E CONTAINS 'Alcance:""&amp;Z18&amp;""' LABEL max(H) ''""))"),"")</f>
        <v/>
      </c>
    </row>
    <row r="19" spans="1:28" x14ac:dyDescent="0.2">
      <c r="A19" s="59"/>
      <c r="B19" s="44"/>
      <c r="C19" s="41"/>
      <c r="D19" s="59"/>
      <c r="E19" s="62"/>
      <c r="F19" s="40">
        <f t="shared" si="5"/>
        <v>0</v>
      </c>
      <c r="G19" s="40">
        <f t="shared" si="6"/>
        <v>0</v>
      </c>
      <c r="H19" s="40">
        <f t="shared" si="7"/>
        <v>0</v>
      </c>
      <c r="I19" s="41"/>
      <c r="J19" s="41"/>
      <c r="K19" s="41"/>
      <c r="L19" s="41" t="str">
        <f ca="1">IFERROR(__xludf.dummyfunction("IF(I19="""","""",QUERY(Hallazgos!D:I,""SELECT max(J) WHERE G CONTAINS '""&amp;I19&amp;""' LABEL max(J) ''""))"),"")</f>
        <v/>
      </c>
      <c r="M19" s="41"/>
      <c r="N19" s="41"/>
      <c r="O19" s="41"/>
      <c r="P19" s="61"/>
      <c r="Q19" s="61">
        <f t="shared" ca="1" si="0"/>
        <v>2</v>
      </c>
      <c r="R19" s="61" t="str">
        <f t="shared" ca="1" si="1"/>
        <v/>
      </c>
      <c r="S19" s="61" t="str">
        <f t="shared" ca="1" si="2"/>
        <v/>
      </c>
      <c r="T19" s="61" t="str">
        <f t="shared" ca="1" si="3"/>
        <v/>
      </c>
      <c r="U19" s="61" t="str">
        <f t="shared" ca="1" si="4"/>
        <v/>
      </c>
      <c r="V19" s="61"/>
      <c r="W19" s="61"/>
      <c r="X19" s="61"/>
      <c r="Y19" s="61" t="str">
        <f ca="1">IFERROR(__xludf.dummyfunction("IF(W19="""","""",QUERY(Hallazgos!C:I,""SELECT max(H) WHERE E CONTAINS 'Activo:""&amp;W19&amp;""' LABEL max(H) ''""))"),"")</f>
        <v/>
      </c>
      <c r="Z19" s="61"/>
      <c r="AA19" s="61"/>
      <c r="AB19" s="61" t="str">
        <f ca="1">IFERROR(__xludf.dummyfunction("IF(Z19="""","""",QUERY(Hallazgos!C:I,""SELECT max(H) WHERE E CONTAINS 'Alcance:""&amp;Z19&amp;""' LABEL max(H) ''""))"),"")</f>
        <v/>
      </c>
    </row>
    <row r="20" spans="1:28" x14ac:dyDescent="0.2">
      <c r="A20" s="59"/>
      <c r="B20" s="44"/>
      <c r="C20" s="41"/>
      <c r="D20" s="59"/>
      <c r="E20" s="62"/>
      <c r="F20" s="40">
        <f t="shared" si="5"/>
        <v>0</v>
      </c>
      <c r="G20" s="40">
        <f t="shared" si="6"/>
        <v>0</v>
      </c>
      <c r="H20" s="40">
        <f t="shared" si="7"/>
        <v>0</v>
      </c>
      <c r="I20" s="41"/>
      <c r="J20" s="41"/>
      <c r="K20" s="41"/>
      <c r="L20" s="41" t="str">
        <f ca="1">IFERROR(__xludf.dummyfunction("IF(I20="""","""",QUERY(Hallazgos!D:I,""SELECT max(J) WHERE G CONTAINS '""&amp;I20&amp;""' LABEL max(J) ''""))"),"")</f>
        <v/>
      </c>
      <c r="M20" s="41"/>
      <c r="N20" s="41"/>
      <c r="O20" s="41"/>
      <c r="P20" s="61"/>
      <c r="Q20" s="61">
        <f t="shared" ca="1" si="0"/>
        <v>2</v>
      </c>
      <c r="R20" s="61" t="str">
        <f t="shared" ca="1" si="1"/>
        <v/>
      </c>
      <c r="S20" s="61" t="str">
        <f t="shared" ca="1" si="2"/>
        <v/>
      </c>
      <c r="T20" s="61" t="str">
        <f t="shared" ca="1" si="3"/>
        <v/>
      </c>
      <c r="U20" s="61" t="str">
        <f t="shared" ca="1" si="4"/>
        <v/>
      </c>
      <c r="V20" s="61"/>
      <c r="W20" s="61"/>
      <c r="X20" s="61"/>
      <c r="Y20" s="61" t="str">
        <f ca="1">IFERROR(__xludf.dummyfunction("IF(W20="""","""",QUERY(Hallazgos!C:I,""SELECT max(H) WHERE E CONTAINS 'Activo:""&amp;W20&amp;""' LABEL max(H) ''""))"),"")</f>
        <v/>
      </c>
      <c r="Z20" s="61"/>
      <c r="AA20" s="61"/>
      <c r="AB20" s="61" t="str">
        <f ca="1">IFERROR(__xludf.dummyfunction("IF(Z20="""","""",QUERY(Hallazgos!C:I,""SELECT max(H) WHERE E CONTAINS 'Alcance:""&amp;Z20&amp;""' LABEL max(H) ''""))"),"")</f>
        <v/>
      </c>
    </row>
    <row r="21" spans="1:28" x14ac:dyDescent="0.2">
      <c r="A21" s="59"/>
      <c r="B21" s="44"/>
      <c r="C21" s="41"/>
      <c r="D21" s="59"/>
      <c r="E21" s="62"/>
      <c r="F21" s="40">
        <f t="shared" si="5"/>
        <v>0</v>
      </c>
      <c r="G21" s="40">
        <f t="shared" si="6"/>
        <v>0</v>
      </c>
      <c r="H21" s="40">
        <f t="shared" si="7"/>
        <v>0</v>
      </c>
      <c r="I21" s="41"/>
      <c r="J21" s="41"/>
      <c r="K21" s="41"/>
      <c r="L21" s="41" t="str">
        <f ca="1">IFERROR(__xludf.dummyfunction("IF(I21="""","""",QUERY(Hallazgos!D:I,""SELECT max(J) WHERE G CONTAINS '""&amp;I21&amp;""' LABEL max(J) ''""))"),"")</f>
        <v/>
      </c>
      <c r="M21" s="41"/>
      <c r="N21" s="41"/>
      <c r="O21" s="41"/>
      <c r="P21" s="61"/>
      <c r="Q21" s="61">
        <f t="shared" ca="1" si="0"/>
        <v>2</v>
      </c>
      <c r="R21" s="61" t="str">
        <f t="shared" ca="1" si="1"/>
        <v/>
      </c>
      <c r="S21" s="61" t="str">
        <f t="shared" ca="1" si="2"/>
        <v/>
      </c>
      <c r="T21" s="61" t="str">
        <f t="shared" ca="1" si="3"/>
        <v/>
      </c>
      <c r="U21" s="61" t="str">
        <f t="shared" ca="1" si="4"/>
        <v/>
      </c>
      <c r="V21" s="61"/>
      <c r="W21" s="61"/>
      <c r="X21" s="61"/>
      <c r="Y21" s="61" t="str">
        <f ca="1">IFERROR(__xludf.dummyfunction("IF(W21="""","""",QUERY(Hallazgos!C:I,""SELECT max(H) WHERE E CONTAINS 'Activo:""&amp;W21&amp;""' LABEL max(H) ''""))"),"")</f>
        <v/>
      </c>
      <c r="Z21" s="61"/>
      <c r="AA21" s="61"/>
      <c r="AB21" s="61" t="str">
        <f ca="1">IFERROR(__xludf.dummyfunction("IF(Z21="""","""",QUERY(Hallazgos!C:I,""SELECT max(H) WHERE E CONTAINS 'Alcance:""&amp;Z21&amp;""' LABEL max(H) ''""))"),"")</f>
        <v/>
      </c>
    </row>
    <row r="22" spans="1:28" x14ac:dyDescent="0.2">
      <c r="A22" s="59"/>
      <c r="B22" s="44"/>
      <c r="C22" s="41"/>
      <c r="D22" s="59"/>
      <c r="E22" s="62"/>
      <c r="F22" s="40">
        <f t="shared" si="5"/>
        <v>0</v>
      </c>
      <c r="G22" s="40">
        <f t="shared" si="6"/>
        <v>0</v>
      </c>
      <c r="H22" s="40">
        <f t="shared" si="7"/>
        <v>0</v>
      </c>
      <c r="I22" s="41"/>
      <c r="J22" s="41"/>
      <c r="K22" s="41"/>
      <c r="L22" s="41" t="str">
        <f ca="1">IFERROR(__xludf.dummyfunction("IF(I22="""","""",QUERY(Hallazgos!D:I,""SELECT max(J) WHERE G CONTAINS '""&amp;I22&amp;""' LABEL max(J) ''""))"),"")</f>
        <v/>
      </c>
      <c r="M22" s="41"/>
      <c r="N22" s="41"/>
      <c r="O22" s="41"/>
      <c r="P22" s="61"/>
      <c r="Q22" s="61">
        <f t="shared" ca="1" si="0"/>
        <v>2</v>
      </c>
      <c r="R22" s="61" t="str">
        <f t="shared" ca="1" si="1"/>
        <v/>
      </c>
      <c r="S22" s="61" t="str">
        <f t="shared" ca="1" si="2"/>
        <v/>
      </c>
      <c r="T22" s="61" t="str">
        <f t="shared" ca="1" si="3"/>
        <v/>
      </c>
      <c r="U22" s="61" t="str">
        <f t="shared" ca="1" si="4"/>
        <v/>
      </c>
      <c r="V22" s="61"/>
      <c r="W22" s="61"/>
      <c r="X22" s="61"/>
      <c r="Y22" s="61" t="str">
        <f ca="1">IFERROR(__xludf.dummyfunction("IF(W22="""","""",QUERY(Hallazgos!C:I,""SELECT max(H) WHERE E CONTAINS 'Activo:""&amp;W22&amp;""' LABEL max(H) ''""))"),"")</f>
        <v/>
      </c>
      <c r="Z22" s="61"/>
      <c r="AA22" s="61"/>
      <c r="AB22" s="61" t="str">
        <f ca="1">IFERROR(__xludf.dummyfunction("IF(Z22="""","""",QUERY(Hallazgos!C:I,""SELECT max(H) WHERE E CONTAINS 'Alcance:""&amp;Z22&amp;""' LABEL max(H) ''""))"),"")</f>
        <v/>
      </c>
    </row>
    <row r="23" spans="1:28" x14ac:dyDescent="0.25">
      <c r="A23" s="59"/>
      <c r="B23" s="44"/>
      <c r="C23" s="41"/>
      <c r="D23" s="59"/>
      <c r="E23" s="62"/>
      <c r="F23" s="61"/>
      <c r="G23" s="41" t="str">
        <f>LEFT(F23,3)</f>
        <v/>
      </c>
      <c r="H23" s="41" t="str">
        <f>LEFT(F23,3)</f>
        <v/>
      </c>
      <c r="I23" s="41"/>
      <c r="J23" s="41"/>
      <c r="K23" s="41"/>
      <c r="L23" s="41" t="str">
        <f ca="1">IFERROR(__xludf.dummyfunction("IF(I23="""","""",QUERY(Hallazgos!D:I,""SELECT max(J) WHERE G CONTAINS '""&amp;I23&amp;""' LABEL max(J) ''""))"),"")</f>
        <v/>
      </c>
      <c r="M23" s="41"/>
      <c r="N23" s="41"/>
      <c r="O23" s="41"/>
      <c r="P23" s="61"/>
      <c r="Q23" s="61">
        <f t="shared" ca="1" si="0"/>
        <v>2</v>
      </c>
      <c r="R23" s="61" t="str">
        <f t="shared" ca="1" si="1"/>
        <v/>
      </c>
      <c r="S23" s="61" t="str">
        <f t="shared" ca="1" si="2"/>
        <v/>
      </c>
      <c r="T23" s="61" t="str">
        <f t="shared" ca="1" si="3"/>
        <v/>
      </c>
      <c r="U23" s="61" t="str">
        <f t="shared" ca="1" si="4"/>
        <v/>
      </c>
      <c r="V23" s="61"/>
      <c r="W23" s="61"/>
      <c r="X23" s="61"/>
      <c r="Y23" s="61" t="str">
        <f ca="1">IFERROR(__xludf.dummyfunction("IF(W23="""","""",QUERY(Hallazgos!C:I,""SELECT max(H) WHERE E CONTAINS 'Activo:""&amp;W23&amp;""' LABEL max(H) ''""))"),"")</f>
        <v/>
      </c>
      <c r="Z23" s="61"/>
      <c r="AA23" s="61"/>
      <c r="AB23" s="61" t="str">
        <f ca="1">IFERROR(__xludf.dummyfunction("IF(Z23="""","""",QUERY(Hallazgos!C:I,""SELECT max(H) WHERE E CONTAINS 'Alcance:""&amp;Z23&amp;""' LABEL max(H) ''""))"),"")</f>
        <v/>
      </c>
    </row>
    <row r="24" spans="1:28" x14ac:dyDescent="0.25">
      <c r="A24" s="59" t="s">
        <v>937</v>
      </c>
      <c r="B24" s="60" t="s">
        <v>927</v>
      </c>
      <c r="C24" s="41"/>
      <c r="D24" s="59" t="s">
        <v>928</v>
      </c>
      <c r="E24" s="59" t="s">
        <v>937</v>
      </c>
      <c r="F24" s="44" t="s">
        <v>929</v>
      </c>
      <c r="G24" s="44" t="s">
        <v>930</v>
      </c>
      <c r="H24" s="44" t="s">
        <v>931</v>
      </c>
      <c r="I24" s="41"/>
      <c r="J24" s="41"/>
      <c r="K24" s="41"/>
      <c r="L24" s="41" t="str">
        <f ca="1">IFERROR(__xludf.dummyfunction("IF(I24="""","""",QUERY(Hallazgos!D:I,""SELECT max(J) WHERE G CONTAINS '""&amp;I24&amp;""' LABEL max(J) ''""))"),"")</f>
        <v/>
      </c>
      <c r="M24" s="41"/>
      <c r="N24" s="41"/>
      <c r="O24" s="41"/>
      <c r="P24" s="61"/>
      <c r="Q24" s="61">
        <f t="shared" ca="1" si="0"/>
        <v>2</v>
      </c>
      <c r="R24" s="61" t="str">
        <f t="shared" ca="1" si="1"/>
        <v/>
      </c>
      <c r="S24" s="61" t="str">
        <f t="shared" ca="1" si="2"/>
        <v/>
      </c>
      <c r="T24" s="61" t="str">
        <f t="shared" ca="1" si="3"/>
        <v/>
      </c>
      <c r="U24" s="61" t="str">
        <f t="shared" ca="1" si="4"/>
        <v/>
      </c>
      <c r="V24" s="61"/>
      <c r="W24" s="61"/>
      <c r="X24" s="61"/>
      <c r="Y24" s="61" t="str">
        <f ca="1">IFERROR(__xludf.dummyfunction("IF(W24="""","""",QUERY(Hallazgos!C:I,""SELECT max(H) WHERE E CONTAINS 'Activo:""&amp;W24&amp;""' LABEL max(H) ''""))"),"")</f>
        <v/>
      </c>
      <c r="Z24" s="61"/>
      <c r="AA24" s="61"/>
      <c r="AB24" s="61" t="str">
        <f ca="1">IFERROR(__xludf.dummyfunction("IF(Z24="""","""",QUERY(Hallazgos!C:I,""SELECT max(H) WHERE E CONTAINS 'Alcance:""&amp;Z24&amp;""' LABEL max(H) ''""))"),"")</f>
        <v/>
      </c>
    </row>
    <row r="25" spans="1:28" x14ac:dyDescent="0.2">
      <c r="A25" s="59" t="str">
        <f ca="1">IFERROR(__xludf.dummyfunction("QUERY(W:X,""SELECT W, X WHERE W &lt;&gt;'' ORDER BY X DESC"")"),"#REF!")</f>
        <v>#REF!</v>
      </c>
      <c r="B25" s="44">
        <v>1</v>
      </c>
      <c r="C25" s="41"/>
      <c r="D25" s="59" t="str">
        <f ca="1">IFERROR(__xludf.dummyfunction("QUERY(W:Y,""SELECT Y, W WHERE W&lt;&gt;'' ORDER BY Y DESC"")"),"#REF!")</f>
        <v>#REF!</v>
      </c>
      <c r="E25" s="62" t="s">
        <v>14</v>
      </c>
      <c r="F25" s="40" t="str">
        <f t="shared" ref="F25:F43" ca="1" si="8">IF(D25&gt;6.9,D25,0)</f>
        <v>#REF!</v>
      </c>
      <c r="G25" s="40">
        <f t="shared" ref="G25:G43" ca="1" si="9">IF(AND(D25&lt;7,D25&gt;3.9),D25,0)</f>
        <v>0</v>
      </c>
      <c r="H25" s="40">
        <f t="shared" ref="H25:H43" ca="1" si="10">IF(D25&lt;4,D25,0)</f>
        <v>0</v>
      </c>
      <c r="I25" s="41"/>
      <c r="J25" s="41"/>
      <c r="K25" s="41"/>
      <c r="L25" s="41" t="str">
        <f ca="1">IFERROR(__xludf.dummyfunction("IF(I25="""","""",QUERY(Hallazgos!D:I,""SELECT max(J) WHERE G CONTAINS '""&amp;I25&amp;""' LABEL max(J) ''""))"),"")</f>
        <v/>
      </c>
      <c r="M25" s="41"/>
      <c r="N25" s="41"/>
      <c r="O25" s="41"/>
      <c r="P25" s="61"/>
      <c r="Q25" s="61">
        <f t="shared" ca="1" si="0"/>
        <v>2</v>
      </c>
      <c r="R25" s="61" t="str">
        <f t="shared" ca="1" si="1"/>
        <v/>
      </c>
      <c r="S25" s="61" t="str">
        <f t="shared" ca="1" si="2"/>
        <v/>
      </c>
      <c r="T25" s="61" t="str">
        <f t="shared" ca="1" si="3"/>
        <v/>
      </c>
      <c r="U25" s="61" t="str">
        <f t="shared" ca="1" si="4"/>
        <v/>
      </c>
      <c r="V25" s="61"/>
      <c r="W25" s="61"/>
      <c r="X25" s="61"/>
      <c r="Y25" s="61" t="str">
        <f ca="1">IFERROR(__xludf.dummyfunction("IF(W25="""","""",QUERY(Hallazgos!C:I,""SELECT max(H) WHERE E CONTAINS 'Activo:""&amp;W25&amp;""' LABEL max(H) ''""))"),"")</f>
        <v/>
      </c>
      <c r="Z25" s="61"/>
      <c r="AA25" s="61"/>
      <c r="AB25" s="61" t="str">
        <f ca="1">IFERROR(__xludf.dummyfunction("IF(Z25="""","""",QUERY(Hallazgos!C:I,""SELECT max(H) WHERE E CONTAINS 'Alcance:""&amp;Z25&amp;""' LABEL max(H) ''""))"),"")</f>
        <v/>
      </c>
    </row>
    <row r="26" spans="1:28" x14ac:dyDescent="0.2">
      <c r="A26" s="59" t="s">
        <v>95</v>
      </c>
      <c r="B26" s="44">
        <v>1</v>
      </c>
      <c r="C26" s="41"/>
      <c r="D26" s="59">
        <v>10</v>
      </c>
      <c r="E26" s="62" t="s">
        <v>95</v>
      </c>
      <c r="F26" s="40">
        <f t="shared" si="8"/>
        <v>10</v>
      </c>
      <c r="G26" s="40">
        <f t="shared" si="9"/>
        <v>0</v>
      </c>
      <c r="H26" s="40">
        <f t="shared" si="10"/>
        <v>0</v>
      </c>
      <c r="I26" s="41"/>
      <c r="J26" s="41"/>
      <c r="K26" s="41"/>
      <c r="L26" s="41"/>
      <c r="M26" s="41"/>
      <c r="N26" s="41"/>
      <c r="O26" s="41"/>
      <c r="P26" s="61"/>
      <c r="Q26" s="61">
        <f t="shared" ca="1" si="0"/>
        <v>2</v>
      </c>
      <c r="R26" s="61" t="str">
        <f t="shared" ca="1" si="1"/>
        <v/>
      </c>
      <c r="S26" s="61" t="str">
        <f t="shared" ca="1" si="2"/>
        <v/>
      </c>
      <c r="T26" s="61" t="str">
        <f t="shared" ca="1" si="3"/>
        <v/>
      </c>
      <c r="U26" s="61" t="str">
        <f t="shared" ca="1" si="4"/>
        <v/>
      </c>
      <c r="V26" s="61"/>
      <c r="W26" s="61"/>
      <c r="X26" s="61"/>
      <c r="Y26" s="61" t="str">
        <f ca="1">IFERROR(__xludf.dummyfunction("IF(W26="""","""",QUERY(Hallazgos!C:I,""SELECT max(H) WHERE E CONTAINS 'Activo:""&amp;W26&amp;""' LABEL max(H) ''""))"),"")</f>
        <v/>
      </c>
      <c r="Z26" s="61"/>
      <c r="AA26" s="61"/>
      <c r="AB26" s="61" t="str">
        <f ca="1">IFERROR(__xludf.dummyfunction("IF(Z26="""","""",QUERY(Hallazgos!C:I,""SELECT max(H) WHERE E CONTAINS 'Alcance:""&amp;Z26&amp;""' LABEL max(H) ''""))"),"")</f>
        <v/>
      </c>
    </row>
    <row r="27" spans="1:28" x14ac:dyDescent="0.2">
      <c r="A27" s="59" t="s">
        <v>189</v>
      </c>
      <c r="B27" s="44">
        <v>1</v>
      </c>
      <c r="C27" s="41"/>
      <c r="D27" s="59">
        <v>10</v>
      </c>
      <c r="E27" s="62" t="s">
        <v>189</v>
      </c>
      <c r="F27" s="40">
        <f t="shared" si="8"/>
        <v>10</v>
      </c>
      <c r="G27" s="40">
        <f t="shared" si="9"/>
        <v>0</v>
      </c>
      <c r="H27" s="40">
        <f t="shared" si="10"/>
        <v>0</v>
      </c>
      <c r="I27" s="41"/>
      <c r="J27" s="41"/>
      <c r="K27" s="41"/>
      <c r="L27" s="41"/>
      <c r="M27" s="41"/>
      <c r="N27" s="41"/>
      <c r="O27" s="41"/>
      <c r="P27" s="61"/>
      <c r="Q27" s="61">
        <f t="shared" ca="1" si="0"/>
        <v>2</v>
      </c>
      <c r="R27" s="61" t="str">
        <f t="shared" ca="1" si="1"/>
        <v/>
      </c>
      <c r="S27" s="61" t="str">
        <f t="shared" ca="1" si="2"/>
        <v/>
      </c>
      <c r="T27" s="61" t="str">
        <f t="shared" ca="1" si="3"/>
        <v/>
      </c>
      <c r="U27" s="61" t="str">
        <f t="shared" ca="1" si="4"/>
        <v/>
      </c>
      <c r="V27" s="61"/>
      <c r="W27" s="61"/>
      <c r="X27" s="61"/>
      <c r="Y27" s="61" t="str">
        <f ca="1">IFERROR(__xludf.dummyfunction("IF(W27="""","""",QUERY(Hallazgos!C:I,""SELECT max(H) WHERE E CONTAINS 'Activo:""&amp;W27&amp;""' LABEL max(H) ''""))"),"")</f>
        <v/>
      </c>
      <c r="Z27" s="61"/>
      <c r="AA27" s="61"/>
      <c r="AB27" s="61" t="str">
        <f ca="1">IFERROR(__xludf.dummyfunction("IF(Z27="""","""",QUERY(Hallazgos!C:I,""SELECT max(H) WHERE E CONTAINS 'Alcance:""&amp;Z27&amp;""' LABEL max(H) ''""))"),"")</f>
        <v/>
      </c>
    </row>
    <row r="28" spans="1:28" x14ac:dyDescent="0.2">
      <c r="A28" s="59" t="s">
        <v>352</v>
      </c>
      <c r="B28" s="44">
        <v>1</v>
      </c>
      <c r="C28" s="41"/>
      <c r="D28" s="59">
        <v>10</v>
      </c>
      <c r="E28" s="62" t="s">
        <v>352</v>
      </c>
      <c r="F28" s="40">
        <f t="shared" si="8"/>
        <v>10</v>
      </c>
      <c r="G28" s="40">
        <f t="shared" si="9"/>
        <v>0</v>
      </c>
      <c r="H28" s="40">
        <f t="shared" si="10"/>
        <v>0</v>
      </c>
      <c r="I28" s="41"/>
      <c r="J28" s="41"/>
      <c r="K28" s="41"/>
      <c r="L28" s="41"/>
      <c r="M28" s="41"/>
      <c r="N28" s="41"/>
      <c r="O28" s="41"/>
      <c r="P28" s="61"/>
      <c r="Q28" s="61">
        <f t="shared" ca="1" si="0"/>
        <v>2</v>
      </c>
      <c r="R28" s="61" t="str">
        <f t="shared" ca="1" si="1"/>
        <v/>
      </c>
      <c r="S28" s="61" t="str">
        <f t="shared" ca="1" si="2"/>
        <v/>
      </c>
      <c r="T28" s="61" t="str">
        <f t="shared" ca="1" si="3"/>
        <v/>
      </c>
      <c r="U28" s="61" t="str">
        <f t="shared" ca="1" si="4"/>
        <v/>
      </c>
      <c r="V28" s="61"/>
      <c r="W28" s="61"/>
      <c r="X28" s="61"/>
      <c r="Y28" s="61" t="str">
        <f ca="1">IFERROR(__xludf.dummyfunction("IF(W28="""","""",QUERY(Hallazgos!C:I,""SELECT max(H) WHERE E CONTAINS 'Activo:""&amp;W28&amp;""' LABEL max(H) ''""))"),"")</f>
        <v/>
      </c>
      <c r="Z28" s="61"/>
      <c r="AA28" s="61"/>
      <c r="AB28" s="61" t="str">
        <f ca="1">IFERROR(__xludf.dummyfunction("IF(Z28="""","""",QUERY(Hallazgos!C:I,""SELECT max(H) WHERE E CONTAINS 'Alcance:""&amp;Z28&amp;""' LABEL max(H) ''""))"),"")</f>
        <v/>
      </c>
    </row>
    <row r="29" spans="1:28" x14ac:dyDescent="0.2">
      <c r="A29" s="59" t="s">
        <v>790</v>
      </c>
      <c r="B29" s="44">
        <v>1</v>
      </c>
      <c r="C29" s="41"/>
      <c r="D29" s="59">
        <v>10</v>
      </c>
      <c r="E29" s="62" t="s">
        <v>790</v>
      </c>
      <c r="F29" s="40">
        <f t="shared" si="8"/>
        <v>10</v>
      </c>
      <c r="G29" s="40">
        <f t="shared" si="9"/>
        <v>0</v>
      </c>
      <c r="H29" s="40">
        <f t="shared" si="10"/>
        <v>0</v>
      </c>
      <c r="I29" s="41"/>
      <c r="J29" s="41"/>
      <c r="K29" s="41"/>
      <c r="L29" s="41"/>
      <c r="M29" s="41"/>
      <c r="N29" s="41"/>
      <c r="O29" s="41"/>
      <c r="P29" s="61"/>
      <c r="Q29" s="61">
        <f t="shared" ca="1" si="0"/>
        <v>2</v>
      </c>
      <c r="R29" s="61" t="str">
        <f t="shared" ca="1" si="1"/>
        <v/>
      </c>
      <c r="S29" s="61" t="str">
        <f t="shared" ca="1" si="2"/>
        <v/>
      </c>
      <c r="T29" s="61" t="str">
        <f t="shared" ca="1" si="3"/>
        <v/>
      </c>
      <c r="U29" s="61" t="str">
        <f t="shared" ca="1" si="4"/>
        <v/>
      </c>
      <c r="V29" s="61"/>
      <c r="W29" s="61"/>
      <c r="X29" s="61"/>
      <c r="Y29" s="61" t="str">
        <f ca="1">IFERROR(__xludf.dummyfunction("IF(W29="""","""",QUERY(Hallazgos!C:I,""SELECT max(H) WHERE E CONTAINS 'Activo:""&amp;W29&amp;""' LABEL max(H) ''""))"),"")</f>
        <v/>
      </c>
      <c r="Z29" s="61"/>
      <c r="AA29" s="61"/>
      <c r="AB29" s="61" t="str">
        <f ca="1">IFERROR(__xludf.dummyfunction("IF(Z29="""","""",QUERY(Hallazgos!C:I,""SELECT max(H) WHERE E CONTAINS 'Alcance:""&amp;Z29&amp;""' LABEL max(H) ''""))"),"")</f>
        <v/>
      </c>
    </row>
    <row r="30" spans="1:28" x14ac:dyDescent="0.2">
      <c r="A30" s="59"/>
      <c r="B30" s="44"/>
      <c r="C30" s="41"/>
      <c r="D30" s="59"/>
      <c r="E30" s="62"/>
      <c r="F30" s="40">
        <f t="shared" si="8"/>
        <v>0</v>
      </c>
      <c r="G30" s="40">
        <f t="shared" si="9"/>
        <v>0</v>
      </c>
      <c r="H30" s="40">
        <f t="shared" si="10"/>
        <v>0</v>
      </c>
      <c r="I30" s="41"/>
      <c r="J30" s="41"/>
      <c r="K30" s="41"/>
      <c r="L30" s="41"/>
      <c r="M30" s="41"/>
      <c r="N30" s="41"/>
      <c r="O30" s="41"/>
      <c r="P30" s="61"/>
      <c r="Q30" s="61">
        <f t="shared" ca="1" si="0"/>
        <v>2</v>
      </c>
      <c r="R30" s="61" t="str">
        <f t="shared" ca="1" si="1"/>
        <v/>
      </c>
      <c r="S30" s="61" t="str">
        <f t="shared" ca="1" si="2"/>
        <v/>
      </c>
      <c r="T30" s="61" t="str">
        <f t="shared" ca="1" si="3"/>
        <v/>
      </c>
      <c r="U30" s="61" t="str">
        <f t="shared" ca="1" si="4"/>
        <v/>
      </c>
      <c r="V30" s="61"/>
      <c r="W30" s="61"/>
      <c r="X30" s="61"/>
      <c r="Y30" s="61" t="str">
        <f ca="1">IFERROR(__xludf.dummyfunction("IF(W30="""","""",QUERY(Hallazgos!C:I,""SELECT max(H) WHERE E CONTAINS 'Activo:""&amp;W30&amp;""' LABEL max(H) ''""))"),"")</f>
        <v/>
      </c>
      <c r="Z30" s="61"/>
      <c r="AA30" s="61"/>
      <c r="AB30" s="61" t="str">
        <f ca="1">IFERROR(__xludf.dummyfunction("IF(Z30="""","""",QUERY(Hallazgos!C:I,""SELECT max(H) WHERE E CONTAINS 'Alcance:""&amp;Z30&amp;""' LABEL max(H) ''""))"),"")</f>
        <v/>
      </c>
    </row>
    <row r="31" spans="1:28" x14ac:dyDescent="0.2">
      <c r="A31" s="59"/>
      <c r="B31" s="44"/>
      <c r="C31" s="41"/>
      <c r="D31" s="59"/>
      <c r="E31" s="62"/>
      <c r="F31" s="40">
        <f t="shared" si="8"/>
        <v>0</v>
      </c>
      <c r="G31" s="40">
        <f t="shared" si="9"/>
        <v>0</v>
      </c>
      <c r="H31" s="40">
        <f t="shared" si="10"/>
        <v>0</v>
      </c>
      <c r="I31" s="41"/>
      <c r="J31" s="41"/>
      <c r="K31" s="41"/>
      <c r="L31" s="41"/>
      <c r="M31" s="41"/>
      <c r="N31" s="41"/>
      <c r="O31" s="41"/>
      <c r="P31" s="61"/>
      <c r="Q31" s="61">
        <f t="shared" ca="1" si="0"/>
        <v>2</v>
      </c>
      <c r="R31" s="61" t="str">
        <f t="shared" ca="1" si="1"/>
        <v/>
      </c>
      <c r="S31" s="61" t="str">
        <f t="shared" ca="1" si="2"/>
        <v/>
      </c>
      <c r="T31" s="61" t="str">
        <f t="shared" ca="1" si="3"/>
        <v/>
      </c>
      <c r="U31" s="61" t="str">
        <f t="shared" ca="1" si="4"/>
        <v/>
      </c>
      <c r="V31" s="61"/>
      <c r="W31" s="61"/>
      <c r="X31" s="61"/>
      <c r="Y31" s="61" t="str">
        <f ca="1">IFERROR(__xludf.dummyfunction("IF(W31="""","""",QUERY(Hallazgos!C:I,""SELECT max(H) WHERE E CONTAINS 'Activo:""&amp;W31&amp;""' LABEL max(H) ''""))"),"")</f>
        <v/>
      </c>
      <c r="Z31" s="61"/>
      <c r="AA31" s="61"/>
      <c r="AB31" s="61" t="str">
        <f ca="1">IFERROR(__xludf.dummyfunction("IF(Z31="""","""",QUERY(Hallazgos!C:I,""SELECT max(H) WHERE E CONTAINS 'Alcance:""&amp;Z31&amp;""' LABEL max(H) ''""))"),"")</f>
        <v/>
      </c>
    </row>
    <row r="32" spans="1:28" x14ac:dyDescent="0.2">
      <c r="A32" s="59"/>
      <c r="B32" s="44"/>
      <c r="C32" s="41"/>
      <c r="D32" s="59"/>
      <c r="E32" s="62"/>
      <c r="F32" s="40">
        <f t="shared" si="8"/>
        <v>0</v>
      </c>
      <c r="G32" s="40">
        <f t="shared" si="9"/>
        <v>0</v>
      </c>
      <c r="H32" s="40">
        <f t="shared" si="10"/>
        <v>0</v>
      </c>
      <c r="I32" s="41"/>
      <c r="J32" s="41"/>
      <c r="K32" s="41"/>
      <c r="L32" s="41"/>
      <c r="M32" s="41"/>
      <c r="N32" s="41"/>
      <c r="O32" s="41"/>
      <c r="P32" s="61"/>
      <c r="Q32" s="61">
        <f t="shared" ca="1" si="0"/>
        <v>2</v>
      </c>
      <c r="R32" s="61" t="str">
        <f t="shared" ca="1" si="1"/>
        <v/>
      </c>
      <c r="S32" s="61" t="str">
        <f t="shared" ca="1" si="2"/>
        <v/>
      </c>
      <c r="T32" s="61" t="str">
        <f t="shared" ca="1" si="3"/>
        <v/>
      </c>
      <c r="U32" s="61" t="str">
        <f t="shared" ca="1" si="4"/>
        <v/>
      </c>
      <c r="V32" s="61"/>
      <c r="W32" s="61"/>
      <c r="X32" s="61"/>
      <c r="Y32" s="61" t="str">
        <f ca="1">IFERROR(__xludf.dummyfunction("IF(W32="""","""",QUERY(Hallazgos!C:I,""SELECT max(H) WHERE E CONTAINS 'Activo:""&amp;W32&amp;""' LABEL max(H) ''""))"),"")</f>
        <v/>
      </c>
      <c r="Z32" s="61"/>
      <c r="AA32" s="61"/>
      <c r="AB32" s="61" t="str">
        <f ca="1">IFERROR(__xludf.dummyfunction("IF(Z32="""","""",QUERY(Hallazgos!C:I,""SELECT max(H) WHERE E CONTAINS 'Alcance:""&amp;Z32&amp;""' LABEL max(H) ''""))"),"")</f>
        <v/>
      </c>
    </row>
    <row r="33" spans="1:28" x14ac:dyDescent="0.2">
      <c r="A33" s="59"/>
      <c r="B33" s="44"/>
      <c r="C33" s="41"/>
      <c r="D33" s="59"/>
      <c r="E33" s="62"/>
      <c r="F33" s="40">
        <f t="shared" si="8"/>
        <v>0</v>
      </c>
      <c r="G33" s="40">
        <f t="shared" si="9"/>
        <v>0</v>
      </c>
      <c r="H33" s="40">
        <f t="shared" si="10"/>
        <v>0</v>
      </c>
      <c r="I33" s="41"/>
      <c r="J33" s="41"/>
      <c r="K33" s="41"/>
      <c r="L33" s="41"/>
      <c r="M33" s="41"/>
      <c r="N33" s="41"/>
      <c r="O33" s="41"/>
      <c r="P33" s="61"/>
      <c r="Q33" s="61">
        <f t="shared" ca="1" si="0"/>
        <v>2</v>
      </c>
      <c r="R33" s="61" t="str">
        <f t="shared" ca="1" si="1"/>
        <v/>
      </c>
      <c r="S33" s="61" t="str">
        <f t="shared" ca="1" si="2"/>
        <v/>
      </c>
      <c r="T33" s="61" t="str">
        <f t="shared" ca="1" si="3"/>
        <v/>
      </c>
      <c r="U33" s="61" t="str">
        <f t="shared" ca="1" si="4"/>
        <v/>
      </c>
      <c r="V33" s="61"/>
      <c r="W33" s="61"/>
      <c r="X33" s="61"/>
      <c r="Y33" s="61" t="str">
        <f ca="1">IFERROR(__xludf.dummyfunction("IF(W33="""","""",QUERY(Hallazgos!C:I,""SELECT max(H) WHERE E CONTAINS 'Activo:""&amp;W33&amp;""' LABEL max(H) ''""))"),"")</f>
        <v/>
      </c>
      <c r="Z33" s="61"/>
      <c r="AA33" s="61"/>
      <c r="AB33" s="61" t="str">
        <f ca="1">IFERROR(__xludf.dummyfunction("IF(Z33="""","""",QUERY(Hallazgos!C:I,""SELECT max(H) WHERE E CONTAINS 'Alcance:""&amp;Z33&amp;""' LABEL max(H) ''""))"),"")</f>
        <v/>
      </c>
    </row>
    <row r="34" spans="1:28" x14ac:dyDescent="0.2">
      <c r="A34" s="59"/>
      <c r="B34" s="44"/>
      <c r="C34" s="41"/>
      <c r="D34" s="59"/>
      <c r="E34" s="62"/>
      <c r="F34" s="40">
        <f t="shared" si="8"/>
        <v>0</v>
      </c>
      <c r="G34" s="40">
        <f t="shared" si="9"/>
        <v>0</v>
      </c>
      <c r="H34" s="40">
        <f t="shared" si="10"/>
        <v>0</v>
      </c>
      <c r="I34" s="41"/>
      <c r="J34" s="41"/>
      <c r="K34" s="41"/>
      <c r="L34" s="41"/>
      <c r="M34" s="41"/>
      <c r="N34" s="41"/>
      <c r="O34" s="41"/>
      <c r="P34" s="61"/>
      <c r="Q34" s="61">
        <f t="shared" ca="1" si="0"/>
        <v>2</v>
      </c>
      <c r="R34" s="61" t="str">
        <f t="shared" ca="1" si="1"/>
        <v/>
      </c>
      <c r="S34" s="61" t="str">
        <f t="shared" ca="1" si="2"/>
        <v/>
      </c>
      <c r="T34" s="61" t="str">
        <f t="shared" ca="1" si="3"/>
        <v/>
      </c>
      <c r="U34" s="61" t="str">
        <f t="shared" ca="1" si="4"/>
        <v/>
      </c>
      <c r="V34" s="61"/>
      <c r="W34" s="61"/>
      <c r="X34" s="61"/>
      <c r="Y34" s="61" t="str">
        <f ca="1">IFERROR(__xludf.dummyfunction("IF(W34="""","""",QUERY(Hallazgos!C:I,""SELECT max(H) WHERE E CONTAINS 'Activo:""&amp;W34&amp;""' LABEL max(H) ''""))"),"")</f>
        <v/>
      </c>
      <c r="Z34" s="61"/>
      <c r="AA34" s="61"/>
      <c r="AB34" s="61" t="str">
        <f ca="1">IFERROR(__xludf.dummyfunction("IF(Z34="""","""",QUERY(Hallazgos!C:I,""SELECT max(H) WHERE E CONTAINS 'Alcance:""&amp;Z34&amp;""' LABEL max(H) ''""))"),"")</f>
        <v/>
      </c>
    </row>
    <row r="35" spans="1:28" x14ac:dyDescent="0.2">
      <c r="A35" s="62"/>
      <c r="B35" s="44"/>
      <c r="C35" s="44"/>
      <c r="D35" s="59"/>
      <c r="E35" s="59"/>
      <c r="F35" s="40">
        <f t="shared" si="8"/>
        <v>0</v>
      </c>
      <c r="G35" s="40">
        <f t="shared" si="9"/>
        <v>0</v>
      </c>
      <c r="H35" s="40">
        <f t="shared" si="10"/>
        <v>0</v>
      </c>
      <c r="I35" s="41"/>
      <c r="J35" s="41"/>
      <c r="K35" s="41"/>
      <c r="L35" s="41"/>
      <c r="M35" s="41"/>
      <c r="N35" s="41"/>
      <c r="O35" s="41"/>
      <c r="P35" s="61"/>
      <c r="Q35" s="61">
        <f t="shared" ca="1" si="0"/>
        <v>2</v>
      </c>
      <c r="R35" s="61" t="str">
        <f t="shared" ca="1" si="1"/>
        <v/>
      </c>
      <c r="S35" s="61" t="str">
        <f t="shared" ca="1" si="2"/>
        <v/>
      </c>
      <c r="T35" s="61" t="str">
        <f t="shared" ca="1" si="3"/>
        <v/>
      </c>
      <c r="U35" s="61" t="str">
        <f t="shared" ca="1" si="4"/>
        <v/>
      </c>
      <c r="V35" s="61"/>
      <c r="W35" s="61"/>
      <c r="X35" s="61"/>
      <c r="Y35" s="61" t="str">
        <f ca="1">IFERROR(__xludf.dummyfunction("IF(W35="""","""",QUERY(Hallazgos!C:I,""SELECT max(H) WHERE E CONTAINS 'Activo:""&amp;W35&amp;""' LABEL max(H) ''""))"),"")</f>
        <v/>
      </c>
      <c r="Z35" s="61"/>
      <c r="AA35" s="61"/>
      <c r="AB35" s="61" t="str">
        <f ca="1">IFERROR(__xludf.dummyfunction("IF(Z35="""","""",QUERY(Hallazgos!C:I,""SELECT max(H) WHERE E CONTAINS 'Alcance:""&amp;Z35&amp;""' LABEL max(H) ''""))"),"")</f>
        <v/>
      </c>
    </row>
    <row r="36" spans="1:28" x14ac:dyDescent="0.2">
      <c r="A36" s="59"/>
      <c r="B36" s="44"/>
      <c r="C36" s="41"/>
      <c r="D36" s="59"/>
      <c r="E36" s="62"/>
      <c r="F36" s="40">
        <f t="shared" si="8"/>
        <v>0</v>
      </c>
      <c r="G36" s="40">
        <f t="shared" si="9"/>
        <v>0</v>
      </c>
      <c r="H36" s="40">
        <f t="shared" si="10"/>
        <v>0</v>
      </c>
      <c r="I36" s="41"/>
      <c r="J36" s="41"/>
      <c r="K36" s="41"/>
      <c r="L36" s="41"/>
      <c r="M36" s="41"/>
      <c r="N36" s="41"/>
      <c r="O36" s="41"/>
      <c r="P36" s="61"/>
      <c r="Q36" s="61">
        <f t="shared" ca="1" si="0"/>
        <v>2</v>
      </c>
      <c r="R36" s="61" t="str">
        <f t="shared" ca="1" si="1"/>
        <v/>
      </c>
      <c r="S36" s="61" t="str">
        <f t="shared" ca="1" si="2"/>
        <v/>
      </c>
      <c r="T36" s="61" t="str">
        <f t="shared" ca="1" si="3"/>
        <v/>
      </c>
      <c r="U36" s="61" t="str">
        <f t="shared" ca="1" si="4"/>
        <v/>
      </c>
      <c r="V36" s="61"/>
      <c r="W36" s="61"/>
      <c r="X36" s="61"/>
      <c r="Y36" s="61" t="str">
        <f ca="1">IFERROR(__xludf.dummyfunction("IF(W36="""","""",QUERY(Hallazgos!C:I,""SELECT max(H) WHERE E CONTAINS 'Activo:""&amp;W36&amp;""' LABEL max(H) ''""))"),"")</f>
        <v/>
      </c>
      <c r="Z36" s="61"/>
      <c r="AA36" s="61"/>
      <c r="AB36" s="61" t="str">
        <f ca="1">IFERROR(__xludf.dummyfunction("IF(Z36="""","""",QUERY(Hallazgos!C:I,""SELECT max(H) WHERE E CONTAINS 'Alcance:""&amp;Z36&amp;""' LABEL max(H) ''""))"),"")</f>
        <v/>
      </c>
    </row>
    <row r="37" spans="1:28" x14ac:dyDescent="0.2">
      <c r="A37" s="59"/>
      <c r="B37" s="44"/>
      <c r="C37" s="41"/>
      <c r="D37" s="59"/>
      <c r="E37" s="62"/>
      <c r="F37" s="40">
        <f t="shared" si="8"/>
        <v>0</v>
      </c>
      <c r="G37" s="40">
        <f t="shared" si="9"/>
        <v>0</v>
      </c>
      <c r="H37" s="40">
        <f t="shared" si="10"/>
        <v>0</v>
      </c>
      <c r="I37" s="41"/>
      <c r="J37" s="41"/>
      <c r="K37" s="41"/>
      <c r="L37" s="41"/>
      <c r="M37" s="41"/>
      <c r="N37" s="41"/>
      <c r="O37" s="41"/>
      <c r="P37" s="61"/>
      <c r="Q37" s="61">
        <f t="shared" ca="1" si="0"/>
        <v>2</v>
      </c>
      <c r="R37" s="61" t="str">
        <f t="shared" ca="1" si="1"/>
        <v/>
      </c>
      <c r="S37" s="61" t="str">
        <f t="shared" ca="1" si="2"/>
        <v/>
      </c>
      <c r="T37" s="61" t="str">
        <f t="shared" ca="1" si="3"/>
        <v/>
      </c>
      <c r="U37" s="61" t="str">
        <f t="shared" ca="1" si="4"/>
        <v/>
      </c>
      <c r="V37" s="61"/>
      <c r="W37" s="61"/>
      <c r="X37" s="61"/>
      <c r="Y37" s="61" t="str">
        <f ca="1">IFERROR(__xludf.dummyfunction("IF(W37="""","""",QUERY(Hallazgos!C:I,""SELECT max(H) WHERE E CONTAINS 'Activo:""&amp;W37&amp;""' LABEL max(H) ''""))"),"")</f>
        <v/>
      </c>
      <c r="Z37" s="61"/>
      <c r="AA37" s="61"/>
      <c r="AB37" s="61" t="str">
        <f ca="1">IFERROR(__xludf.dummyfunction("IF(Z37="""","""",QUERY(Hallazgos!C:I,""SELECT max(H) WHERE E CONTAINS 'Alcance:""&amp;Z37&amp;""' LABEL max(H) ''""))"),"")</f>
        <v/>
      </c>
    </row>
    <row r="38" spans="1:28" x14ac:dyDescent="0.2">
      <c r="A38" s="59"/>
      <c r="B38" s="44"/>
      <c r="C38" s="41"/>
      <c r="D38" s="59"/>
      <c r="E38" s="62"/>
      <c r="F38" s="40">
        <f t="shared" si="8"/>
        <v>0</v>
      </c>
      <c r="G38" s="40">
        <f t="shared" si="9"/>
        <v>0</v>
      </c>
      <c r="H38" s="40">
        <f t="shared" si="10"/>
        <v>0</v>
      </c>
      <c r="I38" s="41"/>
      <c r="J38" s="41"/>
      <c r="K38" s="41"/>
      <c r="L38" s="41"/>
      <c r="M38" s="41"/>
      <c r="N38" s="41"/>
      <c r="O38" s="41"/>
      <c r="P38" s="61"/>
      <c r="Q38" s="61">
        <f t="shared" ca="1" si="0"/>
        <v>2</v>
      </c>
      <c r="R38" s="61" t="str">
        <f t="shared" ca="1" si="1"/>
        <v/>
      </c>
      <c r="S38" s="61" t="str">
        <f t="shared" ca="1" si="2"/>
        <v/>
      </c>
      <c r="T38" s="61" t="str">
        <f t="shared" ca="1" si="3"/>
        <v/>
      </c>
      <c r="U38" s="61" t="str">
        <f t="shared" ca="1" si="4"/>
        <v/>
      </c>
      <c r="V38" s="61"/>
      <c r="W38" s="61"/>
      <c r="X38" s="61"/>
      <c r="Y38" s="61" t="str">
        <f ca="1">IFERROR(__xludf.dummyfunction("IF(W38="""","""",QUERY(Hallazgos!C:I,""SELECT max(H) WHERE E CONTAINS 'Activo:""&amp;W38&amp;""' LABEL max(H) ''""))"),"")</f>
        <v/>
      </c>
      <c r="Z38" s="61"/>
      <c r="AA38" s="61"/>
      <c r="AB38" s="61" t="str">
        <f ca="1">IFERROR(__xludf.dummyfunction("IF(Z38="""","""",QUERY(Hallazgos!C:I,""SELECT max(H) WHERE E CONTAINS 'Alcance:""&amp;Z38&amp;""' LABEL max(H) ''""))"),"")</f>
        <v/>
      </c>
    </row>
    <row r="39" spans="1:28" x14ac:dyDescent="0.2">
      <c r="A39" s="59"/>
      <c r="B39" s="44"/>
      <c r="C39" s="41"/>
      <c r="D39" s="59"/>
      <c r="E39" s="62"/>
      <c r="F39" s="40">
        <f t="shared" si="8"/>
        <v>0</v>
      </c>
      <c r="G39" s="40">
        <f t="shared" si="9"/>
        <v>0</v>
      </c>
      <c r="H39" s="40">
        <f t="shared" si="10"/>
        <v>0</v>
      </c>
      <c r="I39" s="41"/>
      <c r="J39" s="41"/>
      <c r="K39" s="41"/>
      <c r="L39" s="41"/>
      <c r="M39" s="41"/>
      <c r="N39" s="41"/>
      <c r="O39" s="41"/>
      <c r="P39" s="61"/>
      <c r="Q39" s="61">
        <f t="shared" ca="1" si="0"/>
        <v>2</v>
      </c>
      <c r="R39" s="61" t="str">
        <f t="shared" ca="1" si="1"/>
        <v/>
      </c>
      <c r="S39" s="61" t="str">
        <f t="shared" ca="1" si="2"/>
        <v/>
      </c>
      <c r="T39" s="61" t="str">
        <f t="shared" ca="1" si="3"/>
        <v/>
      </c>
      <c r="U39" s="61" t="str">
        <f t="shared" ca="1" si="4"/>
        <v/>
      </c>
      <c r="V39" s="61"/>
      <c r="W39" s="61"/>
      <c r="X39" s="61"/>
      <c r="Y39" s="61" t="str">
        <f ca="1">IFERROR(__xludf.dummyfunction("IF(W39="""","""",QUERY(Hallazgos!C:I,""SELECT max(H) WHERE E CONTAINS 'Activo:""&amp;W39&amp;""' LABEL max(H) ''""))"),"")</f>
        <v/>
      </c>
      <c r="Z39" s="61"/>
      <c r="AA39" s="61"/>
      <c r="AB39" s="61" t="str">
        <f ca="1">IFERROR(__xludf.dummyfunction("IF(Z39="""","""",QUERY(Hallazgos!C:I,""SELECT max(H) WHERE E CONTAINS 'Alcance:""&amp;Z39&amp;""' LABEL max(H) ''""))"),"")</f>
        <v/>
      </c>
    </row>
    <row r="40" spans="1:28" x14ac:dyDescent="0.2">
      <c r="A40" s="59"/>
      <c r="B40" s="44"/>
      <c r="C40" s="41"/>
      <c r="D40" s="59"/>
      <c r="E40" s="62"/>
      <c r="F40" s="40">
        <f t="shared" si="8"/>
        <v>0</v>
      </c>
      <c r="G40" s="40">
        <f t="shared" si="9"/>
        <v>0</v>
      </c>
      <c r="H40" s="40">
        <f t="shared" si="10"/>
        <v>0</v>
      </c>
      <c r="I40" s="41"/>
      <c r="J40" s="41"/>
      <c r="K40" s="41"/>
      <c r="L40" s="41"/>
      <c r="M40" s="41"/>
      <c r="N40" s="41"/>
      <c r="O40" s="41"/>
      <c r="P40" s="61"/>
      <c r="Q40" s="61">
        <f t="shared" ca="1" si="0"/>
        <v>2</v>
      </c>
      <c r="R40" s="61" t="str">
        <f t="shared" ca="1" si="1"/>
        <v/>
      </c>
      <c r="S40" s="61" t="str">
        <f t="shared" ca="1" si="2"/>
        <v/>
      </c>
      <c r="T40" s="61" t="str">
        <f t="shared" ca="1" si="3"/>
        <v/>
      </c>
      <c r="U40" s="61" t="str">
        <f t="shared" ca="1" si="4"/>
        <v/>
      </c>
      <c r="V40" s="61"/>
      <c r="W40" s="61"/>
      <c r="X40" s="61"/>
      <c r="Y40" s="61" t="str">
        <f ca="1">IFERROR(__xludf.dummyfunction("IF(W40="""","""",QUERY(Hallazgos!C:I,""SELECT max(H) WHERE E CONTAINS 'Activo:""&amp;W40&amp;""' LABEL max(H) ''""))"),"")</f>
        <v/>
      </c>
      <c r="Z40" s="61"/>
      <c r="AA40" s="61"/>
      <c r="AB40" s="61" t="str">
        <f ca="1">IFERROR(__xludf.dummyfunction("IF(Z40="""","""",QUERY(Hallazgos!C:I,""SELECT max(H) WHERE E CONTAINS 'Alcance:""&amp;Z40&amp;""' LABEL max(H) ''""))"),"")</f>
        <v/>
      </c>
    </row>
    <row r="41" spans="1:28" x14ac:dyDescent="0.2">
      <c r="A41" s="59"/>
      <c r="B41" s="44"/>
      <c r="C41" s="41"/>
      <c r="D41" s="59"/>
      <c r="E41" s="62"/>
      <c r="F41" s="40">
        <f t="shared" si="8"/>
        <v>0</v>
      </c>
      <c r="G41" s="40">
        <f t="shared" si="9"/>
        <v>0</v>
      </c>
      <c r="H41" s="40">
        <f t="shared" si="10"/>
        <v>0</v>
      </c>
      <c r="I41" s="41"/>
      <c r="J41" s="41"/>
      <c r="K41" s="41"/>
      <c r="L41" s="41"/>
      <c r="M41" s="41"/>
      <c r="N41" s="41"/>
      <c r="O41" s="41"/>
      <c r="P41" s="61"/>
      <c r="Q41" s="61">
        <f t="shared" ca="1" si="0"/>
        <v>2</v>
      </c>
      <c r="R41" s="61" t="str">
        <f t="shared" ca="1" si="1"/>
        <v/>
      </c>
      <c r="S41" s="61" t="str">
        <f t="shared" ca="1" si="2"/>
        <v/>
      </c>
      <c r="T41" s="61" t="str">
        <f t="shared" ca="1" si="3"/>
        <v/>
      </c>
      <c r="U41" s="61" t="str">
        <f t="shared" ca="1" si="4"/>
        <v/>
      </c>
      <c r="V41" s="61"/>
      <c r="W41" s="61"/>
      <c r="X41" s="61"/>
      <c r="Y41" s="61" t="str">
        <f ca="1">IFERROR(__xludf.dummyfunction("IF(W41="""","""",QUERY(Hallazgos!C:I,""SELECT max(H) WHERE E CONTAINS 'Activo:""&amp;W41&amp;""' LABEL max(H) ''""))"),"")</f>
        <v/>
      </c>
      <c r="Z41" s="61"/>
      <c r="AA41" s="61"/>
      <c r="AB41" s="61" t="str">
        <f ca="1">IFERROR(__xludf.dummyfunction("IF(Z41="""","""",QUERY(Hallazgos!C:I,""SELECT max(H) WHERE E CONTAINS 'Alcance:""&amp;Z41&amp;""' LABEL max(H) ''""))"),"")</f>
        <v/>
      </c>
    </row>
    <row r="42" spans="1:28" x14ac:dyDescent="0.2">
      <c r="A42" s="59"/>
      <c r="B42" s="44"/>
      <c r="C42" s="41"/>
      <c r="D42" s="59"/>
      <c r="E42" s="62"/>
      <c r="F42" s="40">
        <f t="shared" si="8"/>
        <v>0</v>
      </c>
      <c r="G42" s="40">
        <f t="shared" si="9"/>
        <v>0</v>
      </c>
      <c r="H42" s="40">
        <f t="shared" si="10"/>
        <v>0</v>
      </c>
      <c r="I42" s="41"/>
      <c r="J42" s="41"/>
      <c r="K42" s="41"/>
      <c r="L42" s="41"/>
      <c r="M42" s="41"/>
      <c r="N42" s="41"/>
      <c r="O42" s="41"/>
      <c r="P42" s="61"/>
      <c r="Q42" s="61">
        <f t="shared" ca="1" si="0"/>
        <v>2</v>
      </c>
      <c r="R42" s="61" t="str">
        <f t="shared" ca="1" si="1"/>
        <v/>
      </c>
      <c r="S42" s="61" t="str">
        <f t="shared" ca="1" si="2"/>
        <v/>
      </c>
      <c r="T42" s="61" t="str">
        <f t="shared" ca="1" si="3"/>
        <v/>
      </c>
      <c r="U42" s="61" t="str">
        <f t="shared" ca="1" si="4"/>
        <v/>
      </c>
      <c r="V42" s="61"/>
      <c r="W42" s="61"/>
      <c r="X42" s="61"/>
      <c r="Y42" s="61" t="str">
        <f ca="1">IFERROR(__xludf.dummyfunction("IF(W42="""","""",QUERY(Hallazgos!C:I,""SELECT max(H) WHERE E CONTAINS 'Activo:""&amp;W42&amp;""' LABEL max(H) ''""))"),"")</f>
        <v/>
      </c>
      <c r="Z42" s="61"/>
      <c r="AA42" s="61"/>
      <c r="AB42" s="61" t="str">
        <f ca="1">IFERROR(__xludf.dummyfunction("IF(Z42="""","""",QUERY(Hallazgos!C:I,""SELECT max(H) WHERE E CONTAINS 'Alcance:""&amp;Z42&amp;""' LABEL max(H) ''""))"),"")</f>
        <v/>
      </c>
    </row>
    <row r="43" spans="1:28" x14ac:dyDescent="0.2">
      <c r="A43" s="59"/>
      <c r="B43" s="44"/>
      <c r="C43" s="41"/>
      <c r="D43" s="59"/>
      <c r="E43" s="62"/>
      <c r="F43" s="40">
        <f t="shared" si="8"/>
        <v>0</v>
      </c>
      <c r="G43" s="40">
        <f t="shared" si="9"/>
        <v>0</v>
      </c>
      <c r="H43" s="40">
        <f t="shared" si="10"/>
        <v>0</v>
      </c>
      <c r="I43" s="41"/>
      <c r="J43" s="41"/>
      <c r="K43" s="41"/>
      <c r="L43" s="41"/>
      <c r="M43" s="41"/>
      <c r="N43" s="41"/>
      <c r="O43" s="41"/>
      <c r="P43" s="61"/>
      <c r="Q43" s="61">
        <f t="shared" ca="1" si="0"/>
        <v>2</v>
      </c>
      <c r="R43" s="61" t="str">
        <f t="shared" ca="1" si="1"/>
        <v/>
      </c>
      <c r="S43" s="61" t="str">
        <f t="shared" ca="1" si="2"/>
        <v/>
      </c>
      <c r="T43" s="61" t="str">
        <f t="shared" ca="1" si="3"/>
        <v/>
      </c>
      <c r="U43" s="61" t="str">
        <f t="shared" ca="1" si="4"/>
        <v/>
      </c>
      <c r="V43" s="61"/>
      <c r="W43" s="61"/>
      <c r="X43" s="61"/>
      <c r="Y43" s="61" t="str">
        <f ca="1">IFERROR(__xludf.dummyfunction("IF(W43="""","""",QUERY(Hallazgos!C:I,""SELECT max(H) WHERE E CONTAINS 'Activo:""&amp;W43&amp;""' LABEL max(H) ''""))"),"")</f>
        <v/>
      </c>
      <c r="Z43" s="61"/>
      <c r="AA43" s="61"/>
      <c r="AB43" s="61" t="str">
        <f ca="1">IFERROR(__xludf.dummyfunction("IF(Z43="""","""",QUERY(Hallazgos!C:I,""SELECT max(H) WHERE E CONTAINS 'Alcance:""&amp;Z43&amp;""' LABEL max(H) ''""))"),"")</f>
        <v/>
      </c>
    </row>
    <row r="44" spans="1:28" x14ac:dyDescent="0.15">
      <c r="A44" s="59"/>
      <c r="B44" s="44"/>
      <c r="C44" s="41"/>
      <c r="D44" s="59"/>
      <c r="E44" s="62"/>
      <c r="F44" s="61"/>
      <c r="G44" s="41" t="str">
        <f>LEFT(F44,3)</f>
        <v/>
      </c>
      <c r="H44" s="41" t="str">
        <f>LEFT(F44,3)</f>
        <v/>
      </c>
      <c r="I44" s="41"/>
      <c r="J44" s="41"/>
      <c r="K44" s="41"/>
      <c r="L44" s="41"/>
      <c r="M44" s="41"/>
      <c r="N44" s="41"/>
      <c r="O44" s="41"/>
      <c r="P44" s="61"/>
      <c r="Q44" s="61"/>
      <c r="R44" s="61"/>
      <c r="S44" s="61"/>
      <c r="T44" s="61"/>
      <c r="U44" s="61"/>
      <c r="V44" s="61"/>
      <c r="W44" s="61"/>
      <c r="X44" s="61"/>
      <c r="Y44" s="61"/>
      <c r="Z44" s="61"/>
      <c r="AA44" s="61"/>
      <c r="AB44" s="5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7"/>
  <sheetViews>
    <sheetView workbookViewId="0"/>
  </sheetViews>
  <sheetFormatPr defaultRowHeight="15.75" x14ac:dyDescent="0.25"/>
  <sheetData>
    <row r="1" spans="1:26" x14ac:dyDescent="0.25">
      <c r="A1" s="70" t="s">
        <v>974</v>
      </c>
      <c r="B1" s="70" t="s">
        <v>975</v>
      </c>
      <c r="C1" s="70" t="s">
        <v>976</v>
      </c>
      <c r="D1" s="70" t="s">
        <v>977</v>
      </c>
      <c r="E1" s="70" t="s">
        <v>978</v>
      </c>
      <c r="F1" s="70" t="s">
        <v>979</v>
      </c>
      <c r="G1" s="70" t="s">
        <v>980</v>
      </c>
      <c r="H1" s="70" t="s">
        <v>981</v>
      </c>
      <c r="I1" s="70" t="s">
        <v>982</v>
      </c>
      <c r="J1" s="70" t="s">
        <v>983</v>
      </c>
      <c r="K1" s="13" t="s">
        <v>914</v>
      </c>
      <c r="L1" s="70" t="s">
        <v>984</v>
      </c>
      <c r="M1" s="70" t="s">
        <v>985</v>
      </c>
      <c r="N1" s="70" t="s">
        <v>986</v>
      </c>
      <c r="O1" s="70" t="s">
        <v>987</v>
      </c>
      <c r="P1" s="70" t="s">
        <v>988</v>
      </c>
      <c r="Q1" s="70" t="s">
        <v>989</v>
      </c>
      <c r="R1" s="70" t="s">
        <v>990</v>
      </c>
      <c r="S1" s="3"/>
      <c r="T1" s="3"/>
      <c r="U1" s="3"/>
      <c r="V1" s="3"/>
      <c r="W1" s="3"/>
      <c r="X1" s="3"/>
      <c r="Y1" s="3"/>
      <c r="Z1" s="3"/>
    </row>
    <row r="2" spans="1:26" x14ac:dyDescent="0.2">
      <c r="A2" s="3" t="s">
        <v>991</v>
      </c>
      <c r="B2" s="3" t="s">
        <v>992</v>
      </c>
      <c r="C2" s="3" t="s">
        <v>993</v>
      </c>
      <c r="D2" s="3" t="s">
        <v>994</v>
      </c>
      <c r="E2" s="3" t="s">
        <v>995</v>
      </c>
      <c r="F2" s="3" t="s">
        <v>996</v>
      </c>
      <c r="G2" s="3" t="s">
        <v>997</v>
      </c>
      <c r="H2" s="3" t="s">
        <v>998</v>
      </c>
      <c r="I2" s="3" t="s">
        <v>999</v>
      </c>
      <c r="J2" s="3" t="s">
        <v>1000</v>
      </c>
      <c r="K2" s="3" t="s">
        <v>1001</v>
      </c>
      <c r="L2" s="71">
        <v>1</v>
      </c>
      <c r="M2" s="3" t="s">
        <v>1002</v>
      </c>
      <c r="N2" s="3" t="s">
        <v>1003</v>
      </c>
      <c r="O2" s="3" t="s">
        <v>1004</v>
      </c>
      <c r="P2" s="3" t="s">
        <v>1005</v>
      </c>
      <c r="Q2" s="3" t="s">
        <v>1006</v>
      </c>
      <c r="R2" s="3" t="s">
        <v>1007</v>
      </c>
      <c r="S2" s="3"/>
      <c r="T2" s="3"/>
      <c r="U2" s="3"/>
      <c r="V2" s="3"/>
      <c r="W2" s="3"/>
      <c r="X2" s="3"/>
      <c r="Y2" s="3"/>
      <c r="Z2" s="3"/>
    </row>
    <row r="3" spans="1:26" x14ac:dyDescent="0.2">
      <c r="A3" s="3" t="s">
        <v>1008</v>
      </c>
      <c r="B3" s="3" t="s">
        <v>1009</v>
      </c>
      <c r="C3" s="3" t="s">
        <v>1010</v>
      </c>
      <c r="D3" s="3" t="s">
        <v>352</v>
      </c>
      <c r="E3" s="3" t="s">
        <v>1011</v>
      </c>
      <c r="F3" s="3" t="s">
        <v>1012</v>
      </c>
      <c r="G3" s="3" t="s">
        <v>1013</v>
      </c>
      <c r="H3" s="3" t="s">
        <v>1014</v>
      </c>
      <c r="I3" s="3" t="s">
        <v>1015</v>
      </c>
      <c r="J3" s="3" t="s">
        <v>1016</v>
      </c>
      <c r="K3" s="3" t="s">
        <v>1017</v>
      </c>
      <c r="L3" s="71">
        <v>2</v>
      </c>
      <c r="M3" s="3" t="s">
        <v>1018</v>
      </c>
      <c r="N3" s="3" t="s">
        <v>1019</v>
      </c>
      <c r="O3" s="3" t="s">
        <v>1020</v>
      </c>
      <c r="P3" s="3" t="s">
        <v>1021</v>
      </c>
      <c r="Q3" s="3" t="s">
        <v>1022</v>
      </c>
      <c r="R3" s="3"/>
      <c r="S3" s="3"/>
      <c r="T3" s="3"/>
      <c r="U3" s="3"/>
      <c r="V3" s="3"/>
      <c r="W3" s="3"/>
      <c r="X3" s="3"/>
      <c r="Y3" s="3"/>
      <c r="Z3" s="3"/>
    </row>
    <row r="4" spans="1:26" x14ac:dyDescent="0.2">
      <c r="A4" s="3" t="s">
        <v>1023</v>
      </c>
      <c r="B4" s="3" t="s">
        <v>1024</v>
      </c>
      <c r="C4" s="3" t="s">
        <v>1025</v>
      </c>
      <c r="D4" s="3" t="s">
        <v>1026</v>
      </c>
      <c r="E4" s="3" t="s">
        <v>1027</v>
      </c>
      <c r="F4" s="3" t="s">
        <v>1028</v>
      </c>
      <c r="G4" s="3" t="s">
        <v>1029</v>
      </c>
      <c r="H4" s="3" t="s">
        <v>352</v>
      </c>
      <c r="I4" s="3" t="s">
        <v>1030</v>
      </c>
      <c r="J4" s="3" t="s">
        <v>1031</v>
      </c>
      <c r="K4" s="3" t="s">
        <v>1032</v>
      </c>
      <c r="L4" s="71">
        <v>3</v>
      </c>
      <c r="M4" s="3" t="s">
        <v>1033</v>
      </c>
      <c r="N4" s="3" t="s">
        <v>399</v>
      </c>
      <c r="O4" s="3" t="s">
        <v>1034</v>
      </c>
      <c r="P4" s="3" t="s">
        <v>1035</v>
      </c>
      <c r="Q4" s="3" t="s">
        <v>1036</v>
      </c>
      <c r="R4" s="3"/>
      <c r="S4" s="3"/>
      <c r="T4" s="3"/>
      <c r="U4" s="3"/>
      <c r="V4" s="3"/>
      <c r="W4" s="3"/>
      <c r="X4" s="3"/>
      <c r="Y4" s="3"/>
      <c r="Z4" s="3"/>
    </row>
    <row r="5" spans="1:26" x14ac:dyDescent="0.2">
      <c r="A5" s="3" t="s">
        <v>1037</v>
      </c>
      <c r="B5" s="3" t="s">
        <v>1038</v>
      </c>
      <c r="C5" s="3" t="s">
        <v>1039</v>
      </c>
      <c r="D5" s="3" t="s">
        <v>1040</v>
      </c>
      <c r="E5" s="3" t="s">
        <v>1041</v>
      </c>
      <c r="F5" s="3" t="s">
        <v>1042</v>
      </c>
      <c r="G5" s="3" t="s">
        <v>1043</v>
      </c>
      <c r="H5" s="3" t="s">
        <v>1044</v>
      </c>
      <c r="I5" s="3" t="s">
        <v>1043</v>
      </c>
      <c r="J5" s="3"/>
      <c r="K5" s="3" t="s">
        <v>1045</v>
      </c>
      <c r="L5" s="71">
        <v>4</v>
      </c>
      <c r="M5" s="3" t="s">
        <v>1046</v>
      </c>
      <c r="N5" s="3" t="s">
        <v>1047</v>
      </c>
      <c r="O5" s="3" t="s">
        <v>1048</v>
      </c>
      <c r="P5" s="3" t="s">
        <v>1049</v>
      </c>
      <c r="Q5" s="3" t="s">
        <v>1050</v>
      </c>
      <c r="R5" s="3"/>
      <c r="S5" s="3"/>
      <c r="T5" s="3"/>
      <c r="U5" s="3"/>
      <c r="V5" s="3"/>
      <c r="W5" s="3"/>
      <c r="X5" s="3"/>
      <c r="Y5" s="3"/>
      <c r="Z5" s="3"/>
    </row>
    <row r="6" spans="1:26" x14ac:dyDescent="0.2">
      <c r="A6" s="3" t="s">
        <v>1051</v>
      </c>
      <c r="B6" s="3" t="s">
        <v>992</v>
      </c>
      <c r="C6" s="3" t="s">
        <v>1052</v>
      </c>
      <c r="D6" s="3" t="s">
        <v>1044</v>
      </c>
      <c r="E6" s="3" t="s">
        <v>1053</v>
      </c>
      <c r="F6" s="3" t="s">
        <v>1054</v>
      </c>
      <c r="G6" s="3" t="s">
        <v>1055</v>
      </c>
      <c r="H6" s="3" t="s">
        <v>1056</v>
      </c>
      <c r="I6" s="72" t="s">
        <v>1057</v>
      </c>
      <c r="J6" s="3"/>
      <c r="K6" s="3" t="s">
        <v>1043</v>
      </c>
      <c r="L6" s="71">
        <v>5</v>
      </c>
      <c r="M6" s="3" t="s">
        <v>1043</v>
      </c>
      <c r="N6" s="3" t="s">
        <v>44</v>
      </c>
      <c r="O6" s="3" t="s">
        <v>1058</v>
      </c>
      <c r="P6" s="3" t="s">
        <v>1059</v>
      </c>
      <c r="Q6" s="3" t="s">
        <v>1060</v>
      </c>
      <c r="R6" s="3"/>
      <c r="S6" s="3"/>
      <c r="T6" s="3"/>
      <c r="U6" s="3"/>
      <c r="V6" s="3"/>
      <c r="W6" s="3"/>
      <c r="X6" s="3"/>
      <c r="Y6" s="3"/>
      <c r="Z6" s="3"/>
    </row>
    <row r="7" spans="1:26" x14ac:dyDescent="0.2">
      <c r="A7" s="3" t="s">
        <v>1061</v>
      </c>
      <c r="B7" s="3" t="s">
        <v>1062</v>
      </c>
      <c r="C7" s="3" t="s">
        <v>1063</v>
      </c>
      <c r="D7" s="3"/>
      <c r="E7" s="3" t="s">
        <v>1064</v>
      </c>
      <c r="F7" s="3"/>
      <c r="G7" s="3" t="s">
        <v>1065</v>
      </c>
      <c r="H7" s="3"/>
      <c r="I7" s="72" t="s">
        <v>1066</v>
      </c>
      <c r="J7" s="72"/>
      <c r="K7" s="3"/>
      <c r="L7" s="3" t="s">
        <v>1043</v>
      </c>
      <c r="M7" s="3" t="s">
        <v>1067</v>
      </c>
      <c r="N7" s="3" t="s">
        <v>1068</v>
      </c>
      <c r="O7" s="3" t="s">
        <v>1069</v>
      </c>
      <c r="P7" s="3" t="s">
        <v>1070</v>
      </c>
      <c r="Q7" s="3" t="s">
        <v>1071</v>
      </c>
      <c r="R7" s="3"/>
      <c r="S7" s="3"/>
      <c r="T7" s="3"/>
      <c r="U7" s="3"/>
      <c r="V7" s="3"/>
      <c r="W7" s="3"/>
      <c r="X7" s="3"/>
      <c r="Y7" s="3"/>
      <c r="Z7" s="3"/>
    </row>
    <row r="8" spans="1:26" x14ac:dyDescent="0.2">
      <c r="A8" s="3" t="s">
        <v>1072</v>
      </c>
      <c r="B8" s="3" t="s">
        <v>1073</v>
      </c>
      <c r="C8" s="3" t="s">
        <v>1074</v>
      </c>
      <c r="D8" s="3"/>
      <c r="E8" s="3" t="s">
        <v>1075</v>
      </c>
      <c r="F8" s="3"/>
      <c r="G8" s="3" t="s">
        <v>1076</v>
      </c>
      <c r="H8" s="3"/>
      <c r="I8" s="72" t="s">
        <v>1077</v>
      </c>
      <c r="J8" s="72"/>
      <c r="K8" s="3"/>
      <c r="L8" s="3"/>
      <c r="M8" s="3"/>
      <c r="N8" s="3" t="s">
        <v>1078</v>
      </c>
      <c r="O8" s="3" t="s">
        <v>1079</v>
      </c>
      <c r="P8" s="3" t="s">
        <v>1080</v>
      </c>
      <c r="Q8" s="3" t="s">
        <v>1081</v>
      </c>
      <c r="R8" s="3"/>
      <c r="S8" s="3"/>
      <c r="T8" s="3"/>
      <c r="U8" s="3"/>
      <c r="V8" s="3"/>
      <c r="W8" s="3"/>
      <c r="X8" s="3"/>
      <c r="Y8" s="3"/>
      <c r="Z8" s="3"/>
    </row>
    <row r="9" spans="1:26" x14ac:dyDescent="0.2">
      <c r="A9" s="3" t="s">
        <v>1082</v>
      </c>
      <c r="B9" s="3" t="s">
        <v>1083</v>
      </c>
      <c r="C9" s="3" t="s">
        <v>1084</v>
      </c>
      <c r="D9" s="3"/>
      <c r="E9" s="3" t="s">
        <v>1085</v>
      </c>
      <c r="F9" s="3"/>
      <c r="G9" s="3" t="s">
        <v>1086</v>
      </c>
      <c r="H9" s="3"/>
      <c r="I9" s="72" t="s">
        <v>1087</v>
      </c>
      <c r="J9" s="3"/>
      <c r="K9" s="3"/>
      <c r="L9" s="3"/>
      <c r="M9" s="3"/>
      <c r="N9" s="3" t="s">
        <v>1088</v>
      </c>
      <c r="O9" s="3" t="s">
        <v>1089</v>
      </c>
      <c r="P9" s="3" t="s">
        <v>1090</v>
      </c>
      <c r="Q9" s="3" t="s">
        <v>1091</v>
      </c>
      <c r="R9" s="3"/>
      <c r="S9" s="3"/>
      <c r="T9" s="3"/>
      <c r="U9" s="3"/>
      <c r="V9" s="3"/>
      <c r="W9" s="3"/>
      <c r="X9" s="3"/>
      <c r="Y9" s="3"/>
      <c r="Z9" s="3"/>
    </row>
    <row r="10" spans="1:26" x14ac:dyDescent="0.2">
      <c r="A10" s="3" t="s">
        <v>1092</v>
      </c>
      <c r="B10" s="3" t="s">
        <v>1093</v>
      </c>
      <c r="C10" s="3" t="s">
        <v>1094</v>
      </c>
      <c r="D10" s="3"/>
      <c r="E10" s="3" t="s">
        <v>1095</v>
      </c>
      <c r="F10" s="3"/>
      <c r="G10" s="3" t="s">
        <v>1096</v>
      </c>
      <c r="H10" s="3"/>
      <c r="I10" s="72" t="s">
        <v>1097</v>
      </c>
      <c r="J10" s="72"/>
      <c r="K10" s="72"/>
      <c r="L10" s="72"/>
      <c r="M10" s="3"/>
      <c r="N10" s="3" t="s">
        <v>1098</v>
      </c>
      <c r="O10" s="3" t="s">
        <v>1099</v>
      </c>
      <c r="P10" s="3" t="s">
        <v>1100</v>
      </c>
      <c r="Q10" s="3" t="s">
        <v>1101</v>
      </c>
      <c r="R10" s="3"/>
      <c r="S10" s="3"/>
      <c r="T10" s="3"/>
      <c r="U10" s="3"/>
      <c r="V10" s="3"/>
      <c r="W10" s="3"/>
      <c r="X10" s="3"/>
      <c r="Y10" s="3"/>
      <c r="Z10" s="3"/>
    </row>
    <row r="11" spans="1:26" x14ac:dyDescent="0.2">
      <c r="A11" s="3" t="s">
        <v>1102</v>
      </c>
      <c r="B11" s="3" t="s">
        <v>1044</v>
      </c>
      <c r="C11" s="3" t="s">
        <v>1103</v>
      </c>
      <c r="D11" s="3"/>
      <c r="E11" s="3" t="s">
        <v>1104</v>
      </c>
      <c r="F11" s="3"/>
      <c r="G11" s="3" t="s">
        <v>1105</v>
      </c>
      <c r="H11" s="3"/>
      <c r="I11" s="72" t="s">
        <v>1106</v>
      </c>
      <c r="J11" s="3"/>
      <c r="K11" s="3"/>
      <c r="L11" s="3"/>
      <c r="M11" s="3"/>
      <c r="N11" s="3" t="s">
        <v>55</v>
      </c>
      <c r="O11" s="3" t="s">
        <v>1107</v>
      </c>
      <c r="P11" s="3" t="s">
        <v>1108</v>
      </c>
      <c r="Q11" s="3"/>
      <c r="R11" s="3"/>
      <c r="S11" s="3"/>
      <c r="T11" s="3"/>
      <c r="U11" s="3"/>
      <c r="V11" s="3"/>
      <c r="W11" s="3"/>
      <c r="X11" s="3"/>
      <c r="Y11" s="3"/>
      <c r="Z11" s="3"/>
    </row>
    <row r="12" spans="1:26" x14ac:dyDescent="0.2">
      <c r="A12" s="3"/>
      <c r="B12" s="3" t="s">
        <v>1109</v>
      </c>
      <c r="C12" s="3" t="s">
        <v>1110</v>
      </c>
      <c r="D12" s="3"/>
      <c r="E12" s="3" t="s">
        <v>1111</v>
      </c>
      <c r="F12" s="3"/>
      <c r="G12" s="3"/>
      <c r="H12" s="3"/>
      <c r="I12" s="3" t="s">
        <v>132</v>
      </c>
      <c r="J12" s="3"/>
      <c r="K12" s="3"/>
      <c r="L12" s="3"/>
      <c r="M12" s="3"/>
      <c r="N12" s="3" t="s">
        <v>1112</v>
      </c>
      <c r="O12" s="3" t="s">
        <v>1113</v>
      </c>
      <c r="P12" s="3" t="s">
        <v>1114</v>
      </c>
      <c r="Q12" s="3"/>
      <c r="R12" s="3"/>
      <c r="S12" s="3"/>
      <c r="T12" s="3"/>
      <c r="U12" s="3"/>
      <c r="V12" s="3"/>
      <c r="W12" s="3"/>
      <c r="X12" s="3"/>
      <c r="Y12" s="3"/>
      <c r="Z12" s="3"/>
    </row>
    <row r="13" spans="1:26" x14ac:dyDescent="0.2">
      <c r="A13" s="3"/>
      <c r="B13" s="3" t="s">
        <v>1115</v>
      </c>
      <c r="C13" s="3" t="s">
        <v>1116</v>
      </c>
      <c r="D13" s="3"/>
      <c r="E13" s="3" t="s">
        <v>1117</v>
      </c>
      <c r="F13" s="3"/>
      <c r="G13" s="3"/>
      <c r="H13" s="3"/>
      <c r="I13" s="72" t="s">
        <v>1118</v>
      </c>
      <c r="J13" s="3"/>
      <c r="K13" s="3"/>
      <c r="L13" s="3"/>
      <c r="M13" s="3"/>
      <c r="N13" s="3" t="s">
        <v>1119</v>
      </c>
      <c r="O13" s="3" t="s">
        <v>1120</v>
      </c>
      <c r="P13" s="3" t="s">
        <v>1121</v>
      </c>
      <c r="Q13" s="3"/>
      <c r="R13" s="3"/>
      <c r="S13" s="3"/>
      <c r="T13" s="3"/>
      <c r="U13" s="3"/>
      <c r="V13" s="3"/>
      <c r="W13" s="3"/>
      <c r="X13" s="3"/>
      <c r="Y13" s="3"/>
      <c r="Z13" s="3"/>
    </row>
    <row r="14" spans="1:26" x14ac:dyDescent="0.2">
      <c r="A14" s="3"/>
      <c r="B14" s="3"/>
      <c r="C14" s="3" t="s">
        <v>1023</v>
      </c>
      <c r="D14" s="3"/>
      <c r="E14" s="3" t="s">
        <v>1122</v>
      </c>
      <c r="F14" s="3"/>
      <c r="G14" s="3"/>
      <c r="H14" s="3"/>
      <c r="I14" s="72" t="s">
        <v>1123</v>
      </c>
      <c r="J14" s="3"/>
      <c r="K14" s="3"/>
      <c r="L14" s="3"/>
      <c r="M14" s="3"/>
      <c r="N14" s="3" t="s">
        <v>1</v>
      </c>
      <c r="O14" s="3"/>
      <c r="P14" s="3" t="s">
        <v>1124</v>
      </c>
      <c r="Q14" s="3"/>
      <c r="R14" s="3"/>
      <c r="S14" s="3"/>
      <c r="T14" s="3"/>
      <c r="U14" s="3"/>
      <c r="V14" s="3"/>
      <c r="W14" s="3"/>
      <c r="X14" s="3"/>
      <c r="Y14" s="3"/>
      <c r="Z14" s="3"/>
    </row>
    <row r="15" spans="1:26" x14ac:dyDescent="0.2">
      <c r="A15" s="3"/>
      <c r="B15" s="3"/>
      <c r="C15" s="3" t="s">
        <v>1125</v>
      </c>
      <c r="D15" s="3"/>
      <c r="E15" s="3" t="s">
        <v>1126</v>
      </c>
      <c r="F15" s="3"/>
      <c r="G15" s="3"/>
      <c r="H15" s="3"/>
      <c r="I15" s="72" t="s">
        <v>1127</v>
      </c>
      <c r="J15" s="72"/>
      <c r="K15" s="3"/>
      <c r="L15" s="3"/>
      <c r="M15" s="3"/>
      <c r="N15" s="3" t="s">
        <v>1128</v>
      </c>
      <c r="O15" s="3"/>
      <c r="P15" s="3" t="s">
        <v>1129</v>
      </c>
      <c r="Q15" s="3"/>
      <c r="R15" s="3"/>
      <c r="S15" s="3"/>
      <c r="T15" s="3"/>
      <c r="U15" s="3"/>
      <c r="V15" s="3"/>
      <c r="W15" s="3"/>
      <c r="X15" s="3"/>
      <c r="Y15" s="3"/>
      <c r="Z15" s="3"/>
    </row>
    <row r="16" spans="1:26" x14ac:dyDescent="0.2">
      <c r="A16" s="3"/>
      <c r="B16" s="3"/>
      <c r="C16" s="3" t="s">
        <v>1130</v>
      </c>
      <c r="D16" s="3"/>
      <c r="E16" s="3"/>
      <c r="F16" s="3"/>
      <c r="G16" s="3"/>
      <c r="H16" s="3"/>
      <c r="I16" s="3"/>
      <c r="J16" s="3"/>
      <c r="K16" s="3"/>
      <c r="L16" s="3"/>
      <c r="M16" s="3"/>
      <c r="N16" s="3" t="s">
        <v>1131</v>
      </c>
      <c r="O16" s="3"/>
      <c r="P16" s="3" t="s">
        <v>1132</v>
      </c>
      <c r="Q16" s="3"/>
      <c r="R16" s="3"/>
      <c r="S16" s="3"/>
      <c r="T16" s="3"/>
      <c r="U16" s="3"/>
      <c r="V16" s="3"/>
      <c r="W16" s="3"/>
      <c r="X16" s="3"/>
      <c r="Y16" s="3"/>
      <c r="Z16" s="3"/>
    </row>
    <row r="17" spans="1:26" x14ac:dyDescent="0.2">
      <c r="A17" s="3"/>
      <c r="B17" s="3"/>
      <c r="C17" s="3" t="s">
        <v>1133</v>
      </c>
      <c r="D17" s="3"/>
      <c r="E17" s="3"/>
      <c r="F17" s="3"/>
      <c r="G17" s="3"/>
      <c r="H17" s="3"/>
      <c r="I17" s="3"/>
      <c r="J17" s="3"/>
      <c r="K17" s="3"/>
      <c r="L17" s="3"/>
      <c r="M17" s="3"/>
      <c r="N17" s="3"/>
      <c r="O17" s="3"/>
      <c r="P17" s="3" t="s">
        <v>1134</v>
      </c>
      <c r="Q17" s="3"/>
      <c r="R17" s="3"/>
      <c r="S17" s="3"/>
      <c r="T17" s="3"/>
      <c r="U17" s="3"/>
      <c r="V17" s="3"/>
      <c r="W17" s="3"/>
      <c r="X17" s="3"/>
      <c r="Y17" s="3"/>
      <c r="Z17" s="3"/>
    </row>
    <row r="18" spans="1:26" x14ac:dyDescent="0.2">
      <c r="A18" s="3"/>
      <c r="B18" s="3"/>
      <c r="C18" s="3" t="s">
        <v>1135</v>
      </c>
      <c r="D18" s="3"/>
      <c r="E18" s="3"/>
      <c r="F18" s="3"/>
      <c r="G18" s="3"/>
      <c r="H18" s="3"/>
      <c r="I18" s="3"/>
      <c r="J18" s="3"/>
      <c r="K18" s="3"/>
      <c r="L18" s="3"/>
      <c r="M18" s="3"/>
      <c r="N18" s="3"/>
      <c r="O18" s="3"/>
      <c r="P18" s="3" t="s">
        <v>1136</v>
      </c>
      <c r="Q18" s="3"/>
      <c r="R18" s="3"/>
      <c r="S18" s="3"/>
      <c r="T18" s="3"/>
      <c r="U18" s="3"/>
      <c r="V18" s="3"/>
      <c r="W18" s="3"/>
      <c r="X18" s="3"/>
      <c r="Y18" s="3"/>
      <c r="Z18" s="3"/>
    </row>
    <row r="19" spans="1:26" x14ac:dyDescent="0.2">
      <c r="A19" s="3"/>
      <c r="B19" s="3"/>
      <c r="C19" s="3" t="s">
        <v>1137</v>
      </c>
      <c r="D19" s="3"/>
      <c r="E19" s="3"/>
      <c r="F19" s="3"/>
      <c r="G19" s="3"/>
      <c r="H19" s="3"/>
      <c r="I19" s="3"/>
      <c r="J19" s="3"/>
      <c r="K19" s="3"/>
      <c r="L19" s="3"/>
      <c r="M19" s="3"/>
      <c r="N19" s="3"/>
      <c r="O19" s="3"/>
      <c r="P19" s="3" t="s">
        <v>1138</v>
      </c>
      <c r="Q19" s="3"/>
      <c r="R19" s="3"/>
      <c r="S19" s="3"/>
      <c r="T19" s="3"/>
      <c r="U19" s="3"/>
      <c r="V19" s="3"/>
      <c r="W19" s="3"/>
      <c r="X19" s="3"/>
      <c r="Y19" s="3"/>
      <c r="Z19" s="3"/>
    </row>
    <row r="20" spans="1:26" x14ac:dyDescent="0.2">
      <c r="A20" s="3"/>
      <c r="B20" s="3"/>
      <c r="C20" s="3" t="s">
        <v>1044</v>
      </c>
      <c r="D20" s="3"/>
      <c r="E20" s="3"/>
      <c r="F20" s="3"/>
      <c r="G20" s="3"/>
      <c r="H20" s="3"/>
      <c r="I20" s="3"/>
      <c r="J20" s="3"/>
      <c r="K20" s="3"/>
      <c r="L20" s="3"/>
      <c r="M20" s="3"/>
      <c r="N20" s="3"/>
      <c r="O20" s="3"/>
      <c r="P20" s="3" t="s">
        <v>1139</v>
      </c>
      <c r="Q20" s="3"/>
      <c r="R20" s="3"/>
      <c r="S20" s="3"/>
      <c r="T20" s="3"/>
      <c r="U20" s="3"/>
      <c r="V20" s="3"/>
      <c r="W20" s="3"/>
      <c r="X20" s="3"/>
      <c r="Y20" s="3"/>
      <c r="Z20" s="3"/>
    </row>
    <row r="21" spans="1:26" x14ac:dyDescent="0.2">
      <c r="A21" s="3"/>
      <c r="B21" s="3"/>
      <c r="C21" s="3" t="s">
        <v>1140</v>
      </c>
      <c r="D21" s="3"/>
      <c r="E21" s="3"/>
      <c r="F21" s="3"/>
      <c r="G21" s="3"/>
      <c r="H21" s="3"/>
      <c r="I21" s="3"/>
      <c r="J21" s="3"/>
      <c r="K21" s="3"/>
      <c r="L21" s="3"/>
      <c r="M21" s="3"/>
      <c r="N21" s="3"/>
      <c r="O21" s="3"/>
      <c r="P21" s="3" t="s">
        <v>1141</v>
      </c>
      <c r="Q21" s="3"/>
      <c r="R21" s="3"/>
      <c r="S21" s="3"/>
      <c r="T21" s="3"/>
      <c r="U21" s="3"/>
      <c r="V21" s="3"/>
      <c r="W21" s="3"/>
      <c r="X21" s="3"/>
      <c r="Y21" s="3"/>
      <c r="Z21" s="3"/>
    </row>
    <row r="22" spans="1:26" x14ac:dyDescent="0.2">
      <c r="A22" s="3"/>
      <c r="B22" s="3"/>
      <c r="C22" s="3" t="s">
        <v>1051</v>
      </c>
      <c r="D22" s="3"/>
      <c r="E22" s="3"/>
      <c r="F22" s="3"/>
      <c r="G22" s="3"/>
      <c r="H22" s="3"/>
      <c r="I22" s="3"/>
      <c r="J22" s="3"/>
      <c r="K22" s="3"/>
      <c r="L22" s="3"/>
      <c r="M22" s="3"/>
      <c r="N22" s="3"/>
      <c r="O22" s="3"/>
      <c r="P22" s="72" t="s">
        <v>1142</v>
      </c>
      <c r="Q22" s="72"/>
      <c r="R22" s="3"/>
      <c r="S22" s="3"/>
      <c r="T22" s="3"/>
      <c r="U22" s="3"/>
      <c r="V22" s="3"/>
      <c r="W22" s="3"/>
      <c r="X22" s="3"/>
      <c r="Y22" s="3"/>
      <c r="Z22" s="3"/>
    </row>
    <row r="23" spans="1:26" x14ac:dyDescent="0.2">
      <c r="A23" s="3"/>
      <c r="B23" s="3"/>
      <c r="C23" s="3" t="s">
        <v>1143</v>
      </c>
      <c r="D23" s="3"/>
      <c r="E23" s="3"/>
      <c r="F23" s="3"/>
      <c r="G23" s="3"/>
      <c r="H23" s="3"/>
      <c r="I23" s="3"/>
      <c r="J23" s="3"/>
      <c r="K23" s="3"/>
      <c r="L23" s="3"/>
      <c r="M23" s="3"/>
      <c r="N23" s="3"/>
      <c r="O23" s="3"/>
      <c r="P23" s="72" t="s">
        <v>1144</v>
      </c>
      <c r="Q23" s="3"/>
      <c r="R23" s="3"/>
      <c r="S23" s="3"/>
      <c r="T23" s="3"/>
      <c r="U23" s="3"/>
      <c r="V23" s="3"/>
      <c r="W23" s="3"/>
      <c r="X23" s="3"/>
      <c r="Y23" s="3"/>
      <c r="Z23" s="3"/>
    </row>
    <row r="24" spans="1:26" x14ac:dyDescent="0.2">
      <c r="A24" s="3"/>
      <c r="B24" s="3"/>
      <c r="C24" s="3" t="s">
        <v>1145</v>
      </c>
      <c r="D24" s="3"/>
      <c r="E24" s="3"/>
      <c r="F24" s="3"/>
      <c r="G24" s="3"/>
      <c r="H24" s="3"/>
      <c r="I24" s="3"/>
      <c r="J24" s="3"/>
      <c r="K24" s="3"/>
      <c r="L24" s="3"/>
      <c r="M24" s="3"/>
      <c r="N24" s="3"/>
      <c r="O24" s="3"/>
      <c r="P24" s="3" t="s">
        <v>1146</v>
      </c>
      <c r="Q24" s="3"/>
      <c r="R24" s="3"/>
      <c r="S24" s="3"/>
      <c r="T24" s="3"/>
      <c r="U24" s="3"/>
      <c r="V24" s="3"/>
      <c r="W24" s="3"/>
      <c r="X24" s="3"/>
      <c r="Y24" s="3"/>
      <c r="Z24" s="3"/>
    </row>
    <row r="25" spans="1:26" x14ac:dyDescent="0.2">
      <c r="A25" s="3"/>
      <c r="B25" s="3"/>
      <c r="C25" s="3" t="s">
        <v>1147</v>
      </c>
      <c r="D25" s="3"/>
      <c r="E25" s="3"/>
      <c r="F25" s="3"/>
      <c r="G25" s="3"/>
      <c r="H25" s="3"/>
      <c r="I25" s="3"/>
      <c r="J25" s="3"/>
      <c r="K25" s="3"/>
      <c r="L25" s="3"/>
      <c r="M25" s="3"/>
      <c r="N25" s="3"/>
      <c r="O25" s="3"/>
      <c r="P25" s="3" t="s">
        <v>1148</v>
      </c>
      <c r="Q25" s="3"/>
      <c r="R25" s="3"/>
      <c r="S25" s="3"/>
      <c r="T25" s="3"/>
      <c r="U25" s="3"/>
      <c r="V25" s="3"/>
      <c r="W25" s="3"/>
      <c r="X25" s="3"/>
      <c r="Y25" s="3"/>
      <c r="Z25" s="3"/>
    </row>
    <row r="26" spans="1:26" x14ac:dyDescent="0.2">
      <c r="A26" s="3"/>
      <c r="B26" s="3"/>
      <c r="C26" s="3" t="s">
        <v>1149</v>
      </c>
      <c r="D26" s="3"/>
      <c r="E26" s="3"/>
      <c r="F26" s="3"/>
      <c r="G26" s="3"/>
      <c r="H26" s="3"/>
      <c r="I26" s="3"/>
      <c r="J26" s="3"/>
      <c r="K26" s="3"/>
      <c r="L26" s="3"/>
      <c r="M26" s="3"/>
      <c r="N26" s="3"/>
      <c r="O26" s="3"/>
      <c r="P26" s="3" t="s">
        <v>1150</v>
      </c>
      <c r="Q26" s="3"/>
      <c r="R26" s="3"/>
      <c r="S26" s="3"/>
      <c r="T26" s="3"/>
      <c r="U26" s="3"/>
      <c r="V26" s="3"/>
      <c r="W26" s="3"/>
      <c r="X26" s="3"/>
      <c r="Y26" s="3"/>
      <c r="Z26" s="3"/>
    </row>
    <row r="27" spans="1:26" x14ac:dyDescent="0.2">
      <c r="A27" s="3"/>
      <c r="B27" s="3"/>
      <c r="C27" s="3" t="s">
        <v>1151</v>
      </c>
      <c r="D27" s="3"/>
      <c r="E27" s="3"/>
      <c r="F27" s="3"/>
      <c r="G27" s="3"/>
      <c r="H27" s="3"/>
      <c r="I27" s="3"/>
      <c r="J27" s="3"/>
      <c r="K27" s="3"/>
      <c r="L27" s="3"/>
      <c r="M27" s="3"/>
      <c r="N27" s="3"/>
      <c r="O27" s="3"/>
      <c r="P27" s="3" t="s">
        <v>1152</v>
      </c>
      <c r="Q27" s="3"/>
      <c r="R27" s="3"/>
      <c r="S27" s="3"/>
      <c r="T27" s="3"/>
      <c r="U27" s="3"/>
      <c r="V27" s="3"/>
      <c r="W27" s="3"/>
      <c r="X27" s="3"/>
      <c r="Y27" s="3"/>
      <c r="Z27" s="3"/>
    </row>
    <row r="28" spans="1:26" x14ac:dyDescent="0.2">
      <c r="A28" s="3"/>
      <c r="B28" s="3"/>
      <c r="C28" s="3" t="s">
        <v>1128</v>
      </c>
      <c r="D28" s="3"/>
      <c r="E28" s="3"/>
      <c r="F28" s="3"/>
      <c r="G28" s="3"/>
      <c r="H28" s="3"/>
      <c r="I28" s="3"/>
      <c r="J28" s="3"/>
      <c r="K28" s="3"/>
      <c r="L28" s="3"/>
      <c r="M28" s="3"/>
      <c r="N28" s="3"/>
      <c r="O28" s="3"/>
      <c r="P28" s="3" t="s">
        <v>1153</v>
      </c>
      <c r="Q28" s="3"/>
      <c r="R28" s="3"/>
      <c r="S28" s="3"/>
      <c r="T28" s="3"/>
      <c r="U28" s="3"/>
      <c r="V28" s="3"/>
      <c r="W28" s="3"/>
      <c r="X28" s="3"/>
      <c r="Y28" s="3"/>
      <c r="Z28" s="3"/>
    </row>
    <row r="29" spans="1:26" x14ac:dyDescent="0.2">
      <c r="A29" s="3"/>
      <c r="B29" s="3"/>
      <c r="C29" s="72" t="s">
        <v>1154</v>
      </c>
      <c r="D29" s="3"/>
      <c r="E29" s="3"/>
      <c r="F29" s="3"/>
      <c r="G29" s="3"/>
      <c r="H29" s="3"/>
      <c r="I29" s="3"/>
      <c r="J29" s="3"/>
      <c r="K29" s="3"/>
      <c r="L29" s="3"/>
      <c r="M29" s="3"/>
      <c r="N29" s="3"/>
      <c r="O29" s="3"/>
      <c r="P29" s="3" t="s">
        <v>1155</v>
      </c>
      <c r="Q29" s="3"/>
      <c r="R29" s="3"/>
      <c r="S29" s="3"/>
      <c r="T29" s="3"/>
      <c r="U29" s="3"/>
      <c r="V29" s="3"/>
      <c r="W29" s="3"/>
      <c r="X29" s="3"/>
      <c r="Y29" s="3"/>
      <c r="Z29" s="3"/>
    </row>
    <row r="30" spans="1:26" x14ac:dyDescent="0.2">
      <c r="A30" s="3"/>
      <c r="B30" s="3"/>
      <c r="C30" s="3" t="s">
        <v>1156</v>
      </c>
      <c r="D30" s="3"/>
      <c r="E30" s="3"/>
      <c r="F30" s="3"/>
      <c r="G30" s="3"/>
      <c r="H30" s="3"/>
      <c r="I30" s="3"/>
      <c r="J30" s="3"/>
      <c r="K30" s="3"/>
      <c r="L30" s="3"/>
      <c r="M30" s="3"/>
      <c r="N30" s="3"/>
      <c r="O30" s="3"/>
      <c r="P30" s="3" t="s">
        <v>1157</v>
      </c>
      <c r="Q30" s="3"/>
      <c r="R30" s="3"/>
      <c r="S30" s="3"/>
      <c r="T30" s="3"/>
      <c r="U30" s="3"/>
      <c r="V30" s="3"/>
      <c r="W30" s="3"/>
      <c r="X30" s="3"/>
      <c r="Y30" s="3"/>
      <c r="Z30" s="3"/>
    </row>
    <row r="31" spans="1:26" x14ac:dyDescent="0.2">
      <c r="A31" s="3"/>
      <c r="B31" s="3"/>
      <c r="C31" s="3" t="s">
        <v>1158</v>
      </c>
      <c r="D31" s="3"/>
      <c r="E31" s="3"/>
      <c r="F31" s="3"/>
      <c r="G31" s="3"/>
      <c r="H31" s="3"/>
      <c r="I31" s="3"/>
      <c r="J31" s="3"/>
      <c r="K31" s="3"/>
      <c r="L31" s="3"/>
      <c r="M31" s="3"/>
      <c r="N31" s="3"/>
      <c r="O31" s="3"/>
      <c r="P31" s="72" t="s">
        <v>1159</v>
      </c>
      <c r="Q31" s="3"/>
      <c r="R31" s="3"/>
      <c r="S31" s="3"/>
      <c r="T31" s="3"/>
      <c r="U31" s="3"/>
      <c r="V31" s="3"/>
      <c r="W31" s="3"/>
      <c r="X31" s="3"/>
      <c r="Y31" s="3"/>
      <c r="Z31" s="3"/>
    </row>
    <row r="32" spans="1:26" x14ac:dyDescent="0.2">
      <c r="A32" s="3"/>
      <c r="B32" s="3"/>
      <c r="C32" s="3" t="s">
        <v>1160</v>
      </c>
      <c r="D32" s="3"/>
      <c r="E32" s="3"/>
      <c r="F32" s="3"/>
      <c r="G32" s="3"/>
      <c r="H32" s="3"/>
      <c r="I32" s="3"/>
      <c r="J32" s="3"/>
      <c r="K32" s="3"/>
      <c r="L32" s="3"/>
      <c r="M32" s="3"/>
      <c r="N32" s="3"/>
      <c r="O32" s="3"/>
      <c r="P32" s="3" t="s">
        <v>1161</v>
      </c>
      <c r="Q32" s="3"/>
      <c r="R32" s="3"/>
      <c r="S32" s="3"/>
      <c r="T32" s="3"/>
      <c r="U32" s="3"/>
      <c r="V32" s="3"/>
      <c r="W32" s="3"/>
      <c r="X32" s="3"/>
      <c r="Y32" s="3"/>
      <c r="Z32" s="3"/>
    </row>
    <row r="33" spans="1:26" x14ac:dyDescent="0.2">
      <c r="A33" s="3"/>
      <c r="B33" s="3"/>
      <c r="C33" s="3" t="s">
        <v>1162</v>
      </c>
      <c r="D33" s="3"/>
      <c r="E33" s="3"/>
      <c r="F33" s="3"/>
      <c r="G33" s="3"/>
      <c r="H33" s="3"/>
      <c r="I33" s="3"/>
      <c r="J33" s="3"/>
      <c r="K33" s="3"/>
      <c r="L33" s="3"/>
      <c r="M33" s="3"/>
      <c r="N33" s="3"/>
      <c r="O33" s="3"/>
      <c r="P33" s="3" t="s">
        <v>1163</v>
      </c>
      <c r="Q33" s="3"/>
      <c r="R33" s="3"/>
      <c r="S33" s="3"/>
      <c r="T33" s="3"/>
      <c r="U33" s="3"/>
      <c r="V33" s="3"/>
      <c r="W33" s="3"/>
      <c r="X33" s="3"/>
      <c r="Y33" s="3"/>
      <c r="Z33" s="3"/>
    </row>
    <row r="34" spans="1:26" x14ac:dyDescent="0.2">
      <c r="A34" s="3"/>
      <c r="B34" s="3"/>
      <c r="C34" s="3" t="s">
        <v>1164</v>
      </c>
      <c r="D34" s="3"/>
      <c r="E34" s="3"/>
      <c r="F34" s="3"/>
      <c r="G34" s="3"/>
      <c r="H34" s="3"/>
      <c r="I34" s="3"/>
      <c r="J34" s="3"/>
      <c r="K34" s="3"/>
      <c r="L34" s="3"/>
      <c r="M34" s="3"/>
      <c r="N34" s="3"/>
      <c r="O34" s="3"/>
      <c r="P34" s="3" t="s">
        <v>1165</v>
      </c>
      <c r="Q34" s="3"/>
      <c r="R34" s="3"/>
      <c r="S34" s="3"/>
      <c r="T34" s="3"/>
      <c r="U34" s="3"/>
      <c r="V34" s="3"/>
      <c r="W34" s="3"/>
      <c r="X34" s="3"/>
      <c r="Y34" s="3"/>
      <c r="Z34" s="3"/>
    </row>
    <row r="35" spans="1:26" x14ac:dyDescent="0.2">
      <c r="A35" s="3"/>
      <c r="B35" s="3"/>
      <c r="C35" s="3" t="s">
        <v>1166</v>
      </c>
      <c r="D35" s="3"/>
      <c r="E35" s="3"/>
      <c r="F35" s="3"/>
      <c r="G35" s="3"/>
      <c r="H35" s="3"/>
      <c r="I35" s="3"/>
      <c r="J35" s="3"/>
      <c r="K35" s="3"/>
      <c r="L35" s="3"/>
      <c r="M35" s="3"/>
      <c r="N35" s="3"/>
      <c r="O35" s="3"/>
      <c r="P35" s="3" t="s">
        <v>1167</v>
      </c>
      <c r="Q35" s="3"/>
      <c r="R35" s="3"/>
      <c r="S35" s="3"/>
      <c r="T35" s="3"/>
      <c r="U35" s="3"/>
      <c r="V35" s="3"/>
      <c r="W35" s="3"/>
      <c r="X35" s="3"/>
      <c r="Y35" s="3"/>
      <c r="Z35" s="3"/>
    </row>
    <row r="36" spans="1:26" x14ac:dyDescent="0.2">
      <c r="A36" s="3"/>
      <c r="B36" s="3"/>
      <c r="C36" s="3" t="s">
        <v>1168</v>
      </c>
      <c r="D36" s="3"/>
      <c r="E36" s="3"/>
      <c r="F36" s="3"/>
      <c r="G36" s="3"/>
      <c r="H36" s="3"/>
      <c r="I36" s="3"/>
      <c r="J36" s="3"/>
      <c r="K36" s="3"/>
      <c r="L36" s="3"/>
      <c r="M36" s="3"/>
      <c r="N36" s="3"/>
      <c r="O36" s="3"/>
      <c r="P36" s="3" t="s">
        <v>1169</v>
      </c>
      <c r="Q36" s="3"/>
      <c r="R36" s="3"/>
      <c r="S36" s="3"/>
      <c r="T36" s="3"/>
      <c r="U36" s="3"/>
      <c r="V36" s="3"/>
      <c r="W36" s="3"/>
      <c r="X36" s="3"/>
      <c r="Y36" s="3"/>
      <c r="Z36" s="3"/>
    </row>
    <row r="37" spans="1:26" x14ac:dyDescent="0.2">
      <c r="A37" s="3"/>
      <c r="B37" s="3"/>
      <c r="C37" s="3" t="s">
        <v>1170</v>
      </c>
      <c r="D37" s="3"/>
      <c r="E37" s="3"/>
      <c r="F37" s="3"/>
      <c r="G37" s="3"/>
      <c r="H37" s="3"/>
      <c r="I37" s="3"/>
      <c r="J37" s="3"/>
      <c r="K37" s="3"/>
      <c r="L37" s="3"/>
      <c r="M37" s="3"/>
      <c r="N37" s="3"/>
      <c r="O37" s="3"/>
      <c r="P37" s="3" t="s">
        <v>1171</v>
      </c>
      <c r="Q37" s="3"/>
      <c r="R37" s="3"/>
      <c r="S37" s="3"/>
      <c r="T37" s="3"/>
      <c r="U37" s="3"/>
      <c r="V37" s="3"/>
      <c r="W37" s="3"/>
      <c r="X37" s="3"/>
      <c r="Y37" s="3"/>
      <c r="Z37" s="3"/>
    </row>
    <row r="38" spans="1:26" x14ac:dyDescent="0.2">
      <c r="A38" s="3"/>
      <c r="B38" s="3"/>
      <c r="C38" s="3"/>
      <c r="D38" s="3"/>
      <c r="E38" s="3"/>
      <c r="F38" s="3"/>
      <c r="G38" s="3"/>
      <c r="H38" s="3"/>
      <c r="I38" s="3"/>
      <c r="J38" s="3"/>
      <c r="K38" s="3"/>
      <c r="L38" s="3"/>
      <c r="M38" s="3"/>
      <c r="N38" s="3"/>
      <c r="O38" s="3"/>
      <c r="P38" s="3" t="s">
        <v>1172</v>
      </c>
      <c r="Q38" s="3"/>
      <c r="R38" s="3"/>
      <c r="S38" s="3"/>
      <c r="T38" s="3"/>
      <c r="U38" s="3"/>
      <c r="V38" s="3"/>
      <c r="W38" s="3"/>
      <c r="X38" s="3"/>
      <c r="Y38" s="3"/>
      <c r="Z38" s="3"/>
    </row>
    <row r="39" spans="1:26" x14ac:dyDescent="0.2">
      <c r="A39" s="3"/>
      <c r="B39" s="3"/>
      <c r="C39" s="3"/>
      <c r="D39" s="3"/>
      <c r="E39" s="3"/>
      <c r="F39" s="3"/>
      <c r="G39" s="3"/>
      <c r="H39" s="3"/>
      <c r="I39" s="3"/>
      <c r="J39" s="3"/>
      <c r="K39" s="3"/>
      <c r="L39" s="3"/>
      <c r="M39" s="3"/>
      <c r="N39" s="3"/>
      <c r="O39" s="3"/>
      <c r="P39" s="3" t="s">
        <v>1173</v>
      </c>
      <c r="Q39" s="3"/>
      <c r="R39" s="3"/>
      <c r="S39" s="3"/>
      <c r="T39" s="3"/>
      <c r="U39" s="3"/>
      <c r="V39" s="3"/>
      <c r="W39" s="3"/>
      <c r="X39" s="3"/>
      <c r="Y39" s="3"/>
      <c r="Z39" s="3"/>
    </row>
    <row r="40" spans="1:26" x14ac:dyDescent="0.2">
      <c r="A40" s="3"/>
      <c r="B40" s="3"/>
      <c r="C40" s="3"/>
      <c r="D40" s="3"/>
      <c r="E40" s="3"/>
      <c r="F40" s="3"/>
      <c r="G40" s="3"/>
      <c r="H40" s="3"/>
      <c r="I40" s="3"/>
      <c r="J40" s="3"/>
      <c r="K40" s="3"/>
      <c r="L40" s="3"/>
      <c r="M40" s="3"/>
      <c r="N40" s="3"/>
      <c r="O40" s="3"/>
      <c r="P40" s="3" t="s">
        <v>1174</v>
      </c>
      <c r="Q40" s="3"/>
      <c r="R40" s="3"/>
      <c r="S40" s="3"/>
      <c r="T40" s="3"/>
      <c r="U40" s="3"/>
      <c r="V40" s="3"/>
      <c r="W40" s="3"/>
      <c r="X40" s="3"/>
      <c r="Y40" s="3"/>
      <c r="Z40" s="3"/>
    </row>
    <row r="41" spans="1:26" x14ac:dyDescent="0.2">
      <c r="A41" s="3"/>
      <c r="B41" s="3"/>
      <c r="C41" s="3"/>
      <c r="D41" s="3"/>
      <c r="E41" s="3"/>
      <c r="F41" s="3"/>
      <c r="G41" s="3"/>
      <c r="H41" s="3"/>
      <c r="I41" s="3"/>
      <c r="J41" s="3"/>
      <c r="K41" s="3"/>
      <c r="L41" s="3"/>
      <c r="M41" s="3"/>
      <c r="N41" s="3"/>
      <c r="O41" s="3"/>
      <c r="P41" s="3" t="s">
        <v>1175</v>
      </c>
      <c r="Q41" s="3"/>
      <c r="R41" s="3"/>
      <c r="S41" s="3"/>
      <c r="T41" s="3"/>
      <c r="U41" s="3"/>
      <c r="V41" s="3"/>
      <c r="W41" s="3"/>
      <c r="X41" s="3"/>
      <c r="Y41" s="3"/>
      <c r="Z41" s="3"/>
    </row>
    <row r="42" spans="1:26" x14ac:dyDescent="0.2">
      <c r="A42" s="3"/>
      <c r="B42" s="3"/>
      <c r="C42" s="3"/>
      <c r="D42" s="3"/>
      <c r="E42" s="3"/>
      <c r="F42" s="3"/>
      <c r="G42" s="3"/>
      <c r="H42" s="3"/>
      <c r="I42" s="3"/>
      <c r="J42" s="3"/>
      <c r="K42" s="3"/>
      <c r="L42" s="3"/>
      <c r="M42" s="3"/>
      <c r="N42" s="3"/>
      <c r="O42" s="3"/>
      <c r="P42" s="3" t="s">
        <v>1176</v>
      </c>
      <c r="Q42" s="3"/>
      <c r="R42" s="3"/>
      <c r="S42" s="3"/>
      <c r="T42" s="3"/>
      <c r="U42" s="3"/>
      <c r="V42" s="3"/>
      <c r="W42" s="3"/>
      <c r="X42" s="3"/>
      <c r="Y42" s="3"/>
      <c r="Z42" s="3"/>
    </row>
    <row r="43" spans="1:26" x14ac:dyDescent="0.2">
      <c r="A43" s="3"/>
      <c r="B43" s="3"/>
      <c r="C43" s="3"/>
      <c r="D43" s="3"/>
      <c r="E43" s="3"/>
      <c r="F43" s="3"/>
      <c r="G43" s="3"/>
      <c r="H43" s="3"/>
      <c r="I43" s="3"/>
      <c r="J43" s="3"/>
      <c r="K43" s="3"/>
      <c r="L43" s="3"/>
      <c r="M43" s="3"/>
      <c r="N43" s="3"/>
      <c r="O43" s="3"/>
      <c r="P43" s="3" t="s">
        <v>1177</v>
      </c>
      <c r="Q43" s="3"/>
      <c r="R43" s="3"/>
      <c r="S43" s="3"/>
      <c r="T43" s="3"/>
      <c r="U43" s="3"/>
      <c r="V43" s="3"/>
      <c r="W43" s="3"/>
      <c r="X43" s="3"/>
      <c r="Y43" s="3"/>
      <c r="Z43" s="3"/>
    </row>
    <row r="44" spans="1:26" x14ac:dyDescent="0.2">
      <c r="A44" s="3"/>
      <c r="B44" s="3"/>
      <c r="C44" s="3"/>
      <c r="D44" s="3"/>
      <c r="E44" s="3"/>
      <c r="F44" s="3"/>
      <c r="G44" s="3"/>
      <c r="H44" s="3"/>
      <c r="I44" s="3"/>
      <c r="J44" s="3"/>
      <c r="K44" s="3"/>
      <c r="L44" s="3"/>
      <c r="M44" s="3"/>
      <c r="N44" s="3"/>
      <c r="O44" s="3"/>
      <c r="P44" s="3" t="s">
        <v>1178</v>
      </c>
      <c r="Q44" s="3"/>
      <c r="R44" s="3"/>
      <c r="S44" s="3"/>
      <c r="T44" s="3"/>
      <c r="U44" s="3"/>
      <c r="V44" s="3"/>
      <c r="W44" s="3"/>
      <c r="X44" s="3"/>
      <c r="Y44" s="3"/>
      <c r="Z44" s="3"/>
    </row>
    <row r="45" spans="1:26" x14ac:dyDescent="0.2">
      <c r="A45" s="3"/>
      <c r="B45" s="3"/>
      <c r="C45" s="3"/>
      <c r="D45" s="3"/>
      <c r="E45" s="3"/>
      <c r="F45" s="3"/>
      <c r="G45" s="3"/>
      <c r="H45" s="3"/>
      <c r="I45" s="3"/>
      <c r="J45" s="3"/>
      <c r="K45" s="3"/>
      <c r="L45" s="3"/>
      <c r="M45" s="3"/>
      <c r="N45" s="3"/>
      <c r="O45" s="3"/>
      <c r="P45" s="3" t="s">
        <v>1179</v>
      </c>
      <c r="Q45" s="3"/>
      <c r="R45" s="3"/>
      <c r="S45" s="3"/>
      <c r="T45" s="3"/>
      <c r="U45" s="3"/>
      <c r="V45" s="3"/>
      <c r="W45" s="3"/>
      <c r="X45" s="3"/>
      <c r="Y45" s="3"/>
      <c r="Z45" s="3"/>
    </row>
    <row r="46" spans="1:26" x14ac:dyDescent="0.2">
      <c r="A46" s="3"/>
      <c r="B46" s="3"/>
      <c r="C46" s="3"/>
      <c r="D46" s="3"/>
      <c r="E46" s="3"/>
      <c r="F46" s="3"/>
      <c r="G46" s="3"/>
      <c r="H46" s="3"/>
      <c r="I46" s="3"/>
      <c r="J46" s="3"/>
      <c r="K46" s="3"/>
      <c r="L46" s="3"/>
      <c r="M46" s="3"/>
      <c r="N46" s="3"/>
      <c r="O46" s="3"/>
      <c r="P46" s="3" t="s">
        <v>1180</v>
      </c>
      <c r="Q46" s="3"/>
      <c r="R46" s="3"/>
      <c r="S46" s="3"/>
      <c r="T46" s="3"/>
      <c r="U46" s="3"/>
      <c r="V46" s="3"/>
      <c r="W46" s="3"/>
      <c r="X46" s="3"/>
      <c r="Y46" s="3"/>
      <c r="Z46" s="3"/>
    </row>
    <row r="47" spans="1:26" x14ac:dyDescent="0.2">
      <c r="A47" s="3"/>
      <c r="B47" s="3"/>
      <c r="C47" s="3"/>
      <c r="D47" s="3"/>
      <c r="E47" s="3"/>
      <c r="F47" s="3"/>
      <c r="G47" s="3"/>
      <c r="H47" s="3"/>
      <c r="I47" s="3"/>
      <c r="J47" s="3"/>
      <c r="K47" s="3"/>
      <c r="L47" s="3"/>
      <c r="M47" s="3"/>
      <c r="N47" s="3"/>
      <c r="O47" s="3"/>
      <c r="P47" s="3" t="s">
        <v>1181</v>
      </c>
      <c r="Q47" s="3"/>
      <c r="R47" s="3"/>
      <c r="S47" s="3"/>
      <c r="T47" s="3"/>
      <c r="U47" s="3"/>
      <c r="V47" s="3"/>
      <c r="W47" s="3"/>
      <c r="X47" s="3"/>
      <c r="Y47" s="3"/>
      <c r="Z47" s="3"/>
    </row>
    <row r="48" spans="1:26" x14ac:dyDescent="0.2">
      <c r="A48" s="3"/>
      <c r="B48" s="3"/>
      <c r="C48" s="3"/>
      <c r="D48" s="3"/>
      <c r="E48" s="3"/>
      <c r="F48" s="3"/>
      <c r="G48" s="3"/>
      <c r="H48" s="3"/>
      <c r="I48" s="3"/>
      <c r="J48" s="3"/>
      <c r="K48" s="3"/>
      <c r="L48" s="3"/>
      <c r="M48" s="3"/>
      <c r="N48" s="3"/>
      <c r="O48" s="3"/>
      <c r="P48" s="3" t="s">
        <v>1182</v>
      </c>
      <c r="Q48" s="3"/>
      <c r="R48" s="3"/>
      <c r="S48" s="3"/>
      <c r="T48" s="3"/>
      <c r="U48" s="3"/>
      <c r="V48" s="3"/>
      <c r="W48" s="3"/>
      <c r="X48" s="3"/>
      <c r="Y48" s="3"/>
      <c r="Z48" s="3"/>
    </row>
    <row r="49" spans="1:26" x14ac:dyDescent="0.2">
      <c r="A49" s="3"/>
      <c r="B49" s="3"/>
      <c r="C49" s="3"/>
      <c r="D49" s="3"/>
      <c r="E49" s="3"/>
      <c r="F49" s="3"/>
      <c r="G49" s="3"/>
      <c r="H49" s="3"/>
      <c r="I49" s="3"/>
      <c r="J49" s="3"/>
      <c r="K49" s="3"/>
      <c r="L49" s="3"/>
      <c r="M49" s="3"/>
      <c r="N49" s="3"/>
      <c r="O49" s="3"/>
      <c r="P49" s="3" t="s">
        <v>1183</v>
      </c>
      <c r="Q49" s="3"/>
      <c r="R49" s="3"/>
      <c r="S49" s="3"/>
      <c r="T49" s="3"/>
      <c r="U49" s="3"/>
      <c r="V49" s="3"/>
      <c r="W49" s="3"/>
      <c r="X49" s="3"/>
      <c r="Y49" s="3"/>
      <c r="Z49" s="3"/>
    </row>
    <row r="50" spans="1:26" x14ac:dyDescent="0.2">
      <c r="A50" s="3"/>
      <c r="B50" s="3"/>
      <c r="C50" s="3"/>
      <c r="D50" s="3"/>
      <c r="E50" s="3"/>
      <c r="F50" s="3"/>
      <c r="G50" s="3"/>
      <c r="H50" s="3"/>
      <c r="I50" s="3"/>
      <c r="J50" s="3"/>
      <c r="K50" s="3"/>
      <c r="L50" s="3"/>
      <c r="M50" s="3"/>
      <c r="N50" s="3"/>
      <c r="O50" s="3"/>
      <c r="P50" s="3" t="s">
        <v>1184</v>
      </c>
      <c r="Q50" s="3"/>
      <c r="R50" s="3"/>
      <c r="S50" s="3"/>
      <c r="T50" s="3"/>
      <c r="U50" s="3"/>
      <c r="V50" s="3"/>
      <c r="W50" s="3"/>
      <c r="X50" s="3"/>
      <c r="Y50" s="3"/>
      <c r="Z50" s="3"/>
    </row>
    <row r="51" spans="1:26" x14ac:dyDescent="0.2">
      <c r="A51" s="3"/>
      <c r="B51" s="3"/>
      <c r="C51" s="3"/>
      <c r="D51" s="3"/>
      <c r="E51" s="3"/>
      <c r="F51" s="3"/>
      <c r="G51" s="3"/>
      <c r="H51" s="3"/>
      <c r="I51" s="3"/>
      <c r="J51" s="3"/>
      <c r="K51" s="3"/>
      <c r="L51" s="3"/>
      <c r="M51" s="3"/>
      <c r="N51" s="3"/>
      <c r="O51" s="3"/>
      <c r="P51" s="3" t="s">
        <v>1185</v>
      </c>
      <c r="Q51" s="3"/>
      <c r="R51" s="3"/>
      <c r="S51" s="3"/>
      <c r="T51" s="3"/>
      <c r="U51" s="3"/>
      <c r="V51" s="3"/>
      <c r="W51" s="3"/>
      <c r="X51" s="3"/>
      <c r="Y51" s="3"/>
      <c r="Z51" s="3"/>
    </row>
    <row r="52" spans="1:26" x14ac:dyDescent="0.2">
      <c r="A52" s="3"/>
      <c r="B52" s="3"/>
      <c r="C52" s="3"/>
      <c r="D52" s="3"/>
      <c r="E52" s="3"/>
      <c r="F52" s="3"/>
      <c r="G52" s="3"/>
      <c r="H52" s="3"/>
      <c r="I52" s="3"/>
      <c r="J52" s="3"/>
      <c r="K52" s="3"/>
      <c r="L52" s="3"/>
      <c r="M52" s="3"/>
      <c r="N52" s="3"/>
      <c r="O52" s="3"/>
      <c r="P52" s="3" t="s">
        <v>1186</v>
      </c>
      <c r="Q52" s="3"/>
      <c r="R52" s="3"/>
      <c r="S52" s="3"/>
      <c r="T52" s="3"/>
      <c r="U52" s="3"/>
      <c r="V52" s="3"/>
      <c r="W52" s="3"/>
      <c r="X52" s="3"/>
      <c r="Y52" s="3"/>
      <c r="Z52" s="3"/>
    </row>
    <row r="53" spans="1:26" x14ac:dyDescent="0.2">
      <c r="A53" s="3"/>
      <c r="B53" s="3"/>
      <c r="C53" s="3"/>
      <c r="D53" s="3"/>
      <c r="E53" s="3"/>
      <c r="F53" s="3"/>
      <c r="G53" s="3"/>
      <c r="H53" s="3"/>
      <c r="I53" s="3"/>
      <c r="J53" s="3"/>
      <c r="K53" s="3"/>
      <c r="L53" s="3"/>
      <c r="M53" s="3"/>
      <c r="N53" s="3"/>
      <c r="O53" s="3"/>
      <c r="P53" s="3" t="s">
        <v>1187</v>
      </c>
      <c r="Q53" s="3"/>
      <c r="R53" s="3"/>
      <c r="S53" s="3"/>
      <c r="T53" s="3"/>
      <c r="U53" s="3"/>
      <c r="V53" s="3"/>
      <c r="W53" s="3"/>
      <c r="X53" s="3"/>
      <c r="Y53" s="3"/>
      <c r="Z53" s="3"/>
    </row>
    <row r="54" spans="1:26" x14ac:dyDescent="0.2">
      <c r="A54" s="3"/>
      <c r="B54" s="3"/>
      <c r="C54" s="3"/>
      <c r="D54" s="3"/>
      <c r="E54" s="3"/>
      <c r="F54" s="3"/>
      <c r="G54" s="3"/>
      <c r="H54" s="3"/>
      <c r="I54" s="3"/>
      <c r="J54" s="3"/>
      <c r="K54" s="3"/>
      <c r="L54" s="3"/>
      <c r="M54" s="3"/>
      <c r="N54" s="3"/>
      <c r="O54" s="3"/>
      <c r="P54" s="3" t="s">
        <v>1188</v>
      </c>
      <c r="Q54" s="3"/>
      <c r="R54" s="3"/>
      <c r="S54" s="3"/>
      <c r="T54" s="3"/>
      <c r="U54" s="3"/>
      <c r="V54" s="3"/>
      <c r="W54" s="3"/>
      <c r="X54" s="3"/>
      <c r="Y54" s="3"/>
      <c r="Z54" s="3"/>
    </row>
    <row r="55" spans="1:26" x14ac:dyDescent="0.2">
      <c r="A55" s="3"/>
      <c r="B55" s="3"/>
      <c r="C55" s="3"/>
      <c r="D55" s="3"/>
      <c r="E55" s="3"/>
      <c r="F55" s="3"/>
      <c r="G55" s="3"/>
      <c r="H55" s="3"/>
      <c r="I55" s="3"/>
      <c r="J55" s="3"/>
      <c r="K55" s="3"/>
      <c r="L55" s="3"/>
      <c r="M55" s="3"/>
      <c r="N55" s="3"/>
      <c r="O55" s="3"/>
      <c r="P55" s="3" t="s">
        <v>1189</v>
      </c>
      <c r="Q55" s="3"/>
      <c r="R55" s="3"/>
      <c r="S55" s="3"/>
      <c r="T55" s="3"/>
      <c r="U55" s="3"/>
      <c r="V55" s="3"/>
      <c r="W55" s="3"/>
      <c r="X55" s="3"/>
      <c r="Y55" s="3"/>
      <c r="Z55" s="3"/>
    </row>
    <row r="56" spans="1:26" x14ac:dyDescent="0.2">
      <c r="A56" s="3"/>
      <c r="B56" s="3"/>
      <c r="C56" s="3"/>
      <c r="D56" s="3"/>
      <c r="E56" s="3"/>
      <c r="F56" s="3"/>
      <c r="G56" s="3"/>
      <c r="H56" s="3"/>
      <c r="I56" s="3"/>
      <c r="J56" s="3"/>
      <c r="K56" s="3"/>
      <c r="L56" s="3"/>
      <c r="M56" s="3"/>
      <c r="N56" s="3"/>
      <c r="O56" s="3"/>
      <c r="P56" s="3" t="s">
        <v>1190</v>
      </c>
      <c r="Q56" s="3"/>
      <c r="R56" s="3"/>
      <c r="S56" s="3"/>
      <c r="T56" s="3"/>
      <c r="U56" s="3"/>
      <c r="V56" s="3"/>
      <c r="W56" s="3"/>
      <c r="X56" s="3"/>
      <c r="Y56" s="3"/>
      <c r="Z56" s="3"/>
    </row>
    <row r="57" spans="1:26" x14ac:dyDescent="0.2">
      <c r="A57" s="3"/>
      <c r="B57" s="3"/>
      <c r="C57" s="3"/>
      <c r="D57" s="3"/>
      <c r="E57" s="3"/>
      <c r="F57" s="3"/>
      <c r="G57" s="3"/>
      <c r="H57" s="3"/>
      <c r="I57" s="3"/>
      <c r="J57" s="3"/>
      <c r="K57" s="3"/>
      <c r="L57" s="3"/>
      <c r="M57" s="3"/>
      <c r="N57" s="3"/>
      <c r="O57" s="3"/>
      <c r="P57" s="3" t="s">
        <v>1191</v>
      </c>
      <c r="Q57" s="3"/>
      <c r="R57" s="3"/>
      <c r="S57" s="3"/>
      <c r="T57" s="3"/>
      <c r="U57" s="3"/>
      <c r="V57" s="3"/>
      <c r="W57" s="3"/>
      <c r="X57" s="3"/>
      <c r="Y57" s="3"/>
      <c r="Z57" s="3"/>
    </row>
    <row r="58" spans="1:26" x14ac:dyDescent="0.2">
      <c r="A58" s="3"/>
      <c r="B58" s="3"/>
      <c r="C58" s="3"/>
      <c r="D58" s="3"/>
      <c r="E58" s="3"/>
      <c r="F58" s="3"/>
      <c r="G58" s="3"/>
      <c r="H58" s="3"/>
      <c r="I58" s="3"/>
      <c r="J58" s="3"/>
      <c r="K58" s="3"/>
      <c r="L58" s="3"/>
      <c r="M58" s="3"/>
      <c r="N58" s="3"/>
      <c r="O58" s="3"/>
      <c r="P58" s="3" t="s">
        <v>1192</v>
      </c>
      <c r="Q58" s="3"/>
      <c r="R58" s="3"/>
      <c r="S58" s="3"/>
      <c r="T58" s="3"/>
      <c r="U58" s="3"/>
      <c r="V58" s="3"/>
      <c r="W58" s="3"/>
      <c r="X58" s="3"/>
      <c r="Y58" s="3"/>
      <c r="Z58" s="3"/>
    </row>
    <row r="59" spans="1:26" x14ac:dyDescent="0.2">
      <c r="A59" s="3"/>
      <c r="B59" s="3"/>
      <c r="C59" s="3"/>
      <c r="D59" s="3"/>
      <c r="E59" s="3"/>
      <c r="F59" s="3"/>
      <c r="G59" s="3"/>
      <c r="H59" s="3"/>
      <c r="I59" s="3"/>
      <c r="J59" s="3"/>
      <c r="K59" s="3"/>
      <c r="L59" s="3"/>
      <c r="M59" s="3"/>
      <c r="N59" s="3"/>
      <c r="O59" s="3"/>
      <c r="P59" s="3" t="s">
        <v>1193</v>
      </c>
      <c r="Q59" s="3"/>
      <c r="R59" s="3"/>
      <c r="S59" s="3"/>
      <c r="T59" s="3"/>
      <c r="U59" s="3"/>
      <c r="V59" s="3"/>
      <c r="W59" s="3"/>
      <c r="X59" s="3"/>
      <c r="Y59" s="3"/>
      <c r="Z59" s="3"/>
    </row>
    <row r="60" spans="1:26" x14ac:dyDescent="0.2">
      <c r="A60" s="3"/>
      <c r="B60" s="3"/>
      <c r="C60" s="3"/>
      <c r="D60" s="3"/>
      <c r="E60" s="3"/>
      <c r="F60" s="3"/>
      <c r="G60" s="3"/>
      <c r="H60" s="3"/>
      <c r="I60" s="3"/>
      <c r="J60" s="3"/>
      <c r="K60" s="3"/>
      <c r="L60" s="3"/>
      <c r="M60" s="3"/>
      <c r="N60" s="3"/>
      <c r="O60" s="3"/>
      <c r="P60" s="3" t="s">
        <v>1194</v>
      </c>
      <c r="Q60" s="3"/>
      <c r="R60" s="3"/>
      <c r="S60" s="3"/>
      <c r="T60" s="3"/>
      <c r="U60" s="3"/>
      <c r="V60" s="3"/>
      <c r="W60" s="3"/>
      <c r="X60" s="3"/>
      <c r="Y60" s="3"/>
      <c r="Z60" s="3"/>
    </row>
    <row r="61" spans="1:26" x14ac:dyDescent="0.2">
      <c r="A61" s="3"/>
      <c r="B61" s="3"/>
      <c r="C61" s="3"/>
      <c r="D61" s="3"/>
      <c r="E61" s="3"/>
      <c r="F61" s="3"/>
      <c r="G61" s="3"/>
      <c r="H61" s="3"/>
      <c r="I61" s="3"/>
      <c r="J61" s="3"/>
      <c r="K61" s="3"/>
      <c r="L61" s="3"/>
      <c r="M61" s="3"/>
      <c r="N61" s="3"/>
      <c r="O61" s="3"/>
      <c r="P61" s="3" t="s">
        <v>1195</v>
      </c>
      <c r="Q61" s="3"/>
      <c r="R61" s="3"/>
      <c r="S61" s="3"/>
      <c r="T61" s="3"/>
      <c r="U61" s="3"/>
      <c r="V61" s="3"/>
      <c r="W61" s="3"/>
      <c r="X61" s="3"/>
      <c r="Y61" s="3"/>
      <c r="Z61" s="3"/>
    </row>
    <row r="62" spans="1:26" x14ac:dyDescent="0.2">
      <c r="A62" s="3"/>
      <c r="B62" s="3"/>
      <c r="C62" s="3"/>
      <c r="D62" s="3"/>
      <c r="E62" s="3"/>
      <c r="F62" s="3"/>
      <c r="G62" s="3"/>
      <c r="H62" s="3"/>
      <c r="I62" s="3"/>
      <c r="J62" s="3"/>
      <c r="K62" s="3"/>
      <c r="L62" s="3"/>
      <c r="M62" s="3"/>
      <c r="N62" s="3"/>
      <c r="O62" s="3"/>
      <c r="P62" s="3" t="s">
        <v>1196</v>
      </c>
      <c r="Q62" s="3"/>
      <c r="R62" s="3"/>
      <c r="S62" s="3"/>
      <c r="T62" s="3"/>
      <c r="U62" s="3"/>
      <c r="V62" s="3"/>
      <c r="W62" s="3"/>
      <c r="X62" s="3"/>
      <c r="Y62" s="3"/>
      <c r="Z62" s="3"/>
    </row>
    <row r="63" spans="1:26" x14ac:dyDescent="0.2">
      <c r="A63" s="3"/>
      <c r="B63" s="3"/>
      <c r="C63" s="3"/>
      <c r="D63" s="3"/>
      <c r="E63" s="3"/>
      <c r="F63" s="3"/>
      <c r="G63" s="3"/>
      <c r="H63" s="3"/>
      <c r="I63" s="3"/>
      <c r="J63" s="3"/>
      <c r="K63" s="3"/>
      <c r="L63" s="3"/>
      <c r="M63" s="3"/>
      <c r="N63" s="3"/>
      <c r="O63" s="3"/>
      <c r="P63" s="3" t="s">
        <v>1197</v>
      </c>
      <c r="Q63" s="3"/>
      <c r="R63" s="3"/>
      <c r="S63" s="3"/>
      <c r="T63" s="3"/>
      <c r="U63" s="3"/>
      <c r="V63" s="3"/>
      <c r="W63" s="3"/>
      <c r="X63" s="3"/>
      <c r="Y63" s="3"/>
      <c r="Z63" s="3"/>
    </row>
    <row r="64" spans="1:26" x14ac:dyDescent="0.2">
      <c r="A64" s="3"/>
      <c r="B64" s="3"/>
      <c r="C64" s="3"/>
      <c r="D64" s="3"/>
      <c r="E64" s="3"/>
      <c r="F64" s="3"/>
      <c r="G64" s="3"/>
      <c r="H64" s="3"/>
      <c r="I64" s="3"/>
      <c r="J64" s="3"/>
      <c r="K64" s="3"/>
      <c r="L64" s="3"/>
      <c r="M64" s="3"/>
      <c r="N64" s="3"/>
      <c r="O64" s="3"/>
      <c r="P64" s="3" t="s">
        <v>1198</v>
      </c>
      <c r="Q64" s="3"/>
      <c r="R64" s="3"/>
      <c r="S64" s="3"/>
      <c r="T64" s="3"/>
      <c r="U64" s="3"/>
      <c r="V64" s="3"/>
      <c r="W64" s="3"/>
      <c r="X64" s="3"/>
      <c r="Y64" s="3"/>
      <c r="Z64" s="3"/>
    </row>
    <row r="65" spans="1:26" x14ac:dyDescent="0.2">
      <c r="A65" s="3"/>
      <c r="B65" s="3"/>
      <c r="C65" s="3"/>
      <c r="D65" s="3"/>
      <c r="E65" s="3"/>
      <c r="F65" s="3"/>
      <c r="G65" s="3"/>
      <c r="H65" s="3"/>
      <c r="I65" s="3"/>
      <c r="J65" s="3"/>
      <c r="K65" s="3"/>
      <c r="L65" s="3"/>
      <c r="M65" s="3"/>
      <c r="N65" s="3"/>
      <c r="O65" s="3"/>
      <c r="P65" s="3" t="s">
        <v>1199</v>
      </c>
      <c r="Q65" s="3"/>
      <c r="R65" s="3"/>
      <c r="S65" s="3"/>
      <c r="T65" s="3"/>
      <c r="U65" s="3"/>
      <c r="V65" s="3"/>
      <c r="W65" s="3"/>
      <c r="X65" s="3"/>
      <c r="Y65" s="3"/>
      <c r="Z65" s="3"/>
    </row>
    <row r="66" spans="1:26" x14ac:dyDescent="0.2">
      <c r="A66" s="3"/>
      <c r="B66" s="3"/>
      <c r="C66" s="3"/>
      <c r="D66" s="3"/>
      <c r="E66" s="3"/>
      <c r="F66" s="3"/>
      <c r="G66" s="3"/>
      <c r="H66" s="3"/>
      <c r="I66" s="3"/>
      <c r="J66" s="3"/>
      <c r="K66" s="3"/>
      <c r="L66" s="3"/>
      <c r="M66" s="3"/>
      <c r="N66" s="3"/>
      <c r="O66" s="3"/>
      <c r="P66" s="3" t="s">
        <v>1200</v>
      </c>
      <c r="Q66" s="3"/>
      <c r="R66" s="3"/>
      <c r="S66" s="3"/>
      <c r="T66" s="3"/>
      <c r="U66" s="3"/>
      <c r="V66" s="3"/>
      <c r="W66" s="3"/>
      <c r="X66" s="3"/>
      <c r="Y66" s="3"/>
      <c r="Z66" s="3"/>
    </row>
    <row r="67" spans="1:26" x14ac:dyDescent="0.2">
      <c r="A67" s="3"/>
      <c r="B67" s="3"/>
      <c r="C67" s="3"/>
      <c r="D67" s="3"/>
      <c r="E67" s="3"/>
      <c r="F67" s="3"/>
      <c r="G67" s="3"/>
      <c r="H67" s="3"/>
      <c r="I67" s="3"/>
      <c r="J67" s="3"/>
      <c r="K67" s="3"/>
      <c r="L67" s="3"/>
      <c r="M67" s="3"/>
      <c r="N67" s="3"/>
      <c r="O67" s="3"/>
      <c r="P67" s="3" t="s">
        <v>1201</v>
      </c>
      <c r="Q67" s="3"/>
      <c r="R67" s="3"/>
      <c r="S67" s="3"/>
      <c r="T67" s="3"/>
      <c r="U67" s="3"/>
      <c r="V67" s="3"/>
      <c r="W67" s="3"/>
      <c r="X67" s="3"/>
      <c r="Y67" s="3"/>
      <c r="Z67" s="3"/>
    </row>
    <row r="68" spans="1:26" x14ac:dyDescent="0.2">
      <c r="A68" s="3"/>
      <c r="B68" s="3"/>
      <c r="C68" s="3"/>
      <c r="D68" s="3"/>
      <c r="E68" s="3"/>
      <c r="F68" s="3"/>
      <c r="G68" s="3"/>
      <c r="H68" s="3"/>
      <c r="I68" s="3"/>
      <c r="J68" s="3"/>
      <c r="K68" s="3"/>
      <c r="L68" s="3"/>
      <c r="M68" s="3"/>
      <c r="N68" s="3"/>
      <c r="O68" s="3"/>
      <c r="P68" s="3" t="s">
        <v>1202</v>
      </c>
      <c r="Q68" s="3"/>
      <c r="R68" s="3"/>
      <c r="S68" s="3"/>
      <c r="T68" s="3"/>
      <c r="U68" s="3"/>
      <c r="V68" s="3"/>
      <c r="W68" s="3"/>
      <c r="X68" s="3"/>
      <c r="Y68" s="3"/>
      <c r="Z68" s="3"/>
    </row>
    <row r="69" spans="1:26" x14ac:dyDescent="0.2">
      <c r="A69" s="3"/>
      <c r="B69" s="3"/>
      <c r="C69" s="3"/>
      <c r="D69" s="3"/>
      <c r="E69" s="3"/>
      <c r="F69" s="3"/>
      <c r="G69" s="3"/>
      <c r="H69" s="3"/>
      <c r="I69" s="3"/>
      <c r="J69" s="3"/>
      <c r="K69" s="3"/>
      <c r="L69" s="3"/>
      <c r="M69" s="3"/>
      <c r="N69" s="3"/>
      <c r="O69" s="3"/>
      <c r="P69" s="3" t="s">
        <v>1203</v>
      </c>
      <c r="Q69" s="3"/>
      <c r="R69" s="3"/>
      <c r="S69" s="3"/>
      <c r="T69" s="3"/>
      <c r="U69" s="3"/>
      <c r="V69" s="3"/>
      <c r="W69" s="3"/>
      <c r="X69" s="3"/>
      <c r="Y69" s="3"/>
      <c r="Z69" s="3"/>
    </row>
    <row r="70" spans="1:26" x14ac:dyDescent="0.2">
      <c r="A70" s="3"/>
      <c r="B70" s="3"/>
      <c r="C70" s="3"/>
      <c r="D70" s="3"/>
      <c r="E70" s="3"/>
      <c r="F70" s="3"/>
      <c r="G70" s="3"/>
      <c r="H70" s="3"/>
      <c r="I70" s="3"/>
      <c r="J70" s="3"/>
      <c r="K70" s="3"/>
      <c r="L70" s="3"/>
      <c r="M70" s="3"/>
      <c r="N70" s="3"/>
      <c r="O70" s="3"/>
      <c r="P70" s="3" t="s">
        <v>1204</v>
      </c>
      <c r="Q70" s="3"/>
      <c r="R70" s="3"/>
      <c r="S70" s="3"/>
      <c r="T70" s="3"/>
      <c r="U70" s="3"/>
      <c r="V70" s="3"/>
      <c r="W70" s="3"/>
      <c r="X70" s="3"/>
      <c r="Y70" s="3"/>
      <c r="Z70" s="3"/>
    </row>
    <row r="71" spans="1:26" x14ac:dyDescent="0.2">
      <c r="A71" s="3"/>
      <c r="B71" s="3"/>
      <c r="C71" s="3"/>
      <c r="D71" s="3"/>
      <c r="E71" s="3"/>
      <c r="F71" s="3"/>
      <c r="G71" s="3"/>
      <c r="H71" s="3"/>
      <c r="I71" s="3"/>
      <c r="J71" s="3"/>
      <c r="K71" s="3"/>
      <c r="L71" s="3"/>
      <c r="M71" s="3"/>
      <c r="N71" s="3"/>
      <c r="O71" s="3"/>
      <c r="P71" s="3" t="s">
        <v>1205</v>
      </c>
      <c r="Q71" s="3"/>
      <c r="R71" s="3"/>
      <c r="S71" s="3"/>
      <c r="T71" s="3"/>
      <c r="U71" s="3"/>
      <c r="V71" s="3"/>
      <c r="W71" s="3"/>
      <c r="X71" s="3"/>
      <c r="Y71" s="3"/>
      <c r="Z71" s="3"/>
    </row>
    <row r="72" spans="1:26" x14ac:dyDescent="0.2">
      <c r="A72" s="3"/>
      <c r="B72" s="3"/>
      <c r="C72" s="3"/>
      <c r="D72" s="3"/>
      <c r="E72" s="3"/>
      <c r="F72" s="3"/>
      <c r="G72" s="3"/>
      <c r="H72" s="3"/>
      <c r="I72" s="3"/>
      <c r="J72" s="3"/>
      <c r="K72" s="3"/>
      <c r="L72" s="3"/>
      <c r="M72" s="3"/>
      <c r="N72" s="3"/>
      <c r="O72" s="3"/>
      <c r="P72" s="3" t="s">
        <v>1206</v>
      </c>
      <c r="Q72" s="3"/>
      <c r="R72" s="3"/>
      <c r="S72" s="3"/>
      <c r="T72" s="3"/>
      <c r="U72" s="3"/>
      <c r="V72" s="3"/>
      <c r="W72" s="3"/>
      <c r="X72" s="3"/>
      <c r="Y72" s="3"/>
      <c r="Z72" s="3"/>
    </row>
    <row r="73" spans="1:26" x14ac:dyDescent="0.2">
      <c r="A73" s="3"/>
      <c r="B73" s="3"/>
      <c r="C73" s="3"/>
      <c r="D73" s="3"/>
      <c r="E73" s="3"/>
      <c r="F73" s="3"/>
      <c r="G73" s="3"/>
      <c r="H73" s="3"/>
      <c r="I73" s="3"/>
      <c r="J73" s="3"/>
      <c r="K73" s="3"/>
      <c r="L73" s="3"/>
      <c r="M73" s="3"/>
      <c r="N73" s="3"/>
      <c r="O73" s="3"/>
      <c r="P73" s="3" t="s">
        <v>1207</v>
      </c>
      <c r="Q73" s="3"/>
      <c r="R73" s="3"/>
      <c r="S73" s="3"/>
      <c r="T73" s="3"/>
      <c r="U73" s="3"/>
      <c r="V73" s="3"/>
      <c r="W73" s="3"/>
      <c r="X73" s="3"/>
      <c r="Y73" s="3"/>
      <c r="Z73" s="3"/>
    </row>
    <row r="74" spans="1:26" x14ac:dyDescent="0.2">
      <c r="A74" s="3"/>
      <c r="B74" s="3"/>
      <c r="C74" s="3"/>
      <c r="D74" s="3"/>
      <c r="E74" s="3"/>
      <c r="F74" s="3"/>
      <c r="G74" s="3"/>
      <c r="H74" s="3"/>
      <c r="I74" s="3"/>
      <c r="J74" s="3"/>
      <c r="K74" s="3"/>
      <c r="L74" s="3"/>
      <c r="M74" s="3"/>
      <c r="N74" s="3"/>
      <c r="O74" s="3"/>
      <c r="P74" s="3" t="s">
        <v>1208</v>
      </c>
      <c r="Q74" s="3"/>
      <c r="R74" s="3"/>
      <c r="S74" s="3"/>
      <c r="T74" s="3"/>
      <c r="U74" s="3"/>
      <c r="V74" s="3"/>
      <c r="W74" s="3"/>
      <c r="X74" s="3"/>
      <c r="Y74" s="3"/>
      <c r="Z74" s="3"/>
    </row>
    <row r="75" spans="1:26" x14ac:dyDescent="0.2">
      <c r="A75" s="3"/>
      <c r="B75" s="3"/>
      <c r="C75" s="3"/>
      <c r="D75" s="3"/>
      <c r="E75" s="3"/>
      <c r="F75" s="3"/>
      <c r="G75" s="3"/>
      <c r="H75" s="3"/>
      <c r="I75" s="3"/>
      <c r="J75" s="3"/>
      <c r="K75" s="3"/>
      <c r="L75" s="3"/>
      <c r="M75" s="3"/>
      <c r="N75" s="3"/>
      <c r="O75" s="3"/>
      <c r="P75" s="3" t="s">
        <v>1209</v>
      </c>
      <c r="Q75" s="3"/>
      <c r="R75" s="3"/>
      <c r="S75" s="3"/>
      <c r="T75" s="3"/>
      <c r="U75" s="3"/>
      <c r="V75" s="3"/>
      <c r="W75" s="3"/>
      <c r="X75" s="3"/>
      <c r="Y75" s="3"/>
      <c r="Z75" s="3"/>
    </row>
    <row r="76" spans="1:26" x14ac:dyDescent="0.2">
      <c r="A76" s="3"/>
      <c r="B76" s="3"/>
      <c r="C76" s="3"/>
      <c r="D76" s="3"/>
      <c r="E76" s="3"/>
      <c r="F76" s="3"/>
      <c r="G76" s="3"/>
      <c r="H76" s="3"/>
      <c r="I76" s="3"/>
      <c r="J76" s="3"/>
      <c r="K76" s="3"/>
      <c r="L76" s="3"/>
      <c r="M76" s="3"/>
      <c r="N76" s="3"/>
      <c r="O76" s="3"/>
      <c r="P76" s="3" t="s">
        <v>1210</v>
      </c>
      <c r="Q76" s="3"/>
      <c r="R76" s="3"/>
      <c r="S76" s="3"/>
      <c r="T76" s="3"/>
      <c r="U76" s="3"/>
      <c r="V76" s="3"/>
      <c r="W76" s="3"/>
      <c r="X76" s="3"/>
      <c r="Y76" s="3"/>
      <c r="Z76" s="3"/>
    </row>
    <row r="77" spans="1:26" x14ac:dyDescent="0.2">
      <c r="A77" s="3"/>
      <c r="B77" s="3"/>
      <c r="C77" s="3"/>
      <c r="D77" s="3"/>
      <c r="E77" s="3"/>
      <c r="F77" s="3"/>
      <c r="G77" s="3"/>
      <c r="H77" s="3"/>
      <c r="I77" s="3"/>
      <c r="J77" s="3"/>
      <c r="K77" s="3"/>
      <c r="L77" s="3"/>
      <c r="M77" s="3"/>
      <c r="N77" s="3"/>
      <c r="O77" s="3"/>
      <c r="P77" s="3" t="s">
        <v>1211</v>
      </c>
      <c r="Q77" s="3"/>
      <c r="R77" s="3"/>
      <c r="S77" s="3"/>
      <c r="T77" s="3"/>
      <c r="U77" s="3"/>
      <c r="V77" s="3"/>
      <c r="W77" s="3"/>
      <c r="X77" s="3"/>
      <c r="Y77" s="3"/>
      <c r="Z77" s="3"/>
    </row>
    <row r="78" spans="1:26" x14ac:dyDescent="0.2">
      <c r="A78" s="3"/>
      <c r="B78" s="3"/>
      <c r="C78" s="3"/>
      <c r="D78" s="3"/>
      <c r="E78" s="3"/>
      <c r="F78" s="3"/>
      <c r="G78" s="3"/>
      <c r="H78" s="3"/>
      <c r="I78" s="3"/>
      <c r="J78" s="3"/>
      <c r="K78" s="3"/>
      <c r="L78" s="3"/>
      <c r="M78" s="3"/>
      <c r="N78" s="3"/>
      <c r="O78" s="3"/>
      <c r="P78" s="3" t="s">
        <v>1212</v>
      </c>
      <c r="Q78" s="3"/>
      <c r="R78" s="3"/>
      <c r="S78" s="3"/>
      <c r="T78" s="3"/>
      <c r="U78" s="3"/>
      <c r="V78" s="3"/>
      <c r="W78" s="3"/>
      <c r="X78" s="3"/>
      <c r="Y78" s="3"/>
      <c r="Z78" s="3"/>
    </row>
    <row r="79" spans="1:26" x14ac:dyDescent="0.2">
      <c r="A79" s="3"/>
      <c r="B79" s="3"/>
      <c r="C79" s="3"/>
      <c r="D79" s="3"/>
      <c r="E79" s="3"/>
      <c r="F79" s="3"/>
      <c r="G79" s="3"/>
      <c r="H79" s="3"/>
      <c r="I79" s="3"/>
      <c r="J79" s="3"/>
      <c r="K79" s="3"/>
      <c r="L79" s="3"/>
      <c r="M79" s="3"/>
      <c r="N79" s="3"/>
      <c r="O79" s="3"/>
      <c r="P79" s="3" t="s">
        <v>1213</v>
      </c>
      <c r="Q79" s="3"/>
      <c r="R79" s="3"/>
      <c r="S79" s="3"/>
      <c r="T79" s="3"/>
      <c r="U79" s="3"/>
      <c r="V79" s="3"/>
      <c r="W79" s="3"/>
      <c r="X79" s="3"/>
      <c r="Y79" s="3"/>
      <c r="Z79" s="3"/>
    </row>
    <row r="80" spans="1:26" x14ac:dyDescent="0.2">
      <c r="A80" s="3"/>
      <c r="B80" s="3"/>
      <c r="C80" s="3"/>
      <c r="D80" s="3"/>
      <c r="E80" s="3"/>
      <c r="F80" s="3"/>
      <c r="G80" s="3"/>
      <c r="H80" s="3"/>
      <c r="I80" s="3"/>
      <c r="J80" s="3"/>
      <c r="K80" s="3"/>
      <c r="L80" s="3"/>
      <c r="M80" s="3"/>
      <c r="N80" s="3"/>
      <c r="O80" s="3"/>
      <c r="P80" s="3" t="s">
        <v>1214</v>
      </c>
      <c r="Q80" s="3"/>
      <c r="R80" s="3"/>
      <c r="S80" s="3"/>
      <c r="T80" s="3"/>
      <c r="U80" s="3"/>
      <c r="V80" s="3"/>
      <c r="W80" s="3"/>
      <c r="X80" s="3"/>
      <c r="Y80" s="3"/>
      <c r="Z80" s="3"/>
    </row>
    <row r="81" spans="1:26" x14ac:dyDescent="0.2">
      <c r="A81" s="3"/>
      <c r="B81" s="3"/>
      <c r="C81" s="3"/>
      <c r="D81" s="3"/>
      <c r="E81" s="3"/>
      <c r="F81" s="3"/>
      <c r="G81" s="3"/>
      <c r="H81" s="3"/>
      <c r="I81" s="3"/>
      <c r="J81" s="3"/>
      <c r="K81" s="3"/>
      <c r="L81" s="3"/>
      <c r="M81" s="3"/>
      <c r="N81" s="3"/>
      <c r="O81" s="3"/>
      <c r="P81" s="3" t="s">
        <v>1215</v>
      </c>
      <c r="Q81" s="3"/>
      <c r="R81" s="3"/>
      <c r="S81" s="3"/>
      <c r="T81" s="3"/>
      <c r="U81" s="3"/>
      <c r="V81" s="3"/>
      <c r="W81" s="3"/>
      <c r="X81" s="3"/>
      <c r="Y81" s="3"/>
      <c r="Z81" s="3"/>
    </row>
    <row r="82" spans="1:26" x14ac:dyDescent="0.2">
      <c r="A82" s="3"/>
      <c r="B82" s="3"/>
      <c r="C82" s="3"/>
      <c r="D82" s="3"/>
      <c r="E82" s="3"/>
      <c r="F82" s="3"/>
      <c r="G82" s="3"/>
      <c r="H82" s="3"/>
      <c r="I82" s="3"/>
      <c r="J82" s="3"/>
      <c r="K82" s="3"/>
      <c r="L82" s="3"/>
      <c r="M82" s="3"/>
      <c r="N82" s="3"/>
      <c r="O82" s="3"/>
      <c r="P82" s="3" t="s">
        <v>1216</v>
      </c>
      <c r="Q82" s="3"/>
      <c r="R82" s="3"/>
      <c r="S82" s="3"/>
      <c r="T82" s="3"/>
      <c r="U82" s="3"/>
      <c r="V82" s="3"/>
      <c r="W82" s="3"/>
      <c r="X82" s="3"/>
      <c r="Y82" s="3"/>
      <c r="Z82" s="3"/>
    </row>
    <row r="83" spans="1:26" x14ac:dyDescent="0.2">
      <c r="A83" s="3"/>
      <c r="B83" s="3"/>
      <c r="C83" s="3"/>
      <c r="D83" s="3"/>
      <c r="E83" s="3"/>
      <c r="F83" s="3"/>
      <c r="G83" s="3"/>
      <c r="H83" s="3"/>
      <c r="I83" s="3"/>
      <c r="J83" s="3"/>
      <c r="K83" s="3"/>
      <c r="L83" s="3"/>
      <c r="M83" s="3"/>
      <c r="N83" s="3"/>
      <c r="O83" s="3"/>
      <c r="P83" s="3" t="s">
        <v>1217</v>
      </c>
      <c r="Q83" s="3"/>
      <c r="R83" s="3"/>
      <c r="S83" s="3"/>
      <c r="T83" s="3"/>
      <c r="U83" s="3"/>
      <c r="V83" s="3"/>
      <c r="W83" s="3"/>
      <c r="X83" s="3"/>
      <c r="Y83" s="3"/>
      <c r="Z83" s="3"/>
    </row>
    <row r="84" spans="1:26" x14ac:dyDescent="0.2">
      <c r="A84" s="3"/>
      <c r="B84" s="3"/>
      <c r="C84" s="3"/>
      <c r="D84" s="3"/>
      <c r="E84" s="3"/>
      <c r="F84" s="3"/>
      <c r="G84" s="3"/>
      <c r="H84" s="3"/>
      <c r="I84" s="3"/>
      <c r="J84" s="3"/>
      <c r="K84" s="3"/>
      <c r="L84" s="3"/>
      <c r="M84" s="3"/>
      <c r="N84" s="3"/>
      <c r="O84" s="3"/>
      <c r="P84" s="3" t="s">
        <v>1218</v>
      </c>
      <c r="Q84" s="3"/>
      <c r="R84" s="3"/>
      <c r="S84" s="3"/>
      <c r="T84" s="3"/>
      <c r="U84" s="3"/>
      <c r="V84" s="3"/>
      <c r="W84" s="3"/>
      <c r="X84" s="3"/>
      <c r="Y84" s="3"/>
      <c r="Z84" s="3"/>
    </row>
    <row r="85" spans="1:26" x14ac:dyDescent="0.2">
      <c r="A85" s="3"/>
      <c r="B85" s="3"/>
      <c r="C85" s="3"/>
      <c r="D85" s="3"/>
      <c r="E85" s="3"/>
      <c r="F85" s="3"/>
      <c r="G85" s="3"/>
      <c r="H85" s="3"/>
      <c r="I85" s="3"/>
      <c r="J85" s="3"/>
      <c r="K85" s="3"/>
      <c r="L85" s="3"/>
      <c r="M85" s="3"/>
      <c r="N85" s="3"/>
      <c r="O85" s="3"/>
      <c r="P85" s="3" t="s">
        <v>1219</v>
      </c>
      <c r="Q85" s="3"/>
      <c r="R85" s="3"/>
      <c r="S85" s="3"/>
      <c r="T85" s="3"/>
      <c r="U85" s="3"/>
      <c r="V85" s="3"/>
      <c r="W85" s="3"/>
      <c r="X85" s="3"/>
      <c r="Y85" s="3"/>
      <c r="Z85" s="3"/>
    </row>
    <row r="86" spans="1:26" x14ac:dyDescent="0.2">
      <c r="A86" s="3"/>
      <c r="B86" s="3"/>
      <c r="C86" s="3"/>
      <c r="D86" s="3"/>
      <c r="E86" s="3"/>
      <c r="F86" s="3"/>
      <c r="G86" s="3"/>
      <c r="H86" s="3"/>
      <c r="I86" s="3"/>
      <c r="J86" s="3"/>
      <c r="K86" s="3"/>
      <c r="L86" s="3"/>
      <c r="M86" s="3"/>
      <c r="N86" s="3"/>
      <c r="O86" s="3"/>
      <c r="P86" s="3" t="s">
        <v>1220</v>
      </c>
      <c r="Q86" s="3"/>
      <c r="R86" s="3"/>
      <c r="S86" s="3"/>
      <c r="T86" s="3"/>
      <c r="U86" s="3"/>
      <c r="V86" s="3"/>
      <c r="W86" s="3"/>
      <c r="X86" s="3"/>
      <c r="Y86" s="3"/>
      <c r="Z86" s="3"/>
    </row>
    <row r="87" spans="1:26" x14ac:dyDescent="0.2">
      <c r="A87" s="3"/>
      <c r="B87" s="3"/>
      <c r="C87" s="3"/>
      <c r="D87" s="3"/>
      <c r="E87" s="3"/>
      <c r="F87" s="3"/>
      <c r="G87" s="3"/>
      <c r="H87" s="3"/>
      <c r="I87" s="3"/>
      <c r="J87" s="3"/>
      <c r="K87" s="3"/>
      <c r="L87" s="3"/>
      <c r="M87" s="3"/>
      <c r="N87" s="3"/>
      <c r="O87" s="3"/>
      <c r="P87" s="3" t="s">
        <v>1221</v>
      </c>
      <c r="Q87" s="3"/>
      <c r="R87" s="3"/>
      <c r="S87" s="3"/>
      <c r="T87" s="3"/>
      <c r="U87" s="3"/>
      <c r="V87" s="3"/>
      <c r="W87" s="3"/>
      <c r="X87" s="3"/>
      <c r="Y87" s="3"/>
      <c r="Z87" s="3"/>
    </row>
    <row r="88" spans="1:26" x14ac:dyDescent="0.2">
      <c r="A88" s="3"/>
      <c r="B88" s="3"/>
      <c r="C88" s="3"/>
      <c r="D88" s="3"/>
      <c r="E88" s="3"/>
      <c r="F88" s="3"/>
      <c r="G88" s="3"/>
      <c r="H88" s="3"/>
      <c r="I88" s="3"/>
      <c r="J88" s="3"/>
      <c r="K88" s="3"/>
      <c r="L88" s="3"/>
      <c r="M88" s="3"/>
      <c r="N88" s="3"/>
      <c r="O88" s="3"/>
      <c r="P88" s="3" t="s">
        <v>1222</v>
      </c>
      <c r="Q88" s="3"/>
      <c r="R88" s="3"/>
      <c r="S88" s="3"/>
      <c r="T88" s="3"/>
      <c r="U88" s="3"/>
      <c r="V88" s="3"/>
      <c r="W88" s="3"/>
      <c r="X88" s="3"/>
      <c r="Y88" s="3"/>
      <c r="Z88" s="3"/>
    </row>
    <row r="89" spans="1:26" x14ac:dyDescent="0.2">
      <c r="A89" s="3"/>
      <c r="B89" s="3"/>
      <c r="C89" s="3"/>
      <c r="D89" s="3"/>
      <c r="E89" s="3"/>
      <c r="F89" s="3"/>
      <c r="G89" s="3"/>
      <c r="H89" s="3"/>
      <c r="I89" s="3"/>
      <c r="J89" s="3"/>
      <c r="K89" s="3"/>
      <c r="L89" s="3"/>
      <c r="M89" s="3"/>
      <c r="N89" s="3"/>
      <c r="O89" s="3"/>
      <c r="P89" s="3" t="s">
        <v>1223</v>
      </c>
      <c r="Q89" s="3"/>
      <c r="R89" s="3"/>
      <c r="S89" s="3"/>
      <c r="T89" s="3"/>
      <c r="U89" s="3"/>
      <c r="V89" s="3"/>
      <c r="W89" s="3"/>
      <c r="X89" s="3"/>
      <c r="Y89" s="3"/>
      <c r="Z89" s="3"/>
    </row>
    <row r="90" spans="1:26" x14ac:dyDescent="0.2">
      <c r="A90" s="3"/>
      <c r="B90" s="3"/>
      <c r="C90" s="3"/>
      <c r="D90" s="3"/>
      <c r="E90" s="3"/>
      <c r="F90" s="3"/>
      <c r="G90" s="3"/>
      <c r="H90" s="3"/>
      <c r="I90" s="3"/>
      <c r="J90" s="3"/>
      <c r="K90" s="3"/>
      <c r="L90" s="3"/>
      <c r="M90" s="3"/>
      <c r="N90" s="3"/>
      <c r="O90" s="3"/>
      <c r="P90" s="3" t="s">
        <v>1224</v>
      </c>
      <c r="Q90" s="3"/>
      <c r="R90" s="3"/>
      <c r="S90" s="3"/>
      <c r="T90" s="3"/>
      <c r="U90" s="3"/>
      <c r="V90" s="3"/>
      <c r="W90" s="3"/>
      <c r="X90" s="3"/>
      <c r="Y90" s="3"/>
      <c r="Z90" s="3"/>
    </row>
    <row r="91" spans="1:26" x14ac:dyDescent="0.2">
      <c r="A91" s="3"/>
      <c r="B91" s="3"/>
      <c r="C91" s="3"/>
      <c r="D91" s="3"/>
      <c r="E91" s="3"/>
      <c r="F91" s="3"/>
      <c r="G91" s="3"/>
      <c r="H91" s="3"/>
      <c r="I91" s="3"/>
      <c r="J91" s="3"/>
      <c r="K91" s="3"/>
      <c r="L91" s="3"/>
      <c r="M91" s="3"/>
      <c r="N91" s="3"/>
      <c r="O91" s="3"/>
      <c r="P91" s="3" t="s">
        <v>1225</v>
      </c>
      <c r="Q91" s="3"/>
      <c r="R91" s="3"/>
      <c r="S91" s="3"/>
      <c r="T91" s="3"/>
      <c r="U91" s="3"/>
      <c r="V91" s="3"/>
      <c r="W91" s="3"/>
      <c r="X91" s="3"/>
      <c r="Y91" s="3"/>
      <c r="Z91" s="3"/>
    </row>
    <row r="92" spans="1:26" x14ac:dyDescent="0.2">
      <c r="A92" s="3"/>
      <c r="B92" s="3"/>
      <c r="C92" s="3"/>
      <c r="D92" s="3"/>
      <c r="E92" s="3"/>
      <c r="F92" s="3"/>
      <c r="G92" s="3"/>
      <c r="H92" s="3"/>
      <c r="I92" s="3"/>
      <c r="J92" s="3"/>
      <c r="K92" s="3"/>
      <c r="L92" s="3"/>
      <c r="M92" s="3"/>
      <c r="N92" s="3"/>
      <c r="O92" s="3"/>
      <c r="P92" s="3" t="s">
        <v>1226</v>
      </c>
      <c r="Q92" s="3"/>
      <c r="R92" s="3"/>
      <c r="S92" s="3"/>
      <c r="T92" s="3"/>
      <c r="U92" s="3"/>
      <c r="V92" s="3"/>
      <c r="W92" s="3"/>
      <c r="X92" s="3"/>
      <c r="Y92" s="3"/>
      <c r="Z92" s="3"/>
    </row>
    <row r="93" spans="1:26" x14ac:dyDescent="0.2">
      <c r="A93" s="3"/>
      <c r="B93" s="3"/>
      <c r="C93" s="3"/>
      <c r="D93" s="3"/>
      <c r="E93" s="3"/>
      <c r="F93" s="3"/>
      <c r="G93" s="3"/>
      <c r="H93" s="3"/>
      <c r="I93" s="3"/>
      <c r="J93" s="3"/>
      <c r="K93" s="3"/>
      <c r="L93" s="3"/>
      <c r="M93" s="3"/>
      <c r="N93" s="3"/>
      <c r="O93" s="3"/>
      <c r="P93" s="3" t="s">
        <v>1227</v>
      </c>
      <c r="Q93" s="3"/>
      <c r="R93" s="3"/>
      <c r="S93" s="3"/>
      <c r="T93" s="3"/>
      <c r="U93" s="3"/>
      <c r="V93" s="3"/>
      <c r="W93" s="3"/>
      <c r="X93" s="3"/>
      <c r="Y93" s="3"/>
      <c r="Z93" s="3"/>
    </row>
    <row r="94" spans="1:26" x14ac:dyDescent="0.2">
      <c r="A94" s="3"/>
      <c r="B94" s="3"/>
      <c r="C94" s="3"/>
      <c r="D94" s="3"/>
      <c r="E94" s="3"/>
      <c r="F94" s="3"/>
      <c r="G94" s="3"/>
      <c r="H94" s="3"/>
      <c r="I94" s="3"/>
      <c r="J94" s="3"/>
      <c r="K94" s="3"/>
      <c r="L94" s="3"/>
      <c r="M94" s="3"/>
      <c r="N94" s="3"/>
      <c r="O94" s="3"/>
      <c r="P94" s="3" t="s">
        <v>1228</v>
      </c>
      <c r="Q94" s="3"/>
      <c r="R94" s="3"/>
      <c r="S94" s="3"/>
      <c r="T94" s="3"/>
      <c r="U94" s="3"/>
      <c r="V94" s="3"/>
      <c r="W94" s="3"/>
      <c r="X94" s="3"/>
      <c r="Y94" s="3"/>
      <c r="Z94" s="3"/>
    </row>
    <row r="95" spans="1:26" x14ac:dyDescent="0.2">
      <c r="A95" s="3"/>
      <c r="B95" s="3"/>
      <c r="C95" s="3"/>
      <c r="D95" s="3"/>
      <c r="E95" s="3"/>
      <c r="F95" s="3"/>
      <c r="G95" s="3"/>
      <c r="H95" s="3"/>
      <c r="I95" s="3"/>
      <c r="J95" s="3"/>
      <c r="K95" s="3"/>
      <c r="L95" s="3"/>
      <c r="M95" s="3"/>
      <c r="N95" s="3"/>
      <c r="O95" s="3"/>
      <c r="P95" s="3" t="s">
        <v>1229</v>
      </c>
      <c r="Q95" s="3"/>
      <c r="R95" s="3"/>
      <c r="S95" s="3"/>
      <c r="T95" s="3"/>
      <c r="U95" s="3"/>
      <c r="V95" s="3"/>
      <c r="W95" s="3"/>
      <c r="X95" s="3"/>
      <c r="Y95" s="3"/>
      <c r="Z95" s="3"/>
    </row>
    <row r="96" spans="1:26" x14ac:dyDescent="0.2">
      <c r="A96" s="3"/>
      <c r="B96" s="3"/>
      <c r="C96" s="3"/>
      <c r="D96" s="3"/>
      <c r="E96" s="3"/>
      <c r="F96" s="3"/>
      <c r="G96" s="3"/>
      <c r="H96" s="3"/>
      <c r="I96" s="3"/>
      <c r="J96" s="3"/>
      <c r="K96" s="3"/>
      <c r="L96" s="3"/>
      <c r="M96" s="3"/>
      <c r="N96" s="3"/>
      <c r="O96" s="3"/>
      <c r="P96" s="3" t="s">
        <v>1230</v>
      </c>
      <c r="Q96" s="3"/>
      <c r="R96" s="3"/>
      <c r="S96" s="3"/>
      <c r="T96" s="3"/>
      <c r="U96" s="3"/>
      <c r="V96" s="3"/>
      <c r="W96" s="3"/>
      <c r="X96" s="3"/>
      <c r="Y96" s="3"/>
      <c r="Z96" s="3"/>
    </row>
    <row r="97" spans="1:26" x14ac:dyDescent="0.2">
      <c r="A97" s="3"/>
      <c r="B97" s="3"/>
      <c r="C97" s="3"/>
      <c r="D97" s="3"/>
      <c r="E97" s="3"/>
      <c r="F97" s="3"/>
      <c r="G97" s="3"/>
      <c r="H97" s="3"/>
      <c r="I97" s="3"/>
      <c r="J97" s="3"/>
      <c r="K97" s="3"/>
      <c r="L97" s="3"/>
      <c r="M97" s="3"/>
      <c r="N97" s="3"/>
      <c r="O97" s="3"/>
      <c r="P97" s="3" t="s">
        <v>1231</v>
      </c>
      <c r="Q97" s="3"/>
      <c r="R97" s="3"/>
      <c r="S97" s="3"/>
      <c r="T97" s="3"/>
      <c r="U97" s="3"/>
      <c r="V97" s="3"/>
      <c r="W97" s="3"/>
      <c r="X97" s="3"/>
      <c r="Y97" s="3"/>
      <c r="Z97"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40"/>
  <sheetViews>
    <sheetView workbookViewId="0">
      <selection activeCell="E13" sqref="E13"/>
    </sheetView>
  </sheetViews>
  <sheetFormatPr defaultRowHeight="15.75" x14ac:dyDescent="0.25"/>
  <cols>
    <col min="1" max="1" width="28.625" customWidth="1"/>
  </cols>
  <sheetData>
    <row r="1" spans="1:6" ht="18" x14ac:dyDescent="0.25">
      <c r="A1" s="67" t="s">
        <v>938</v>
      </c>
      <c r="B1" s="67"/>
      <c r="C1" s="67"/>
      <c r="D1" s="67"/>
      <c r="E1" s="67"/>
      <c r="F1" s="67"/>
    </row>
    <row r="2" spans="1:6" x14ac:dyDescent="0.2">
      <c r="A2" s="68"/>
      <c r="B2" s="68"/>
      <c r="C2" s="68"/>
      <c r="D2" s="68"/>
      <c r="E2" s="68"/>
      <c r="F2" s="68"/>
    </row>
    <row r="3" spans="1:6" x14ac:dyDescent="0.2">
      <c r="A3" s="69" t="s">
        <v>939</v>
      </c>
      <c r="B3" s="69" t="s">
        <v>940</v>
      </c>
      <c r="C3" s="69" t="s">
        <v>941</v>
      </c>
      <c r="D3" s="69"/>
      <c r="E3" s="69"/>
      <c r="F3" s="69"/>
    </row>
    <row r="4" spans="1:6" x14ac:dyDescent="0.2">
      <c r="A4" s="73" t="s">
        <v>1232</v>
      </c>
      <c r="B4" s="46" t="s">
        <v>942</v>
      </c>
      <c r="C4" s="74" t="s">
        <v>706</v>
      </c>
      <c r="D4" s="74" t="s">
        <v>944</v>
      </c>
      <c r="E4" s="74" t="s">
        <v>943</v>
      </c>
      <c r="F4" s="74" t="s">
        <v>1233</v>
      </c>
    </row>
    <row r="5" spans="1:6" x14ac:dyDescent="0.2">
      <c r="A5" s="74" t="s">
        <v>1234</v>
      </c>
      <c r="B5" s="46" t="s">
        <v>945</v>
      </c>
      <c r="C5" s="74" t="s">
        <v>946</v>
      </c>
      <c r="D5" s="74" t="s">
        <v>709</v>
      </c>
      <c r="E5" s="75"/>
      <c r="F5" s="75"/>
    </row>
    <row r="6" spans="1:6" x14ac:dyDescent="0.2">
      <c r="A6" s="74" t="s">
        <v>1235</v>
      </c>
      <c r="B6" s="46" t="s">
        <v>1236</v>
      </c>
      <c r="C6" s="74" t="s">
        <v>710</v>
      </c>
      <c r="D6" s="74" t="s">
        <v>1237</v>
      </c>
      <c r="E6" s="74" t="s">
        <v>713</v>
      </c>
      <c r="F6" s="75"/>
    </row>
    <row r="7" spans="1:6" x14ac:dyDescent="0.2">
      <c r="A7" s="74" t="s">
        <v>1238</v>
      </c>
      <c r="B7" s="46" t="s">
        <v>1239</v>
      </c>
      <c r="C7" s="74" t="s">
        <v>711</v>
      </c>
      <c r="D7" s="74" t="s">
        <v>1240</v>
      </c>
      <c r="E7" s="75"/>
      <c r="F7" s="75"/>
    </row>
    <row r="8" spans="1:6" x14ac:dyDescent="0.2">
      <c r="A8" s="74" t="s">
        <v>1241</v>
      </c>
      <c r="B8" s="46" t="s">
        <v>968</v>
      </c>
      <c r="C8" s="74" t="s">
        <v>1242</v>
      </c>
      <c r="D8" s="74" t="s">
        <v>712</v>
      </c>
      <c r="E8" s="75"/>
      <c r="F8" s="75"/>
    </row>
    <row r="9" spans="1:6" x14ac:dyDescent="0.2">
      <c r="A9" s="74" t="s">
        <v>947</v>
      </c>
      <c r="B9" s="46" t="s">
        <v>948</v>
      </c>
      <c r="C9" s="74" t="s">
        <v>713</v>
      </c>
      <c r="D9" s="74" t="s">
        <v>1237</v>
      </c>
      <c r="E9" s="74" t="s">
        <v>710</v>
      </c>
      <c r="F9" s="75"/>
    </row>
    <row r="10" spans="1:6" x14ac:dyDescent="0.2">
      <c r="A10" s="74" t="s">
        <v>949</v>
      </c>
      <c r="B10" s="46" t="s">
        <v>950</v>
      </c>
      <c r="C10" s="74" t="s">
        <v>713</v>
      </c>
      <c r="D10" s="74" t="s">
        <v>1237</v>
      </c>
      <c r="E10" s="74" t="s">
        <v>710</v>
      </c>
      <c r="F10" s="75"/>
    </row>
    <row r="11" spans="1:6" x14ac:dyDescent="0.2">
      <c r="A11" s="74" t="s">
        <v>951</v>
      </c>
      <c r="B11" s="46" t="s">
        <v>952</v>
      </c>
      <c r="C11" s="74" t="s">
        <v>713</v>
      </c>
      <c r="D11" s="74" t="s">
        <v>1237</v>
      </c>
      <c r="E11" s="74" t="s">
        <v>710</v>
      </c>
      <c r="F11" s="75"/>
    </row>
    <row r="12" spans="1:6" x14ac:dyDescent="0.2">
      <c r="A12" s="74" t="s">
        <v>953</v>
      </c>
      <c r="B12" s="46" t="s">
        <v>954</v>
      </c>
      <c r="C12" s="74" t="s">
        <v>709</v>
      </c>
      <c r="D12" s="74" t="s">
        <v>955</v>
      </c>
      <c r="E12" s="74" t="s">
        <v>1243</v>
      </c>
      <c r="F12" s="74" t="s">
        <v>1244</v>
      </c>
    </row>
    <row r="13" spans="1:6" x14ac:dyDescent="0.2">
      <c r="A13" s="74" t="s">
        <v>956</v>
      </c>
      <c r="B13" s="46" t="s">
        <v>957</v>
      </c>
      <c r="C13" s="74" t="s">
        <v>714</v>
      </c>
      <c r="D13" s="74" t="s">
        <v>960</v>
      </c>
      <c r="E13" s="74" t="s">
        <v>959</v>
      </c>
      <c r="F13" s="74" t="s">
        <v>958</v>
      </c>
    </row>
    <row r="14" spans="1:6" x14ac:dyDescent="0.2">
      <c r="A14" s="74" t="s">
        <v>1245</v>
      </c>
      <c r="B14" s="46" t="s">
        <v>961</v>
      </c>
      <c r="C14" s="74" t="s">
        <v>715</v>
      </c>
      <c r="D14" s="74" t="s">
        <v>1246</v>
      </c>
      <c r="E14" s="74" t="s">
        <v>1247</v>
      </c>
      <c r="F14" s="75"/>
    </row>
    <row r="15" spans="1:6" x14ac:dyDescent="0.2">
      <c r="A15" s="30"/>
      <c r="B15" s="30"/>
      <c r="C15" s="30"/>
      <c r="D15" s="30"/>
      <c r="E15" s="30"/>
      <c r="F15" s="30"/>
    </row>
    <row r="16" spans="1:6" x14ac:dyDescent="0.2">
      <c r="A16" s="69" t="s">
        <v>939</v>
      </c>
      <c r="B16" s="69" t="s">
        <v>940</v>
      </c>
      <c r="C16" s="69" t="s">
        <v>941</v>
      </c>
      <c r="D16" s="69"/>
      <c r="E16" s="69"/>
      <c r="F16" s="69"/>
    </row>
    <row r="17" spans="1:6" x14ac:dyDescent="0.2">
      <c r="A17" s="76" t="s">
        <v>1248</v>
      </c>
      <c r="B17" s="46" t="s">
        <v>942</v>
      </c>
      <c r="C17" s="77">
        <v>0.85</v>
      </c>
      <c r="D17" s="77">
        <v>0.62</v>
      </c>
      <c r="E17" s="77">
        <v>0.55000000000000004</v>
      </c>
      <c r="F17" s="77">
        <v>0.2</v>
      </c>
    </row>
    <row r="18" spans="1:6" x14ac:dyDescent="0.2">
      <c r="A18" s="76" t="s">
        <v>1249</v>
      </c>
      <c r="B18" s="46" t="s">
        <v>945</v>
      </c>
      <c r="C18" s="77">
        <v>0.77</v>
      </c>
      <c r="D18" s="77">
        <v>0.44</v>
      </c>
      <c r="E18" s="78"/>
      <c r="F18" s="78"/>
    </row>
    <row r="19" spans="1:6" x14ac:dyDescent="0.2">
      <c r="A19" s="76" t="s">
        <v>1250</v>
      </c>
      <c r="B19" s="46" t="s">
        <v>1236</v>
      </c>
      <c r="C19" s="77">
        <v>0.85</v>
      </c>
      <c r="D19" s="77">
        <v>0.62</v>
      </c>
      <c r="E19" s="77">
        <v>0.27</v>
      </c>
      <c r="F19" s="78"/>
    </row>
    <row r="20" spans="1:6" x14ac:dyDescent="0.2">
      <c r="A20" s="76" t="s">
        <v>1251</v>
      </c>
      <c r="B20" s="46" t="s">
        <v>1239</v>
      </c>
      <c r="C20" s="77">
        <v>0.85</v>
      </c>
      <c r="D20" s="77">
        <v>0.62</v>
      </c>
      <c r="E20" s="78"/>
      <c r="F20" s="78"/>
    </row>
    <row r="21" spans="1:6" x14ac:dyDescent="0.2">
      <c r="A21" s="76" t="s">
        <v>1252</v>
      </c>
      <c r="B21" s="46" t="s">
        <v>968</v>
      </c>
      <c r="C21" s="77">
        <v>0</v>
      </c>
      <c r="D21" s="77">
        <v>1</v>
      </c>
      <c r="E21" s="78"/>
      <c r="F21" s="78"/>
    </row>
    <row r="22" spans="1:6" x14ac:dyDescent="0.2">
      <c r="A22" s="76" t="s">
        <v>1253</v>
      </c>
      <c r="B22" s="46" t="s">
        <v>948</v>
      </c>
      <c r="C22" s="77">
        <v>0.56000000000000005</v>
      </c>
      <c r="D22" s="77">
        <v>0.22</v>
      </c>
      <c r="E22" s="77">
        <v>0</v>
      </c>
      <c r="F22" s="78"/>
    </row>
    <row r="23" spans="1:6" x14ac:dyDescent="0.2">
      <c r="A23" s="76" t="s">
        <v>1254</v>
      </c>
      <c r="B23" s="46" t="s">
        <v>950</v>
      </c>
      <c r="C23" s="77">
        <v>0.56000000000000005</v>
      </c>
      <c r="D23" s="77">
        <v>0.22</v>
      </c>
      <c r="E23" s="77">
        <v>0</v>
      </c>
      <c r="F23" s="78"/>
    </row>
    <row r="24" spans="1:6" x14ac:dyDescent="0.2">
      <c r="A24" s="76" t="s">
        <v>1255</v>
      </c>
      <c r="B24" s="46" t="s">
        <v>952</v>
      </c>
      <c r="C24" s="77">
        <v>0.56000000000000005</v>
      </c>
      <c r="D24" s="77">
        <v>0.22</v>
      </c>
      <c r="E24" s="77">
        <v>0</v>
      </c>
      <c r="F24" s="78"/>
    </row>
    <row r="25" spans="1:6" x14ac:dyDescent="0.2">
      <c r="A25" s="76" t="s">
        <v>962</v>
      </c>
      <c r="B25" s="46" t="s">
        <v>954</v>
      </c>
      <c r="C25" s="77">
        <v>1</v>
      </c>
      <c r="D25" s="77">
        <v>0.97</v>
      </c>
      <c r="E25" s="77">
        <v>0.94</v>
      </c>
      <c r="F25" s="77">
        <v>0.91</v>
      </c>
    </row>
    <row r="26" spans="1:6" x14ac:dyDescent="0.2">
      <c r="A26" s="76" t="s">
        <v>963</v>
      </c>
      <c r="B26" s="46" t="s">
        <v>957</v>
      </c>
      <c r="C26" s="77">
        <v>1</v>
      </c>
      <c r="D26" s="77">
        <v>0.97</v>
      </c>
      <c r="E26" s="77">
        <v>0.96</v>
      </c>
      <c r="F26" s="77">
        <v>0.95</v>
      </c>
    </row>
    <row r="27" spans="1:6" x14ac:dyDescent="0.2">
      <c r="A27" s="76" t="s">
        <v>964</v>
      </c>
      <c r="B27" s="46" t="s">
        <v>961</v>
      </c>
      <c r="C27" s="77">
        <v>1</v>
      </c>
      <c r="D27" s="77">
        <v>0.96</v>
      </c>
      <c r="E27" s="77">
        <v>0.92</v>
      </c>
      <c r="F27" s="78"/>
    </row>
    <row r="28" spans="1:6" x14ac:dyDescent="0.2">
      <c r="A28" s="30"/>
      <c r="B28" s="30"/>
      <c r="C28" s="30"/>
      <c r="D28" s="30"/>
      <c r="E28" s="30"/>
      <c r="F28" s="30"/>
    </row>
    <row r="29" spans="1:6" x14ac:dyDescent="0.2">
      <c r="A29" s="69" t="s">
        <v>939</v>
      </c>
      <c r="B29" s="69" t="s">
        <v>940</v>
      </c>
      <c r="C29" s="69" t="s">
        <v>941</v>
      </c>
      <c r="D29" s="69"/>
      <c r="E29" s="69"/>
      <c r="F29" s="69"/>
    </row>
    <row r="30" spans="1:6" x14ac:dyDescent="0.2">
      <c r="A30" s="76" t="s">
        <v>1248</v>
      </c>
      <c r="B30" s="46" t="s">
        <v>942</v>
      </c>
      <c r="C30" s="46" t="s">
        <v>966</v>
      </c>
      <c r="D30" s="46" t="s">
        <v>952</v>
      </c>
      <c r="E30" s="46" t="s">
        <v>965</v>
      </c>
      <c r="F30" s="46" t="s">
        <v>969</v>
      </c>
    </row>
    <row r="31" spans="1:6" x14ac:dyDescent="0.2">
      <c r="A31" s="76" t="s">
        <v>1249</v>
      </c>
      <c r="B31" s="46" t="s">
        <v>945</v>
      </c>
      <c r="C31" s="46" t="s">
        <v>965</v>
      </c>
      <c r="D31" s="46" t="s">
        <v>967</v>
      </c>
      <c r="E31" s="46"/>
      <c r="F31" s="46"/>
    </row>
    <row r="32" spans="1:6" x14ac:dyDescent="0.2">
      <c r="A32" s="76" t="s">
        <v>1250</v>
      </c>
      <c r="B32" s="46" t="s">
        <v>1236</v>
      </c>
      <c r="C32" s="46" t="s">
        <v>966</v>
      </c>
      <c r="D32" s="46" t="s">
        <v>965</v>
      </c>
      <c r="E32" s="46" t="s">
        <v>967</v>
      </c>
      <c r="F32" s="46"/>
    </row>
    <row r="33" spans="1:6" x14ac:dyDescent="0.2">
      <c r="A33" s="76" t="s">
        <v>1251</v>
      </c>
      <c r="B33" s="46" t="s">
        <v>1239</v>
      </c>
      <c r="C33" s="46" t="s">
        <v>966</v>
      </c>
      <c r="D33" s="46" t="s">
        <v>1256</v>
      </c>
      <c r="E33" s="46"/>
      <c r="F33" s="46"/>
    </row>
    <row r="34" spans="1:6" x14ac:dyDescent="0.2">
      <c r="A34" s="76" t="s">
        <v>1252</v>
      </c>
      <c r="B34" s="46" t="s">
        <v>968</v>
      </c>
      <c r="C34" s="46" t="s">
        <v>970</v>
      </c>
      <c r="D34" s="46" t="s">
        <v>948</v>
      </c>
      <c r="E34" s="46"/>
      <c r="F34" s="46"/>
    </row>
    <row r="35" spans="1:6" x14ac:dyDescent="0.2">
      <c r="A35" s="76" t="s">
        <v>1253</v>
      </c>
      <c r="B35" s="46" t="s">
        <v>948</v>
      </c>
      <c r="C35" s="46" t="s">
        <v>967</v>
      </c>
      <c r="D35" s="46" t="s">
        <v>965</v>
      </c>
      <c r="E35" s="46" t="s">
        <v>966</v>
      </c>
      <c r="F35" s="46"/>
    </row>
    <row r="36" spans="1:6" x14ac:dyDescent="0.2">
      <c r="A36" s="76" t="s">
        <v>1254</v>
      </c>
      <c r="B36" s="46" t="s">
        <v>950</v>
      </c>
      <c r="C36" s="46" t="s">
        <v>967</v>
      </c>
      <c r="D36" s="46" t="s">
        <v>965</v>
      </c>
      <c r="E36" s="46" t="s">
        <v>966</v>
      </c>
      <c r="F36" s="46"/>
    </row>
    <row r="37" spans="1:6" x14ac:dyDescent="0.2">
      <c r="A37" s="76" t="s">
        <v>1255</v>
      </c>
      <c r="B37" s="46" t="s">
        <v>952</v>
      </c>
      <c r="C37" s="46" t="s">
        <v>967</v>
      </c>
      <c r="D37" s="46" t="s">
        <v>965</v>
      </c>
      <c r="E37" s="46" t="s">
        <v>966</v>
      </c>
      <c r="F37" s="46"/>
    </row>
    <row r="38" spans="1:6" x14ac:dyDescent="0.2">
      <c r="A38" s="76" t="s">
        <v>962</v>
      </c>
      <c r="B38" s="46" t="s">
        <v>954</v>
      </c>
      <c r="C38" s="46" t="s">
        <v>967</v>
      </c>
      <c r="D38" s="46" t="s">
        <v>971</v>
      </c>
      <c r="E38" s="46" t="s">
        <v>969</v>
      </c>
      <c r="F38" s="46" t="s">
        <v>970</v>
      </c>
    </row>
    <row r="39" spans="1:6" x14ac:dyDescent="0.2">
      <c r="A39" s="76" t="s">
        <v>963</v>
      </c>
      <c r="B39" s="46" t="s">
        <v>957</v>
      </c>
      <c r="C39" s="46" t="s">
        <v>970</v>
      </c>
      <c r="D39" s="46" t="s">
        <v>973</v>
      </c>
      <c r="E39" s="46" t="s">
        <v>972</v>
      </c>
      <c r="F39" s="46" t="s">
        <v>1257</v>
      </c>
    </row>
    <row r="40" spans="1:6" x14ac:dyDescent="0.2">
      <c r="A40" s="76" t="s">
        <v>964</v>
      </c>
      <c r="B40" s="46" t="s">
        <v>961</v>
      </c>
      <c r="C40" s="46" t="s">
        <v>948</v>
      </c>
      <c r="D40" s="46" t="s">
        <v>1256</v>
      </c>
      <c r="E40" s="46" t="s">
        <v>970</v>
      </c>
      <c r="F40" s="4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151</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CriterioFluid</vt:lpstr>
      <vt:lpstr>Hallazgos</vt:lpstr>
      <vt:lpstr>CriterioBancolombia</vt:lpstr>
      <vt:lpstr>P_Ocurrencias</vt:lpstr>
      <vt:lpstr>P_General</vt:lpstr>
      <vt:lpstr>C_Activos</vt:lpstr>
      <vt:lpstr>CamposSeleccionQC</vt:lpstr>
      <vt:lpstr>CVSSv3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Juan Restrepo - Fluid Attacks</cp:lastModifiedBy>
  <cp:revision>39</cp:revision>
  <dcterms:modified xsi:type="dcterms:W3CDTF">2019-03-19T17:12:06Z</dcterms:modified>
  <dc:language>es-CO</dc:language>
</cp:coreProperties>
</file>