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comment2.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comments+xml" PartName="/xl/comments/comment3.xml"/>
  <Override ContentType="application/vnd.openxmlformats-officedocument.spreadsheetml.worksheet+xml" PartName="/xl/worksheets/sheet8.xml"/>
  <Override ContentType="application/vnd.openxmlformats-officedocument.spreadsheetml.comments+xml" PartName="/xl/comments/comment4.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comments+xml" PartName="/xl/comments/commen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8"/>
  </bookViews>
  <sheets>
    <sheet xmlns:r="http://schemas.openxmlformats.org/officeDocument/2006/relationships" name="Portada B" sheetId="1" state="hidden" r:id="rId1"/>
    <sheet xmlns:r="http://schemas.openxmlformats.org/officeDocument/2006/relationships" name="Inicio" sheetId="2" state="hidden" r:id="rId2"/>
    <sheet xmlns:r="http://schemas.openxmlformats.org/officeDocument/2006/relationships" name="Recursos" sheetId="3" state="hidden" r:id="rId3"/>
    <sheet xmlns:r="http://schemas.openxmlformats.org/officeDocument/2006/relationships" name="ToE" sheetId="4" state="hidden" r:id="rId4"/>
    <sheet xmlns:r="http://schemas.openxmlformats.org/officeDocument/2006/relationships" name="ToE (ACF)" sheetId="5" state="hidden" r:id="rId5"/>
    <sheet xmlns:r="http://schemas.openxmlformats.org/officeDocument/2006/relationships" name="CriterioFluid" sheetId="6" state="hidden" r:id="rId6"/>
    <sheet xmlns:r="http://schemas.openxmlformats.org/officeDocument/2006/relationships" name="Hallazgos" sheetId="7" state="visible" r:id="rId7"/>
    <sheet xmlns:r="http://schemas.openxmlformats.org/officeDocument/2006/relationships" name="CriterioBancolombia" sheetId="8" state="hidden" r:id="rId8"/>
    <sheet xmlns:r="http://schemas.openxmlformats.org/officeDocument/2006/relationships" name="CriterioColpatria" sheetId="9" state="hidden" r:id="rId9"/>
    <sheet xmlns:r="http://schemas.openxmlformats.org/officeDocument/2006/relationships" name="P_Ocurrencias" sheetId="10" state="hidden" r:id="rId10"/>
    <sheet xmlns:r="http://schemas.openxmlformats.org/officeDocument/2006/relationships" name="P_General" sheetId="11" state="hidden" r:id="rId11"/>
    <sheet xmlns:r="http://schemas.openxmlformats.org/officeDocument/2006/relationships" name="P_Cierre" sheetId="12" state="hidden" r:id="rId12"/>
    <sheet xmlns:r="http://schemas.openxmlformats.org/officeDocument/2006/relationships" name="C_Activos" sheetId="13" state="hidden" r:id="rId13"/>
    <sheet xmlns:r="http://schemas.openxmlformats.org/officeDocument/2006/relationships" name="CVSSv2" sheetId="14" state="hidden" r:id="rId14"/>
    <sheet xmlns:r="http://schemas.openxmlformats.org/officeDocument/2006/relationships" name="ActividadesPSI" sheetId="15" state="hidden" r:id="rId15"/>
    <sheet xmlns:r="http://schemas.openxmlformats.org/officeDocument/2006/relationships" name="ActividadesPSA" sheetId="16" state="hidden" r:id="rId16"/>
    <sheet xmlns:r="http://schemas.openxmlformats.org/officeDocument/2006/relationships" name="ActividadesACF" sheetId="17" state="hidden" r:id="rId17"/>
    <sheet xmlns:r="http://schemas.openxmlformats.org/officeDocument/2006/relationships" name="CamposSeleccionQC" sheetId="18" state="hidden" r:id="rId18"/>
    <sheet xmlns:r="http://schemas.openxmlformats.org/officeDocument/2006/relationships" name="MatrizQC" sheetId="19" state="visible" r:id="rId19"/>
  </sheets>
  <definedNames>
    <definedName function="0" hidden="1" localSheetId="7" name="_xlnm._FilterDatabase" vbProcedure="0">CriterioBancolombia!$A$2:$L$219</definedName>
    <definedName function="0" hidden="1" localSheetId="8" name="_xlnm._FilterDatabase" vbProcedure="0">CriterioColpatria!$D$2:$F$149</definedName>
    <definedName function="0" hidden="0" localSheetId="7" name="_xlnm._FilterDatabase" vbProcedure="0">CriterioBancolombia!$A$2:$L$219</definedName>
    <definedName function="0" hidden="0" localSheetId="7" name="_xlnm._FilterDatabase_0" vbProcedure="0">CriterioBancolombia!$A$2:$L$219</definedName>
    <definedName function="0" hidden="0" localSheetId="7" name="_xlnm._FilterDatabase_0_0" vbProcedure="0">CriterioBancolombia!$A$2:$L$219</definedName>
    <definedName function="0" hidden="0" localSheetId="8" name="_xlnm._FilterDatabase" vbProcedure="0">CriterioColpatria!$D$2:$F$149</definedName>
    <definedName function="0" hidden="0" localSheetId="8" name="_xlnm._FilterDatabase_0" vbProcedure="0">CriterioColpatria!$D$2:$F$149</definedName>
    <definedName function="0" hidden="0" localSheetId="8" name="_xlnm._FilterDatabase_0_0" vbProcedure="0">CriterioColpatria!$D$2:$F$149</definedName>
    <definedName function="0" hidden="0" localSheetId="13" name="AccessVecor" vbProcedure="0">#REF!</definedName>
    <definedName hidden="1" localSheetId="7" name="_xlnm._FilterDatabase">CriterioBancolombia!$A$2:$L$219</definedName>
    <definedName hidden="1" localSheetId="8" name="_xlnm._FilterDatabase">CriterioColpatria!$D$2:$F$149</definedName>
  </definedNames>
  <calcPr calcId="124519" fullCalcOnLoad="1"/>
</workbook>
</file>

<file path=xl/sharedStrings.xml><?xml version="1.0" encoding="utf-8"?>
<sst xmlns="http://schemas.openxmlformats.org/spreadsheetml/2006/main" uniqueCount="1757">
  <si>
    <t>Todos los derechos reservados. Este documento contiene información de propiedad de Fluidsignal Group. El cliente puede usar dicha información sólo con el propósito de documentación sin poder divulgar su contenido a terceras partes ya que contiene ideas, conceptos, precios y estructuras de propiedad de Fluidsignal Group S.A. La clasificación “propietaria” significa que ésta información es sólo para uso de las personas a quienes esta dirigida. En caso de requerirse copias totales o parciales se debe contar con la autorización expresa y escrita de Fluidsignal Group S.A. Las normas que fundamentan la clasificación de la información son los artículos 72 y siguientes de la decisión del acuerdo de Cartagena, 344 de 1.993, el artículo 238 del código penal y los artículos 16 y siguientes de la ley 256 de 1.996.</t>
  </si>
  <si>
    <t>Ítem</t>
  </si>
  <si>
    <t>Valor</t>
  </si>
  <si>
    <t>Comentario</t>
  </si>
  <si>
    <t>Organización (cliente)</t>
  </si>
  <si>
    <t>Bancolombia</t>
  </si>
  <si>
    <t>Contacto (cliente)</t>
  </si>
  <si>
    <t>Área (cliente)</t>
  </si>
  <si>
    <t>Proyecto FLUID</t>
  </si>
  <si>
    <t>Objetivo de evaluación (ToE)</t>
  </si>
  <si>
    <t>Servicio</t>
  </si>
  <si>
    <t>Pruebas Integrales [PI]</t>
  </si>
  <si>
    <t>Alcance ToE</t>
  </si>
  <si>
    <t>Equipo del proyecto</t>
  </si>
  <si>
    <t>&lt;Analista(s)&gt;, &lt;Arquitecto&gt;</t>
  </si>
  <si>
    <t>Días estimados</t>
  </si>
  <si>
    <t>Fecha de inicio real</t>
  </si>
  <si>
    <t>Fecha de inicio planeada</t>
  </si>
  <si>
    <t>Fecha de revisión de pares</t>
  </si>
  <si>
    <t>Fecha de fin esperada</t>
  </si>
  <si>
    <t>Fecha de fin real</t>
  </si>
  <si>
    <t>Fecha de entrega</t>
  </si>
  <si>
    <t>Etapa de ejecución</t>
  </si>
  <si>
    <t>Etapa de documentación</t>
  </si>
  <si>
    <t>Escenarios</t>
  </si>
  <si>
    <t>&lt;Anónimo/Empleado&gt;</t>
  </si>
  <si>
    <t>Ambiente</t>
  </si>
  <si>
    <t>Perfilamiento</t>
  </si>
  <si>
    <t>Diseño de seguridad</t>
  </si>
  <si>
    <t>-</t>
  </si>
  <si>
    <t>Fechas días festivos</t>
  </si>
  <si>
    <t>AAAA/MM/DD</t>
  </si>
  <si>
    <t>Recursos</t>
  </si>
  <si>
    <t>Recurso</t>
  </si>
  <si>
    <t>Proveedor</t>
  </si>
  <si>
    <t>Estado</t>
  </si>
  <si>
    <t>Máquina para las pruebas</t>
  </si>
  <si>
    <t>FLUID</t>
  </si>
  <si>
    <t>Punto de red</t>
  </si>
  <si>
    <t>URL</t>
  </si>
  <si>
    <t>Credenciales</t>
  </si>
  <si>
    <t>Direcciones IP</t>
  </si>
  <si>
    <t>Código</t>
  </si>
  <si>
    <t>Objetivo de Evaluación (ToE)</t>
  </si>
  <si>
    <t>Componente</t>
  </si>
  <si>
    <t>Punto de Entrada</t>
  </si>
  <si>
    <t>Verificado</t>
  </si>
  <si>
    <t>Vulnerable</t>
  </si>
  <si>
    <t>Detalles</t>
  </si>
  <si>
    <t>%</t>
  </si>
  <si>
    <t>Verificados</t>
  </si>
  <si>
    <t>No Verificados</t>
  </si>
  <si>
    <t>Total entradas</t>
  </si>
  <si>
    <t>Cobertura</t>
  </si>
  <si>
    <t>LoC</t>
  </si>
  <si>
    <t>LoC Verificadas</t>
  </si>
  <si>
    <t>Criterio de Seguridad</t>
  </si>
  <si>
    <t>Requisito</t>
  </si>
  <si>
    <t>Descripción</t>
  </si>
  <si>
    <t>Capa</t>
  </si>
  <si>
    <t>Activo de Información</t>
  </si>
  <si>
    <t>Alcance</t>
  </si>
  <si>
    <t>Fase</t>
  </si>
  <si>
    <t>Prueba</t>
  </si>
  <si>
    <t>REQ.0001</t>
  </si>
  <si>
    <t>Los activos de información del sistema deben estar identificados.</t>
  </si>
  <si>
    <t>Capa de Recursos</t>
  </si>
  <si>
    <t>Activos de información</t>
  </si>
  <si>
    <t>Adherencia</t>
  </si>
  <si>
    <t>Análisis</t>
  </si>
  <si>
    <t>REQ.0002</t>
  </si>
  <si>
    <t>Cada activo de información debe estar asociado con un responsable del activo.</t>
  </si>
  <si>
    <t>REQ.0003</t>
  </si>
  <si>
    <t>Cada activo de información debe estar valorado en terminos monetarios.</t>
  </si>
  <si>
    <t>REQ.0004</t>
  </si>
  <si>
    <t>Las amenazas asociadas a un activo de información deben estar identificadas y documentadas.</t>
  </si>
  <si>
    <t>REQ.0005</t>
  </si>
  <si>
    <t>Los sistemas que interactúen con un activo de información deben tener identificadas las posibles vulnerabilidades que sobre ellos apliquen y que sean conocidas.</t>
  </si>
  <si>
    <t>REQ.0006</t>
  </si>
  <si>
    <t>Cada amenaza sobre un activo de información debe ser medida en términos de su probabilidad de ocurrencia.</t>
  </si>
  <si>
    <t>REQ.0007</t>
  </si>
  <si>
    <t>Cada amenaza sobre un activo de información debe ser medida en términos de su impacto.</t>
  </si>
  <si>
    <t>REQ.0008</t>
  </si>
  <si>
    <t>Cada riesgo de seguridad de información, debe estar medido en función de su probabilidad e impacto.</t>
  </si>
  <si>
    <t>Capa de Negocio</t>
  </si>
  <si>
    <t>REQ.0009</t>
  </si>
  <si>
    <t>Los posibles atacantes del sistema deben estar identificados.</t>
  </si>
  <si>
    <t>Capa de Aplicación</t>
  </si>
  <si>
    <t>REQ.0010</t>
  </si>
  <si>
    <t>Debe estar definido el proceso para poder reclasificar los activos de información.</t>
  </si>
  <si>
    <t>Diseño</t>
  </si>
  <si>
    <t>REQ.0011</t>
  </si>
  <si>
    <t>Los activos de información deben estar clasificados de acuerdo a su nivel de confidencialidad y de criticidad.</t>
  </si>
  <si>
    <t>REQ.0012</t>
  </si>
  <si>
    <t>Las vulnerabilidades halladas en los activos de información deben estar priorizadas según la criticidad de cada vulnerabilidad.</t>
  </si>
  <si>
    <t>Pruebas</t>
  </si>
  <si>
    <t>REQ.0013</t>
  </si>
  <si>
    <t>La organización debe asegurar que cada una de las vulnerabilidades identificadas en los activos de información, sea corregida y comprobada su corrección.</t>
  </si>
  <si>
    <t>REQ.0014</t>
  </si>
  <si>
    <t>La organización debe garantizar un medio seguro de transporte para la información física.</t>
  </si>
  <si>
    <t>Responsabilidad</t>
  </si>
  <si>
    <t>Operación</t>
  </si>
  <si>
    <t>REQ.0015</t>
  </si>
  <si>
    <t>La organización debe tener un acuerdo de nivel de servicio de disponibilidad con todos los terceros con los cuales comparte información.</t>
  </si>
  <si>
    <t>Acuerdo de nivel de servicio</t>
  </si>
  <si>
    <t>REQ.0016</t>
  </si>
  <si>
    <t>La organización debe tener un acuerdo de nivel de servicio de confiabilidad con todos los terceros con los cuales comparte información.</t>
  </si>
  <si>
    <t>REQ.0017</t>
  </si>
  <si>
    <t>La organización debe definir penalizaciones para ser aplicadas por el incumplimiento en los acuerdos de niveles de servicio.</t>
  </si>
  <si>
    <t>REQ.0018</t>
  </si>
  <si>
    <t>Proveedores de la organización deben asegurar que sus terceras partes cumplen los requisitos definidos.</t>
  </si>
  <si>
    <t>REQ.0019</t>
  </si>
  <si>
    <t>Proveedores de la organización deben permitir auditorías de cliente en el alcance relacionado.</t>
  </si>
  <si>
    <t>REQ.0020</t>
  </si>
  <si>
    <t>El sistema debe cerrar una sesión si se presenta un tiempo de inactividad por parte del usuario, superior o igual a 5 minutos.</t>
  </si>
  <si>
    <t>Administración de sesiones</t>
  </si>
  <si>
    <t>REQ.0021</t>
  </si>
  <si>
    <t>Si el sistema debe transferir información entre páginas, debe realizarse a través de objetos de sesión.</t>
  </si>
  <si>
    <t>Interoperatividad</t>
  </si>
  <si>
    <t>Construcción</t>
  </si>
  <si>
    <t>REQ.0022</t>
  </si>
  <si>
    <t>Las sesiones concurrentes de un sistema se deben controlar o informar</t>
  </si>
  <si>
    <t>Integridad</t>
  </si>
  <si>
    <t>REQ.0023</t>
  </si>
  <si>
    <t>El sistema debe verificar la integridad y cifrar los estados de sesión que están al lado del cliente.</t>
  </si>
  <si>
    <t>REQ.0024</t>
  </si>
  <si>
    <t>El sistema debe proporcionar al usuario la capacidad de bloquear la sesión de forma manual, desde cualquier recurso protegido por autenticación.</t>
  </si>
  <si>
    <t>Confidencialidad</t>
  </si>
  <si>
    <t>REQ.0025</t>
  </si>
  <si>
    <t>El sistema debe permitir al usuario terminar la sesión de forma manual, desde cualquier recurso protegido por autenticación.</t>
  </si>
  <si>
    <t>REQ.0026</t>
  </si>
  <si>
    <t>Las cookies de sesión de aplicaciones Web deben tener atributos de seguridad (HttpOnly, Secure)</t>
  </si>
  <si>
    <t>REQ.0027</t>
  </si>
  <si>
    <t>Se debe controlar que un objeto (id de sesión, cookie, etc) que participe en el proceso de autenticación no pueda ser reutilizado.</t>
  </si>
  <si>
    <t>Autenticidad</t>
  </si>
  <si>
    <t>REQ.0028</t>
  </si>
  <si>
    <t>El sistema no debe exponer identificadores de sesión en URLs y mensajes presentados al usuario.</t>
  </si>
  <si>
    <t>REQ.0029</t>
  </si>
  <si>
    <t>Si el sistema posee un mecanismo de administración, este debe ser accesible solo desde segmentos de red de gestión o administrativos.</t>
  </si>
  <si>
    <t>Administración del sistema</t>
  </si>
  <si>
    <t>REQ.0030</t>
  </si>
  <si>
    <t>El sistema debe permitir a un superusuario o usuario administrador del sistema, deshabilitar cuentas de usuarios.</t>
  </si>
  <si>
    <t>Autorización</t>
  </si>
  <si>
    <t>REQ.0031</t>
  </si>
  <si>
    <t>El sistema no debe permitir a un actor del sistema, aumentar los privilegios para él mismo.</t>
  </si>
  <si>
    <t>REQ.0032</t>
  </si>
  <si>
    <t>El sistema no debe desplegar archivos temporales en ambiente de producción.</t>
  </si>
  <si>
    <t>Archivos</t>
  </si>
  <si>
    <t>Despliegue</t>
  </si>
  <si>
    <t>REQ.0033</t>
  </si>
  <si>
    <t>El sistema no debe incluir en parámetros nombres de directorios o rutas de archivos.</t>
  </si>
  <si>
    <t>REQ.0034</t>
  </si>
  <si>
    <t>Los archivos del sistema deben ser referenciados mediante rutas absolutas.</t>
  </si>
  <si>
    <t>REQ.0035</t>
  </si>
  <si>
    <t>Los archivos operados en un sistema y los manipulados por los usuarios deben tener un tamaño máximo definido (5MB recomendado)</t>
  </si>
  <si>
    <t>Disponibilidad</t>
  </si>
  <si>
    <t>REQ.0036</t>
  </si>
  <si>
    <t>El sistema debe validar que el formato (estructura) de los archivos corresponda con su extensión.</t>
  </si>
  <si>
    <t>REQ.0037</t>
  </si>
  <si>
    <t>El sistema debe validar que el contenido de los archivos transferidos hacia el mismo sistema esté libre de código malicioso.</t>
  </si>
  <si>
    <t>Madurez</t>
  </si>
  <si>
    <t>REQ.0038</t>
  </si>
  <si>
    <t>El sistema solo debe aceptar únicamente archivos cuyo formato (estructura) sea requerido por la operativa del negocio.</t>
  </si>
  <si>
    <t>REQ.0039</t>
  </si>
  <si>
    <t>Los archivos generados de forma dinámica por el sistema deben tener definido un Content-Type explícito.</t>
  </si>
  <si>
    <t>REQ.0040</t>
  </si>
  <si>
    <t>Los archivos generados de forma dinámica por el sistema deben tener definido un Character-Set explícito.</t>
  </si>
  <si>
    <t>REQ.0041</t>
  </si>
  <si>
    <t>Los metadatos de archivos deben ser eliminados antes de ser compartidos con un tercero o hacerlos públicos.</t>
  </si>
  <si>
    <t>REQ.0042</t>
  </si>
  <si>
    <t>El sistema debe verificar y reportar en bitacora cambios en integridad de los archivos críticos del sistema.</t>
  </si>
  <si>
    <t>REQ.0043</t>
  </si>
  <si>
    <t>Se debe establecer los archivos críticos para cada sistema sobre los que se debe ejercer monitoreo a su integridad.</t>
  </si>
  <si>
    <t>REQ.0044</t>
  </si>
  <si>
    <t>En el código fuente, un componente debe poseer el menor número de dependencias posible.</t>
  </si>
  <si>
    <t>Arquitectura de seguridad</t>
  </si>
  <si>
    <t>Mantenibilidad</t>
  </si>
  <si>
    <t>REQ.0045</t>
  </si>
  <si>
    <t>En el código fuente, los componentes deben utilizar interfaces en vez de implementaciones.</t>
  </si>
  <si>
    <t>REQ.0046</t>
  </si>
  <si>
    <t>El código fuente debe estar almacenado en un repositorio central.</t>
  </si>
  <si>
    <t>REQ.0047</t>
  </si>
  <si>
    <t>Los componentes críticos para la seguridad deben identificarse (TCB).</t>
  </si>
  <si>
    <t>REQ.0048</t>
  </si>
  <si>
    <t>La organización debe identificar y documentar los casos de abuso que se relacionan con el sistema.</t>
  </si>
  <si>
    <t>REQ.0049</t>
  </si>
  <si>
    <t>Debe documentarse la relación de dependencia entre casos de abuso cuando ésta sea identificada.</t>
  </si>
  <si>
    <t>REQ.0050</t>
  </si>
  <si>
    <t>Los casos de seguridad del sistema deben estar documentados.</t>
  </si>
  <si>
    <t>REQ.0051</t>
  </si>
  <si>
    <t>Los casos de seguridad deben tener un caso de abuso de control.</t>
  </si>
  <si>
    <t>REQ.0052</t>
  </si>
  <si>
    <t>Cada caso de abuso debe estar relacionado al menos con un caso de uso.</t>
  </si>
  <si>
    <t>REQ.0053</t>
  </si>
  <si>
    <t>Los casos de uso deben tener documentados los eventos de seguridad del sistema.</t>
  </si>
  <si>
    <t>REQ.0054</t>
  </si>
  <si>
    <t>Los eventos de seguridad del sistema que deben ser monitoreados deben estar identificados.</t>
  </si>
  <si>
    <t>REQ.0055</t>
  </si>
  <si>
    <t>Los componentes de la superficie de ataque (puntos de entrada a los que se accede sin autenticación) deben identificarse.</t>
  </si>
  <si>
    <t>REQ.0056</t>
  </si>
  <si>
    <t>La documentación que soporta un sistema de información debe contener un capítulo de seguridad.</t>
  </si>
  <si>
    <t>REQ.0057</t>
  </si>
  <si>
    <t>Debe definirse configuraciones estándares que corrijan todas las vulnerabilidades conocidas y que sean consistentes con estándares de la industria (ej: líneas base).</t>
  </si>
  <si>
    <t>REQ.0058</t>
  </si>
  <si>
    <t>Los requisitos de seguridad definidos para un sistema deben ser comprobables (pruebas de caja blanca).</t>
  </si>
  <si>
    <t>REQ.0059</t>
  </si>
  <si>
    <t>Los requisitos de seguridad que serán probados (en pruebas de caja blanca) deben estar definidos.</t>
  </si>
  <si>
    <t>REQ.0060</t>
  </si>
  <si>
    <t>Los requisitos de seguridad efectivamente probados (en pruebas de caja blanca) deben estar identificados.</t>
  </si>
  <si>
    <t>REQ.0061</t>
  </si>
  <si>
    <t>Los componentes que pueden ser probados (en pruebas de caja blanca) deben estar definidos.</t>
  </si>
  <si>
    <t>REQ.0062</t>
  </si>
  <si>
    <t>Los componentes del sistema que serán probados (pruebas de caja blanca) deben estar definidos.</t>
  </si>
  <si>
    <t>REQ.0063</t>
  </si>
  <si>
    <t>Los componentes efectivamente probados (pruebas de caja blanca) deben haber sido identificados.</t>
  </si>
  <si>
    <t>REQ.0064</t>
  </si>
  <si>
    <t>La organización debe identificar y tratar los riesgos derivados de vulnerabilidades no corregidas.</t>
  </si>
  <si>
    <t>REQ.0065</t>
  </si>
  <si>
    <t>Debe haber una batería de pruebas de seguridad automatizadas que se ejecute como parte del proceso de despliegue (ej: unitarias, integración, funcionales).</t>
  </si>
  <si>
    <t>REQ.0066</t>
  </si>
  <si>
    <t>Cada vulnerabilidad detectada debe entrar en la batería de pruebas automatizadas con el fin de evitar regresiones.</t>
  </si>
  <si>
    <t>REQ.0067</t>
  </si>
  <si>
    <t>El tiempo de respuesta con la concurrencia máxima esperada debe ser de no más de 5 segundos.</t>
  </si>
  <si>
    <t>Rendimiento</t>
  </si>
  <si>
    <t>REQ.0068</t>
  </si>
  <si>
    <t>El porcentaje de errores con la concurrencia máxima esperada debe ser de 0%.</t>
  </si>
  <si>
    <t>Estabilidad</t>
  </si>
  <si>
    <t>REQ.0069</t>
  </si>
  <si>
    <t>Los sistemas críticos de la organización deben ser redundantes.</t>
  </si>
  <si>
    <t>REQ.0070</t>
  </si>
  <si>
    <t>El sistema debe registrar todos los eventos excepcionales en bitácoras.</t>
  </si>
  <si>
    <t>Bitácoras</t>
  </si>
  <si>
    <t>REQ.0071</t>
  </si>
  <si>
    <t>El sistema debe registrar el nivel de severidad para cada evento excepcional y de seguridad.</t>
  </si>
  <si>
    <t>Facilidad de análisis</t>
  </si>
  <si>
    <t>REQ.0072</t>
  </si>
  <si>
    <t>Los eventos con severidad de depuración no deben estar habilitados en producción.</t>
  </si>
  <si>
    <t>REQ.0073</t>
  </si>
  <si>
    <t>El sistema debe registrar el momento exacto de ocurrencia (Fecha, hora, segundos, milisegundos y zona horaria) para cada evento excepcional y de seguridad.</t>
  </si>
  <si>
    <t>REQ.0074</t>
  </si>
  <si>
    <t>Las bitácoras de un sistema no deben ser modificables o alterables.</t>
  </si>
  <si>
    <t>REQ.0075</t>
  </si>
  <si>
    <t>La organización debe almacenar las bitácoras al menos durante 5 años desde la ocurrencia del evento en el sistema o lo que disponga la legislación vigente para dicho sistema.</t>
  </si>
  <si>
    <t>REQ.0076</t>
  </si>
  <si>
    <t>La gestión de bitácoras debe realizarse por el sistema operativo o un sistema externo a la aplicación.</t>
  </si>
  <si>
    <t>REQ.0077</t>
  </si>
  <si>
    <t>El sistema no debe registrar información sensible en un evento excepcional de una bitácora.</t>
  </si>
  <si>
    <t>REQ.0078</t>
  </si>
  <si>
    <t>El sistema debe permitir a los usuarios autorizados consultar el historial de transacciones realizadas por él mismo.</t>
  </si>
  <si>
    <t>REQ.0079</t>
  </si>
  <si>
    <t>El sistema debe permitir a los usuarios autorizados consultar el historial de sesiones establecidas por él mismo.</t>
  </si>
  <si>
    <t>REQ.0080</t>
  </si>
  <si>
    <t>El registro de un evento de seguridad sensible en bitácora debe generar una alarma.</t>
  </si>
  <si>
    <t>REQ.0081</t>
  </si>
  <si>
    <t>La organización debe garantizar que las llamadas realizadas por personal en operación desde líneas telefónicas en los lugares donde se manipulan activos de información, deben ser registradas en una bitácora con nombre de quién realiza la llamada, teléfono, fecha y hora.</t>
  </si>
  <si>
    <t>REQ.0082</t>
  </si>
  <si>
    <t>Un sistema con información crítica para el negocio debe requerir certificados digitales de cliente en el proceso de autenticación.</t>
  </si>
  <si>
    <t>Certificados digitales</t>
  </si>
  <si>
    <t>REQ.0083</t>
  </si>
  <si>
    <t>La organización no debe utilizar certificados digitales con una vigencia superior a un año.</t>
  </si>
  <si>
    <t>REQ.0084</t>
  </si>
  <si>
    <t>El sistema debe utilizar certificados digitales que no se encuentren vencidos.</t>
  </si>
  <si>
    <t>REQ.0085</t>
  </si>
  <si>
    <t>Debe utilizarse certificados firmados por entidades certificadoras internas válidas cuando estos sean para aplicaciones internas.</t>
  </si>
  <si>
    <t>REQ.0086</t>
  </si>
  <si>
    <t>Debe utilizarse certificados firmados por entidades certificadoras externas válidas cuando estos sean para aplicaciones externas.</t>
  </si>
  <si>
    <t>REQ.0087</t>
  </si>
  <si>
    <t>Debe utilizarse certificados con una identificación coherente con la organización (servicio, servidor, entre otros) a la cual se encuentra asociado.</t>
  </si>
  <si>
    <t>REQ.0088</t>
  </si>
  <si>
    <t>Debe preferirse especificar las reglas para control de acceso de modo declarativo en vez de modo programático.</t>
  </si>
  <si>
    <t>Control de acceso</t>
  </si>
  <si>
    <t>REQ.0089</t>
  </si>
  <si>
    <t>Los usuarios que accederán al sistema con cuentas de administrador o superadministrador deben estar definidos.</t>
  </si>
  <si>
    <t>REQ.0090</t>
  </si>
  <si>
    <t>Los privilegios requeridos por los usuarios que accederán al sistema deben estar definidos.</t>
  </si>
  <si>
    <t>REQ.0091</t>
  </si>
  <si>
    <t>La organización debe definir un modelo de control de acceso a los sistemas.</t>
  </si>
  <si>
    <t>REQ.0092</t>
  </si>
  <si>
    <t>La organización debe contar con barreras físicas (puertas, rejas, muros, etc) requeridos para la custodia de los activos de información físicos y lógicos.</t>
  </si>
  <si>
    <t>Capa Física</t>
  </si>
  <si>
    <t>REQ.0093</t>
  </si>
  <si>
    <t>La organización debe llevar control de acceso de vehículos y personas en las zonas de parqueaderos.</t>
  </si>
  <si>
    <t>REQ.0094</t>
  </si>
  <si>
    <t>Las ventanas de lugares que contengan activos de información físicos o lógicos deben permanecer selladas.</t>
  </si>
  <si>
    <t>REQ.0095</t>
  </si>
  <si>
    <t>La organización debe garantizar que todo el personal que realiza actividades al interior de las instalaciones debe estar carnetizado y contar con las tarjetas del sistema de control de accesos correspondientes.</t>
  </si>
  <si>
    <t>REQ.0096</t>
  </si>
  <si>
    <t>La organización debe exigir que los carné de identificación deben estar visibles todo el tiempo.</t>
  </si>
  <si>
    <t>REQ.0097</t>
  </si>
  <si>
    <t>La organización debe contar con un proceso definido para la asignación, inventario, cambio, reasignación y retiro de tarjetas de acceso.</t>
  </si>
  <si>
    <t>REQ.0098</t>
  </si>
  <si>
    <t>La organización debe exigir que todos los operarios, para la manipulación de activos de información físicos, deben hacer uso de uniforme sin bolsillos.</t>
  </si>
  <si>
    <t>REQ.0099</t>
  </si>
  <si>
    <t>La organización no debe permitir el ingreso a las instalaciones de elementos que permitan la extracción de activos de información digitales o físicos.</t>
  </si>
  <si>
    <t>REQ.0100</t>
  </si>
  <si>
    <t>La organización debe garantizar que las líneas telefónicas habilitadas en los lugares donde se manipulan activos de información, deba estar asignada a una sola persona que se responsabilice de su uso.</t>
  </si>
  <si>
    <t>REQ.0101</t>
  </si>
  <si>
    <t>La organización debe exigir una requisa manual a cada uno de los empleados cada vez que salgan del área donde se manipulan activos de información.</t>
  </si>
  <si>
    <t>REQ.0102</t>
  </si>
  <si>
    <t>Los lugares donde se manipulan activos de información deberán disponer de lockers con llave para que el personal encargado de la operación y visitantes dejen sus objetos personales, maletines, maletas, cascos de moto, dispositivos electrónicos y demás elementos no relacionados al 100% con su labor.</t>
  </si>
  <si>
    <t>REQ.0103</t>
  </si>
  <si>
    <t>Las áreas restringidas deben contar con mecanismos de control de acceso físico detectivos (cámaras, vigilantes, sensores de calor, etc).</t>
  </si>
  <si>
    <t>REQ.0104</t>
  </si>
  <si>
    <t>Las áreas restringidas deben contar con mecanismos de control de acceso físico preventivos (cerraduras, puertas, vigilantes, etc).</t>
  </si>
  <si>
    <t>REQ.0105</t>
  </si>
  <si>
    <t>La organización debe contar con controles físicos detectivos y disuasivos en la periferia de las instalaciones (Iluminación, cámaras, vigilantes, etc).</t>
  </si>
  <si>
    <t>REQ.0106</t>
  </si>
  <si>
    <t>La organización debe ubicar bolardos alrededor de las edificaciones de la compañía en zonas que estén bajo el riesgo de ser impactadas por un automóvil.</t>
  </si>
  <si>
    <t>REQ.0107</t>
  </si>
  <si>
    <t>Las áreas restringidas deben tener un número pequeño y controlable de puntos de acceso.</t>
  </si>
  <si>
    <t>REQ.0108</t>
  </si>
  <si>
    <t>Los correos electrónicos de entradas y salida deben pasar por un filtro anti-spam.</t>
  </si>
  <si>
    <t>Correo electrónico</t>
  </si>
  <si>
    <t>REQ.0109</t>
  </si>
  <si>
    <t>El cliente de correo electrónico corporativo no debe mostrar de forma predeterminada imágenes cuyo origen sea desconocido.</t>
  </si>
  <si>
    <t>REQ.0110</t>
  </si>
  <si>
    <t>El cliente de correo electrónico corporativo no debe interpretar código HTML por defecto.</t>
  </si>
  <si>
    <t>REQ.0111</t>
  </si>
  <si>
    <t>Los archivos que se encuentran adjuntos en un correo electrónico deben ser analizados por una herramienta anti-malware.</t>
  </si>
  <si>
    <t>REQ.0112</t>
  </si>
  <si>
    <t>Se debe hacer uso del campo BCC en lugar de destinatario al momento de enviar correos masivos.</t>
  </si>
  <si>
    <t>REQ.0113</t>
  </si>
  <si>
    <t>Todos los correos electrónicos deben archivarse en un lugar central.</t>
  </si>
  <si>
    <t>Adaptabilidad</t>
  </si>
  <si>
    <t>REQ.0114</t>
  </si>
  <si>
    <t>Sistemas que empleen cuentas de correo para el registro de usuarios deben garantizar la unicidad de los correos, siguiendo el estándar de la estructura de dirección de correo RFC822.</t>
  </si>
  <si>
    <t>REQ.0115</t>
  </si>
  <si>
    <t>El sistema debe garantizar que el correo electrónico declarado realmente pertenece a la persona en cuestión.</t>
  </si>
  <si>
    <t>REQ.0116</t>
  </si>
  <si>
    <t>El sistema debe garantizar que la visualización de correos electrónicos expuestos sean vistos por humanos.</t>
  </si>
  <si>
    <t>REQ.0117</t>
  </si>
  <si>
    <t>El sistema debe notificar a un usuario el vencimiento de su contraseña con una antelación de 7 días.</t>
  </si>
  <si>
    <t>Credenciales de acceso</t>
  </si>
  <si>
    <t>REQ.0118</t>
  </si>
  <si>
    <t>El sistema debe permitir a un usuario realizar un cambio de contraseña de forma autónoma hasta 5 días después del vencimiento de la misma.</t>
  </si>
  <si>
    <t>REQ.0119</t>
  </si>
  <si>
    <t>El sistema debe poseer un mecanismo para que un usuario pueda recordar o restaurar su contraseña.</t>
  </si>
  <si>
    <t>REQ.0120</t>
  </si>
  <si>
    <t>Las contraseñas deben almacenarse a través de resúmenes criptográficos.</t>
  </si>
  <si>
    <t>REQ.0121</t>
  </si>
  <si>
    <t>Las contraseñas deben estar almacenadas en una fuente de datos única.</t>
  </si>
  <si>
    <t>REQ.0122</t>
  </si>
  <si>
    <t>El sistema no debe permitir cambio de contraseña para un usuario, si la nueva contraseña es igual a alguna de las últimas 5 contraseñas de ese usuario.</t>
  </si>
  <si>
    <t>REQ.0123</t>
  </si>
  <si>
    <t>Las contraseñas deben tener una validez máxima de 30 días.</t>
  </si>
  <si>
    <t>REQ.0124</t>
  </si>
  <si>
    <t>La contraseña no debe poder cambiarse mas de una vez en un mismo día.</t>
  </si>
  <si>
    <t>REQ.0125</t>
  </si>
  <si>
    <t>Las contraseñas (tipo frase -preferido-) deben tener al menos 3 palabras de longitud.</t>
  </si>
  <si>
    <t>REQ.0126</t>
  </si>
  <si>
    <t>Las contraseñas (tipo palabra) deben tener al menos 8 caracteres de longitud.</t>
  </si>
  <si>
    <t>REQ.0127</t>
  </si>
  <si>
    <t>Las contraseñas (tipo palabra) deben tener al menos 1 letra minúscula.</t>
  </si>
  <si>
    <t>REQ.0128</t>
  </si>
  <si>
    <t>Las contraseñas (tipo palabra) deben tener al menos 1 letra mayúscula.</t>
  </si>
  <si>
    <t>REQ.0129</t>
  </si>
  <si>
    <t>Las contraseñas (tipo palabra) deben tener al menos 1 dígito.</t>
  </si>
  <si>
    <t>REQ.0130</t>
  </si>
  <si>
    <t>Las contraseñas (tipo palabra) deben tener al menos 1 carácter especial.</t>
  </si>
  <si>
    <t>REQ.0131</t>
  </si>
  <si>
    <t>La contraseñas de acceso de un sistema a otro sistema deben tener una longitud superior a 20 caracteres.</t>
  </si>
  <si>
    <t>REQ.0132</t>
  </si>
  <si>
    <t>El sistema debe almacenar las contraseñas con diferentes derivaciones de clave (Salt).</t>
  </si>
  <si>
    <t>REQ.0133</t>
  </si>
  <si>
    <t>Las derivaciones de clave (Salt), deben ser aleatorias y de mínimo 48 bits.</t>
  </si>
  <si>
    <t>REQ.0134</t>
  </si>
  <si>
    <t>El sistema debe forzar el cambio de contraseñas temporales generadas automáticamente después de su primer uso.</t>
  </si>
  <si>
    <t>REQ.0135</t>
  </si>
  <si>
    <t>El sistema debe forzar el cambio de contraseñas temporales generadas por un tercero después de su primer uso.</t>
  </si>
  <si>
    <t>REQ.0136</t>
  </si>
  <si>
    <t>Las contraseñas temporales que son generadas para ingreso inicial en un sistema deben tener una validez máxima de 120 minutos.</t>
  </si>
  <si>
    <t>REQ.0137</t>
  </si>
  <si>
    <t>Las claves de un solo uso deben tener una longitud mínima de 6 caracteres.</t>
  </si>
  <si>
    <t>REQ.0138</t>
  </si>
  <si>
    <t>Las claves de un solo uso deben tener un validez máxima de 60 segundos.</t>
  </si>
  <si>
    <t>REQ.0139</t>
  </si>
  <si>
    <t>El sistema debe forzar a un usuario a realizar nuevamente el proceso de autenticación en el sistema una vez que se haya realizado un cambio o restauración de su contraseña.</t>
  </si>
  <si>
    <t>REQ.0140</t>
  </si>
  <si>
    <t>La organización debe modificar todas las credenciales de acceso por defecto de sistemas empaquetados.</t>
  </si>
  <si>
    <t>REQ.0141</t>
  </si>
  <si>
    <t>Las credenciales de acceso al sistema deben ser únicas para cada actor.</t>
  </si>
  <si>
    <t>REQ.0142</t>
  </si>
  <si>
    <t>Las funciones de criptografía del sistema deben ser implementadas con mecanismos criptográficos pre-existentes y vigentes.</t>
  </si>
  <si>
    <t>Criptografía</t>
  </si>
  <si>
    <t>REQ.0143</t>
  </si>
  <si>
    <t>Debe utilizarse como mecanismo de cifrado asimétrico un tamaño de clave mínimo de 2048 bits.</t>
  </si>
  <si>
    <t>REQ.0144</t>
  </si>
  <si>
    <t>Debe utilizarse como mecanismo de cifrado simétrico un tamaño de clave mínimo de 128 bits.</t>
  </si>
  <si>
    <t>REQ.0145</t>
  </si>
  <si>
    <t>Debe utilizarse funciones resumen con un tamaño mínimo de 256 bits.</t>
  </si>
  <si>
    <t>REQ.0146</t>
  </si>
  <si>
    <t>Debe utilizarse con la criptografía asimétrica pares de claves separados para cifrado y firmado.</t>
  </si>
  <si>
    <t>REQ.0147</t>
  </si>
  <si>
    <t>El sistema debe reutilizar las conexiones a la base de datos.</t>
  </si>
  <si>
    <t>Código fuente</t>
  </si>
  <si>
    <t>REQ.0148</t>
  </si>
  <si>
    <t>La transacción debe confirmarse fuera de banda (SMS, correo, entre otros).</t>
  </si>
  <si>
    <t>REQ.0149</t>
  </si>
  <si>
    <t>El código fuente de un sistema no debe realizar funciones diferentes a las que han sido especificadas en los requisitos funcionales (puertas traseras).</t>
  </si>
  <si>
    <t>REQ.0150</t>
  </si>
  <si>
    <t>El código de la aplicación debe estar libre de código malicioso.</t>
  </si>
  <si>
    <t>REQ.0151</t>
  </si>
  <si>
    <t>El código fuente no debe contener información sensible.</t>
  </si>
  <si>
    <t>REQ.0152</t>
  </si>
  <si>
    <t>El código debe compilarse o interpretarse de forma estricta.</t>
  </si>
  <si>
    <t>REQ.0153</t>
  </si>
  <si>
    <t>La codificación del sistema debe estar implementada en una versión de un lenguaje de programación estable, actualizada, probada y libre de vulnerabilidades conocidas.</t>
  </si>
  <si>
    <t>REQ.0154</t>
  </si>
  <si>
    <t>El código fuente debe estar ofuscado en ambiente de producción.</t>
  </si>
  <si>
    <t>REQ.0155</t>
  </si>
  <si>
    <t>La salida de información del sistema debe estar codificada en el lenguaje correspondiente (escaping).</t>
  </si>
  <si>
    <t>REQ.0156</t>
  </si>
  <si>
    <t>El código debe definir opciones por defecto seguras (ej: default en switches).</t>
  </si>
  <si>
    <t>REQ.0157</t>
  </si>
  <si>
    <t>El código fuente no debe tener funciones, métodos o clases repetidas.</t>
  </si>
  <si>
    <t>REQ.0158</t>
  </si>
  <si>
    <t>Las funciones, métodos o clases deben ser invocadas en algún escenario funcional del sistema.</t>
  </si>
  <si>
    <t>REQ.0159</t>
  </si>
  <si>
    <t>El código debe utilizar contenedores o estructuras de datos optimizadas.</t>
  </si>
  <si>
    <t>REQ.0160</t>
  </si>
  <si>
    <t>El sistema debe comprimir todo código que vaya a ser transferido entre éste y otro sistema o cliente.</t>
  </si>
  <si>
    <t>REQ.0161</t>
  </si>
  <si>
    <t>El código fuente debe contener funciones, métodos o fragmentos de código con una complejidad ciclomática (McCabe) inferior a 20.</t>
  </si>
  <si>
    <t>REQ.0162</t>
  </si>
  <si>
    <t>El código fuente debe estar implementado de tal forma que cierre cualquier recurso que se encuentre abierto y no esté siendo utilizando.</t>
  </si>
  <si>
    <t>REQ.0163</t>
  </si>
  <si>
    <t>Las variables del código fuente deben estar inicializadas de forma explícita.</t>
  </si>
  <si>
    <t>REQ.0164</t>
  </si>
  <si>
    <t>Debe usarse construcciones parametrizadas o procedimientos almacenados parametrizados para la creación dinámica de sentencias (ej: java.sql.PreparedStatement)</t>
  </si>
  <si>
    <t>REQ.0165</t>
  </si>
  <si>
    <t>El código fuente debe estar implementado de tal forma que todas las variables tengan un tipo de dato asociado.</t>
  </si>
  <si>
    <t>REQ.0166</t>
  </si>
  <si>
    <t>Los comentarios del código fuente en ambiente de producción deben ser removidos.</t>
  </si>
  <si>
    <t>REQ.0167</t>
  </si>
  <si>
    <t>Las cadenas de conexión a la base de datos deben de estar cifradas en un archivo de configuración separado del código fuente.</t>
  </si>
  <si>
    <t>REQ.0168</t>
  </si>
  <si>
    <t>El sistema debe descartar toda la información potencialmente insegura que sea recibida por entradas de datos.</t>
  </si>
  <si>
    <t>REQ.0169</t>
  </si>
  <si>
    <t>La aplicación debe garantizar que las peticiones que ejecuten transacciones no sigan un patrón discernible.</t>
  </si>
  <si>
    <t>REQ.0170</t>
  </si>
  <si>
    <t>Una página Web debe protegerse de ser embebida en sitios maliciosos (clickjacking).</t>
  </si>
  <si>
    <t>REQ.0171</t>
  </si>
  <si>
    <t>El sistema debe restringir el acceso a objetos del sistema que tengan contenido sensible. Sólo permitirá su acceso a usuarios autorizados.</t>
  </si>
  <si>
    <t>Datos</t>
  </si>
  <si>
    <t>REQ.0172</t>
  </si>
  <si>
    <t>El sistema no debe almacenar información sensible en archivos temporales o en memoria caché.</t>
  </si>
  <si>
    <t>REQ.0173</t>
  </si>
  <si>
    <t>Debe utilizarse firmas digitales para garantizar la autenticidad de información sensible.</t>
  </si>
  <si>
    <t>REQ.0174</t>
  </si>
  <si>
    <t>La organización debe definir el periodo de frecuencia para ejecutar el respaldo a cada sistema de información.</t>
  </si>
  <si>
    <t>Recuperabilidad</t>
  </si>
  <si>
    <t>REQ.0175</t>
  </si>
  <si>
    <t>Los datos de ambientes diferentes a producción deben estar enmascarados.</t>
  </si>
  <si>
    <t>REQ.0176</t>
  </si>
  <si>
    <t>La información sensible debe ser transportada bajo un canal seguro.</t>
  </si>
  <si>
    <t>REQ.0177</t>
  </si>
  <si>
    <t>Los datos del sistema operativo y los datos de negocio deben estar almacenados en ubicaciones diferentes.</t>
  </si>
  <si>
    <t>REQ.0178</t>
  </si>
  <si>
    <t>El sistema debe soportar la eliminación segura de datos sensibles cuando estos ya no son requeridos, de tal forma que no puedan ser recuperados.</t>
  </si>
  <si>
    <t>REQ.0179</t>
  </si>
  <si>
    <t>Los datos deben estar distorsionados si la aplicación no está en foco.</t>
  </si>
  <si>
    <t>REQ.0180</t>
  </si>
  <si>
    <t>La información sensible almacenada debe estar cifrada.</t>
  </si>
  <si>
    <t>REQ.0181</t>
  </si>
  <si>
    <t>El sistema debe utilizar el mínimo nivel de privilegios cuando accede a otro sistema o a bases de datos.</t>
  </si>
  <si>
    <t>REQ.0182</t>
  </si>
  <si>
    <t>La recolección activa de datos personales debe ser autorizada por el usuario dueño de la información (OECD.7, ISACA.G31.1.)</t>
  </si>
  <si>
    <t>REQ.0183</t>
  </si>
  <si>
    <t>Los datos personales deben poder ser actualizados por el usuario. (OECD.8, ISACA.G31.2.)</t>
  </si>
  <si>
    <t>REQ.0184</t>
  </si>
  <si>
    <t>El sistema debe especificar el propósito de la recolección de datos personales. (OECD.9, ISACA.G31.3.)</t>
  </si>
  <si>
    <t>REQ.0185</t>
  </si>
  <si>
    <t>El sistema debe usar los datos personales solo para el propósito indicado. (OECD.10, ISACA.G31.4.)</t>
  </si>
  <si>
    <t>REQ.0186</t>
  </si>
  <si>
    <t>Los datos personales deben protegerse con el máximo nivel de protección definido. (ISACA.G31.5)</t>
  </si>
  <si>
    <t>REQ.0187</t>
  </si>
  <si>
    <t>Los datos de respaldos deben almacenarse cifrados.</t>
  </si>
  <si>
    <t>REQ.0188</t>
  </si>
  <si>
    <t>Los datos de respaldos deben almacenarse fuera del sitio origen (sedes geográficamente distantes).</t>
  </si>
  <si>
    <t>REQ.0189</t>
  </si>
  <si>
    <t>La organización debe determinar qué tipo de dispositivos foráneos tienen permiso de consumir recursos internos.</t>
  </si>
  <si>
    <t>Dispositivos foráneos (BYOD)</t>
  </si>
  <si>
    <t>REQ.0190</t>
  </si>
  <si>
    <t>La organización debe determinar qué sistemas operativos de dispositivos foráneos tienen permiso de consumir recursos internos.</t>
  </si>
  <si>
    <t>REQ.0191</t>
  </si>
  <si>
    <t>La organización debe determinar qué aplicaciones deben estar instaladas en los dispositivos foráneos para consumir recursos internos.</t>
  </si>
  <si>
    <t>REQ.0192</t>
  </si>
  <si>
    <t>La organización debe determinar qué aplicaciones están prohibidas en los dispositivos foráneos para consumir recursos internos.</t>
  </si>
  <si>
    <t>REQ.0193</t>
  </si>
  <si>
    <t>La organización debe determinar qué personas (empleados de ciertos roles, visitantes, etc) pueden usar dispositivos foráneos.</t>
  </si>
  <si>
    <t>REQ.0194</t>
  </si>
  <si>
    <t>La organización debe determinar qué servicios, en qué momento y quién puede acceder con dispositivos foráneos.</t>
  </si>
  <si>
    <t>REQ.0195</t>
  </si>
  <si>
    <t>La organización debe llevar registro de las máquinas foráneas ingresadas y retiradas.</t>
  </si>
  <si>
    <t>REQ.0196</t>
  </si>
  <si>
    <t>El dispositivo debe tener la capacidad de demostrar si fue manipulado o abierto de forma no autorizada.</t>
  </si>
  <si>
    <t>Dispositivos físicos</t>
  </si>
  <si>
    <t>REQ.0197</t>
  </si>
  <si>
    <t>El dispositivo debe eliminar la información confidencial que contenga, ante el evento de apertura del mismo.</t>
  </si>
  <si>
    <t>REQ.0198</t>
  </si>
  <si>
    <t>El dispositivo debe impedir que el ingreso de información pueda ser observado por un tercero (cubierta).</t>
  </si>
  <si>
    <t>REQ.0199</t>
  </si>
  <si>
    <t>Las pantallas expuestas al usuario sólo deben permitir visualización perpendicular.</t>
  </si>
  <si>
    <t>REQ.0200</t>
  </si>
  <si>
    <t>Los dispositivos que se conectan a la red celular deben tener configurado un número de identificación personal (PIN) en la SIM Card.</t>
  </si>
  <si>
    <t>Dispositivos móviles</t>
  </si>
  <si>
    <t>REQ.0201</t>
  </si>
  <si>
    <t>Protocolos de comunicación de los dispositivos móviles que permiten intercambio de datos (Bluetooth, NFC, Tethering) deben permanecer ocultas, configurado con credenciales o permanecer apagadas.</t>
  </si>
  <si>
    <t>REQ.0202</t>
  </si>
  <si>
    <t>En dispositivos portátiles y móviles, el sistema debe permitir el cifrado de discos y particiones de discos.</t>
  </si>
  <si>
    <t>REQ.0203</t>
  </si>
  <si>
    <t>Los dispositivos que se conectan a la red celular deben tener el IMEI registrado ante el operador de telefonía móvil celular autorizado.</t>
  </si>
  <si>
    <t>REQ.0204</t>
  </si>
  <si>
    <t>Aplicaciones que se  autentiquen fuera de línea, sólo deben almacenar una contraseña en el caché de autenticación.</t>
  </si>
  <si>
    <t>REQ.0205</t>
  </si>
  <si>
    <t>La información de los dispositivos móviles deberá ser eliminada después de 10 intentos fallidos de la autenticación.</t>
  </si>
  <si>
    <t>REQ.0206</t>
  </si>
  <si>
    <t>Los dispositivos móviles deben estar restringidos y limitados de forma centralizada por políticas de seguridad definidas por la organización.</t>
  </si>
  <si>
    <t>REQ.0207</t>
  </si>
  <si>
    <t>Las interfaces de comunicación de los dispositivos móviles que permiten acceso a Internet mediante un plan de datos, deben permanecer apagadas cuando el equipo esté conectado a la red de la organización.</t>
  </si>
  <si>
    <t>REQ.0208</t>
  </si>
  <si>
    <t>El dispositivo móvil debe permitir su ubicación geográfica de forma remota en caso de pérdida.</t>
  </si>
  <si>
    <t>REQ.0209</t>
  </si>
  <si>
    <t>El dispositivo móvil debe permitir la destrucción de sus datos de forma remota en caso de pérdida.</t>
  </si>
  <si>
    <t>REQ.0210</t>
  </si>
  <si>
    <t>No deben existir reglas de firewall redundantes u opuestas.</t>
  </si>
  <si>
    <t>Firewall</t>
  </si>
  <si>
    <t>REQ.0211</t>
  </si>
  <si>
    <t>Los objetos de red que no sean usados deben ser eliminados de la configuración de los equipos de firewall.</t>
  </si>
  <si>
    <t>REQ.0212</t>
  </si>
  <si>
    <t>Las reglas desactivadas no deben permanecer en la configuración del equipo de firewall.</t>
  </si>
  <si>
    <t>REQ.0213</t>
  </si>
  <si>
    <t>Si el hipervisor permite la revisión de memoria y registros de CPU entre máquinas virtuales, se debe controlar el acceso solo a una máquina virtual de soporte de seguridad.</t>
  </si>
  <si>
    <t>Hipervisor</t>
  </si>
  <si>
    <t>REQ.0214</t>
  </si>
  <si>
    <t>El manejo de hipervisores en una granja de virtualización, se debe hacer a través de un software central de gestión.</t>
  </si>
  <si>
    <t>REQ.0215</t>
  </si>
  <si>
    <t>En una granja de virtualización, la aplicación de gestión de los hipervisores debe tener perfiles de máquina para monitorear posibles cambios no autorizados.</t>
  </si>
  <si>
    <t>REQ.0216</t>
  </si>
  <si>
    <t>Una máquina virtual no debe tener conectados dispositivos que no sean necesarios para su funcionamiento (Floppy, IDE, CD/DVD, USB, Serial).</t>
  </si>
  <si>
    <t>Máquina virtual</t>
  </si>
  <si>
    <t>REQ.0217</t>
  </si>
  <si>
    <t>Una máquina virtual no debe acceder a información de la máquina host.</t>
  </si>
  <si>
    <t>REQ.0218</t>
  </si>
  <si>
    <t>Los números aleatorios generados deben seguir una distribución uniforme.</t>
  </si>
  <si>
    <t>Números aleatorios</t>
  </si>
  <si>
    <t>REQ.0219</t>
  </si>
  <si>
    <t>Debe usarse el mecanismo criptográfico más seguro ofrecido por la plataforma (ej: java.security.SecureRandom) para la generación de números aleatorios usados en procesos críticos (ej: generación de ID, mapeo de códigos, llaves).</t>
  </si>
  <si>
    <t>REQ.0220</t>
  </si>
  <si>
    <t>El sistema de autenticación debe tener un retraso incremental de 5 segundos cuando se ingresen credenciales de autenticación erróneas, hasta llegar a un máximo de 30 segundos.</t>
  </si>
  <si>
    <t>Proceso de autenticación</t>
  </si>
  <si>
    <t>REQ.0221</t>
  </si>
  <si>
    <t>Las respuestas del sistema a los fallos de autenticación no deben indicar cual parte de la autenticación fue incorrecta.</t>
  </si>
  <si>
    <t>REQ.0222</t>
  </si>
  <si>
    <t>El sistema nunca debe bloquear una cuenta de un usuario ante uno o varios intentos fallidos de autenticación.</t>
  </si>
  <si>
    <t>REQ.0223</t>
  </si>
  <si>
    <t>El sistema debe notificar a cualquier actor que intenta autenticarse, que el acceso en el mismo sistema solo está disponible para usuarios autorizados.</t>
  </si>
  <si>
    <t>REQ.0224</t>
  </si>
  <si>
    <t>El Proceso de Autenticación unificado (SSO: Single Sign On) debe implementarse mediante protocolos estándar (ej: SAML).</t>
  </si>
  <si>
    <t>REQ.0225</t>
  </si>
  <si>
    <t>El sistema debe solicitar a cualquier actor que intenta autenticarse, como mínimo un nombre de usuario y una contraseña.</t>
  </si>
  <si>
    <t>REQ.0226</t>
  </si>
  <si>
    <t>Un sistema con información crítica para el negocio debe requerir claves de un solo uso en el proceso de autenticación.</t>
  </si>
  <si>
    <t>REQ.0227</t>
  </si>
  <si>
    <t>Un sistema con información crítica para el negocio debe tener un componente para verificación biométrica durante el proceso de autenticación.</t>
  </si>
  <si>
    <t>REQ.0228</t>
  </si>
  <si>
    <t>Un sistema con información crítica para el negocio debe requerir la identificación del equipo desde el cual se autentica un usuario o sistema.</t>
  </si>
  <si>
    <t>REQ.0229</t>
  </si>
  <si>
    <t>El sistema no debe imprimir contraseñas en pantalla o recursos visibles.</t>
  </si>
  <si>
    <t>REQ.0230</t>
  </si>
  <si>
    <t>Las credenciales para la autenticación a un sistema con información crítica para el negocio deben estar bajo la custodia de dos usuarios.</t>
  </si>
  <si>
    <t>REQ.0231</t>
  </si>
  <si>
    <t>El proceso de autenticación debe disponer de una interfaz separada para el ingreso de credenciales en pantalla (ingreso accidental en pantalla)</t>
  </si>
  <si>
    <t>REQ.0232</t>
  </si>
  <si>
    <t>El proceso de autenticación debe tener un tiempo límite establecido de 30 segundos.</t>
  </si>
  <si>
    <t>REQ.0233</t>
  </si>
  <si>
    <t>El sistema debe garantizar que quien realiza las acciones de registro, autenticación y reestablecimiento de contraseña es un humano (usando CAPTCHA o retrasos incrementales)</t>
  </si>
  <si>
    <t>REQ.0234</t>
  </si>
  <si>
    <t>El sistema debe garantizar que la persona que realiza el proceso de reestablecimiento de contraseña sea realmente el propietario.</t>
  </si>
  <si>
    <t>REQ.0235</t>
  </si>
  <si>
    <t>El criterio de seguridad de la organización debe incluir los requisitos legales específicos que aplican sobre la seguridad de información.</t>
  </si>
  <si>
    <t>Proceso de desarrollo</t>
  </si>
  <si>
    <t>REQ.0236</t>
  </si>
  <si>
    <t>La organización debe realizar revisiones de seguridad del código fuente a través de herramientas automatizadas.</t>
  </si>
  <si>
    <t>REQ.0237</t>
  </si>
  <si>
    <t>La organización debe definir los requisitos del criterio de seguridad de la información que aplican para el sistema.</t>
  </si>
  <si>
    <t>REQ.0238</t>
  </si>
  <si>
    <t>El soporte a las aplicaciones o sistemas debe realizarse sólo en ambientes diferentes a producción (desarrollo, pruebas o calidad, UAT)</t>
  </si>
  <si>
    <t>REQ.0239</t>
  </si>
  <si>
    <t>La organización debe definir y documentar un procedimiento para tratar los incidentes de seguridad.</t>
  </si>
  <si>
    <t>Procesos de negocio</t>
  </si>
  <si>
    <t>REQ.0240</t>
  </si>
  <si>
    <t>La organización debe definir y documentar un procedimiento para respaldar la información.</t>
  </si>
  <si>
    <t>REQ.0241</t>
  </si>
  <si>
    <t>La organización debe definir y documentar un procedimiento para control de cambios.</t>
  </si>
  <si>
    <t>REQ.0242</t>
  </si>
  <si>
    <t>La organización debe definir y documentar un procedimiento para la administración de cuentas de usuario. La administración debe incluir como mínimo: Creación de cuentas, modificación de cuentas, eliminación de cuentas, activación o desactivación de cuentas, asignación de privilegios.</t>
  </si>
  <si>
    <t>REQ.0243</t>
  </si>
  <si>
    <t>Las redes privadas deben tener deshabilitada la publicación del SSID (Service Set Identifier).</t>
  </si>
  <si>
    <t>Redes inalámbricas</t>
  </si>
  <si>
    <t>REQ.0244</t>
  </si>
  <si>
    <t>El nombre del SSID de la red inalámbrica no debe contener palabras de diccionario.</t>
  </si>
  <si>
    <t>REQ.0245</t>
  </si>
  <si>
    <t>Los puntos de acceso a la red deben estar ubicados en lugares que permitan que la señal se propague solo en las instalaciones autorizadas.</t>
  </si>
  <si>
    <t>REQ.0246</t>
  </si>
  <si>
    <t>La administración del punto de acceso inalámbrico debe estar habilitada sólo en un puerto físico del equipo.</t>
  </si>
  <si>
    <t>REQ.0247</t>
  </si>
  <si>
    <t>Los puntos de acceso no deben usar la dirección IP configurada de fábrica.</t>
  </si>
  <si>
    <t>REQ.0248</t>
  </si>
  <si>
    <t>Se debe preferir el uso de los métodos de cifrado de clave WPA2 Personal o WPA2 Enterprise (802.1x).</t>
  </si>
  <si>
    <t>REQ.0249</t>
  </si>
  <si>
    <t>Las redes inalámbricas privadas deben filtrar el acceso por medio de credenciales y de una dirección MAC autorizada.</t>
  </si>
  <si>
    <t>REQ.0250</t>
  </si>
  <si>
    <t>La organización debe cambiar el nombre por defecto de fábrica del SSID de la red inalámbrica.</t>
  </si>
  <si>
    <t>REQ.0251</t>
  </si>
  <si>
    <t>Los segmentos de usuarios y servidores con aplicaciones o contenido deben permitir acceso solo a los puertos necesarios.</t>
  </si>
  <si>
    <t>Redes lógicas</t>
  </si>
  <si>
    <t>REQ.0252</t>
  </si>
  <si>
    <t>Los servidores con aplicaciones o contenido solo deben tener acceso a los puertos que les permitan cumplir su propósito.</t>
  </si>
  <si>
    <t>REQ.0253</t>
  </si>
  <si>
    <t>El acceso físico a la red para los usuarios debe asignarse con base en las credenciales del usuario en la organización - NAC (ej: 802.1x).</t>
  </si>
  <si>
    <t>REQ.0254</t>
  </si>
  <si>
    <t>La organización debe filtrar el contenido de sitios web accedidos desde una ubicación perteneciente a la misma entidad. (Proxy de salida)</t>
  </si>
  <si>
    <t>REQ.0255</t>
  </si>
  <si>
    <t>La red de la organización debe estar segmentada.</t>
  </si>
  <si>
    <t>REQ.0256</t>
  </si>
  <si>
    <t>Debe utilizarse correos diferentes al corporativo para registrar cuentas en redes sociales (aún en LinkedIn).</t>
  </si>
  <si>
    <t>Redes sociales</t>
  </si>
  <si>
    <t>REQ.0257</t>
  </si>
  <si>
    <t>En las cuentas personales de redes sociales no se debe exponer información corporativa.</t>
  </si>
  <si>
    <t>REQ.0258</t>
  </si>
  <si>
    <t>Los componentes provistos por terceros deben corresponder a versiones estables, probadas y actualizadas.</t>
  </si>
  <si>
    <t>Servicios y funciones</t>
  </si>
  <si>
    <t>REQ.0259</t>
  </si>
  <si>
    <t>El sistema debe requerir autenticación para todos los recursos, excepto para aquellos específicamente clasificados como públicos.</t>
  </si>
  <si>
    <t>REQ.0260</t>
  </si>
  <si>
    <t>El sistema debe restringir el acceso a funciones del sistema que ejecutan procesos críticos de negocio. Solo permitirá acceso a usuarios autorizados.</t>
  </si>
  <si>
    <t>REQ.0261</t>
  </si>
  <si>
    <t>La organización debe deshabilitar las funciones inseguras de un servicio. (hardening de servicios)</t>
  </si>
  <si>
    <t>REQ.0262</t>
  </si>
  <si>
    <t>La organización debe deshabilitar las funciones innecesarias de un servicio. (hardening de servicios)</t>
  </si>
  <si>
    <t>REQ.0263</t>
  </si>
  <si>
    <t>El software complementario (drivers, módulos de kernel, etc) debe utilizar firmas digitales emitidas por el fabricante para garantizar su autenticidad.</t>
  </si>
  <si>
    <t>Sistema operativo</t>
  </si>
  <si>
    <t>REQ.0264</t>
  </si>
  <si>
    <t>Los privilegios para objetos nuevos deben establecerse según el principio de mínimo privilegio (umask).</t>
  </si>
  <si>
    <t>REQ.0265</t>
  </si>
  <si>
    <t>La gestión administrativa del sistema debe realizarse a través de usuarios con privilegios de administración que permitan el registro de tareas a cada individuo.</t>
  </si>
  <si>
    <t>REQ.0266</t>
  </si>
  <si>
    <t>La organización debe restringir el uso de compiladores en sistemas de producción únicamente para las aplicaciones que lo requieran.</t>
  </si>
  <si>
    <t>REQ.0267</t>
  </si>
  <si>
    <t>El sistema debe diferenciar la gestión en modo privilegiado del modo no privilegiado (fondo rojo, prompt rojo).</t>
  </si>
  <si>
    <t>REQ.0268</t>
  </si>
  <si>
    <t>Todas las máquinas en producción deben tener una suite de seguridad no alterable por los usuarios (Antivirus, Antispyware, Host-Firewall, Host-IDS, Host-IPS)</t>
  </si>
  <si>
    <t>REQ.0269</t>
  </si>
  <si>
    <t>Un sistema debe pertenecer únicamente a uno de los ambientes definidos. (Desarrollo, Pruebas - QA, Producción)</t>
  </si>
  <si>
    <t>REQ.0270</t>
  </si>
  <si>
    <t>Las máquinas deben iniciar por defecto directamente por el disco duro. Si se requiere inicio por otro medio (CD, USB, Red) se debe requerir contraseña de administración.</t>
  </si>
  <si>
    <t>REQ.0271</t>
  </si>
  <si>
    <t>Las rutas de carga implícita (variables de sistema como PATH) deben utilizar las rutas de mayor confianza (directorios de sistema operativo) antes de las rutas configurables por el usuario.</t>
  </si>
  <si>
    <t>REQ.0272</t>
  </si>
  <si>
    <t>La información (nombre de producto, versión o configuración) de servicios expuestos no debe ser accesible. (Ej, versiones que se publican al conectarse a un servicio como SSH)</t>
  </si>
  <si>
    <t>REQ.0273</t>
  </si>
  <si>
    <t>La organización debe controlar que la configuración del BIOS en las máquinas sólo pueda pueda ser accesible por personal autorizado.</t>
  </si>
  <si>
    <t>REQ.0274</t>
  </si>
  <si>
    <t>La organización debe controlar que la configuración de inicialización del sistema operativo sólo pueda ser accesible por personal autorizado. (bootloader - sistemas UNIX/Linux, registry en Windows)</t>
  </si>
  <si>
    <t>REQ.0275</t>
  </si>
  <si>
    <t>El proceso del servicio debe tener como raíz un directorio con solo los archivos necesarios (jaulas).</t>
  </si>
  <si>
    <t>REQ.0276</t>
  </si>
  <si>
    <t>Las variables de entorno del sistema operativo solo pueden ser modificables por el administrador del sistema.</t>
  </si>
  <si>
    <t>REQ.0277</t>
  </si>
  <si>
    <t>Las funcionalidades de ejecución automática de aplicaciones en medios removibles debe estar deshabilitada. (Deshabilitar autorun)</t>
  </si>
  <si>
    <t>REQ.0278</t>
  </si>
  <si>
    <t>Se debe deshabilitar el acceso directo con usuarios genéricos administrativos (root en sistemas UNIX, Administrator/Administrador en sistemas Windows) de forma remota.</t>
  </si>
  <si>
    <t>REQ.0279</t>
  </si>
  <si>
    <t>Un puerto debe tener un límite máximo de conexiones por IP origen.</t>
  </si>
  <si>
    <t>REQ.0280</t>
  </si>
  <si>
    <t>Las conexiones incompletas, encontradas en los protocolos de transporte orientados a conexión (TCP), deben implicar el menor costo de procesamiento posible. (Ataques de SYNFLOOD)</t>
  </si>
  <si>
    <t>REQ.0281</t>
  </si>
  <si>
    <t>La organización debe definir umbrales del estado normal y anormal de cada recurso del sistema.</t>
  </si>
  <si>
    <t>REQ.0282</t>
  </si>
  <si>
    <t>El sistema operativo debe generar una alerta sobre el estado de un recurso cuando el recurso sobrepase los umbrales definidos.</t>
  </si>
  <si>
    <t>REQ.0283</t>
  </si>
  <si>
    <t>El sistema operativo no debe permitir escribir información en medios extraíbles.</t>
  </si>
  <si>
    <t>REQ.0284</t>
  </si>
  <si>
    <t>Los medios de instalación e imágenes pre-configuradas de sistemas operativos deben estar en un lugar físicamente seguro.</t>
  </si>
  <si>
    <t>REQ.0285</t>
  </si>
  <si>
    <t>La instalación de nuevos sistemas operativos debe partir de una imagen pre-configurada.</t>
  </si>
  <si>
    <t>REQ.0286</t>
  </si>
  <si>
    <t>El tiempo de los sistemas y equipos de la organización debe estar sincronizado con la hora oficial del país.</t>
  </si>
  <si>
    <t>Exactitud</t>
  </si>
  <si>
    <t>REQ.0287</t>
  </si>
  <si>
    <t>El sistema debe autorizar explícitamente los periféricos de entrada (teclado, mouse, etc)</t>
  </si>
  <si>
    <t>REQ.0288</t>
  </si>
  <si>
    <t>El sistema operativo debe usar técnicas para evitar ejecución de código en stack (ASLR, PaX, canaries, deshabilitar bit de ejecución, etc).</t>
  </si>
  <si>
    <t>REQ.0289</t>
  </si>
  <si>
    <t>La organización debe garantizar que los sistemas no tengan instalado software no licenciado o pirata.</t>
  </si>
  <si>
    <t>REQ.0290</t>
  </si>
  <si>
    <t>La organización debe garantizar que los sistemas no tengan archivos ilegales con propiedad intelectual protegida.</t>
  </si>
  <si>
    <t>REQ.0291</t>
  </si>
  <si>
    <t>La organización debe contar con sistema de alarmas de intrusión física.</t>
  </si>
  <si>
    <t>Sistemas de control</t>
  </si>
  <si>
    <t>REQ.0292</t>
  </si>
  <si>
    <t>La organización debe contar con sensores de temperatura y humedad en áreas donde se almacene activos de información físicos o digitales.</t>
  </si>
  <si>
    <t>REQ.0293</t>
  </si>
  <si>
    <t>La organización debe probar el sistema de extinción de incendios mínimo 2 veces al año.</t>
  </si>
  <si>
    <t>REQ.0294</t>
  </si>
  <si>
    <t>La organización debe garantizar que el sistema de extinción de incendios debe ser basado en gases inertes (nunca en polvo químico ni mucho menos en agua).</t>
  </si>
  <si>
    <t>RIGUROSIDAD</t>
  </si>
  <si>
    <t>Req. Sí</t>
  </si>
  <si>
    <t>Req. No</t>
  </si>
  <si>
    <t>Rigurosidad del Perfilamiento</t>
  </si>
  <si>
    <t>Rigurosidad de la Prueba (Planeada)</t>
  </si>
  <si>
    <t>Rigurosidad Efectiva</t>
  </si>
  <si>
    <t>Hallazgos</t>
  </si>
  <si>
    <t>#</t>
  </si>
  <si>
    <t>Título</t>
  </si>
  <si>
    <t>Vulnerabilidad</t>
  </si>
  <si>
    <t>Dónde</t>
  </si>
  <si>
    <t>Requisitos</t>
  </si>
  <si>
    <t>Métricas CVSSv2</t>
  </si>
  <si>
    <t>Criticidad</t>
  </si>
  <si>
    <t>Cardinalidad</t>
  </si>
  <si>
    <t>Evidencia</t>
  </si>
  <si>
    <t>Solución efectos</t>
  </si>
  <si>
    <t>Instructivo de Solución</t>
  </si>
  <si>
    <t>REQ.XXXX</t>
  </si>
  <si>
    <t>Amenaza</t>
  </si>
  <si>
    <t>Riesgo</t>
  </si>
  <si>
    <t>FIN.0046. Detección de sistemas rooteados</t>
  </si>
  <si>
    <t>No se está detectando si el sistema Android se encuentra rooteado al utilizar la aplicación.</t>
  </si>
  <si>
    <t>- Bancolombia App Personas (Android)</t>
  </si>
  <si>
    <t>REQ.0261 La organización debe deshabilitar las funciones innecesarias de un servicio. (hardening de servicios)</t>
  </si>
  <si>
    <t>Local</t>
  </si>
  <si>
    <t>Evidencias/FIN.0046. Detección de sistemas rooteados</t>
  </si>
  <si>
    <t>Notificar a los usuarios al momento de ejecutar la aplicación que se detectó el teléfono rooteado y los riesgos asociados.</t>
  </si>
  <si>
    <t>Soluciones/FIN.0046. Detección de sistemas rooteados</t>
  </si>
  <si>
    <t>.*(0261)</t>
  </si>
  <si>
    <t>Posibilidad de ejecutar la aplicación desde un dispositivo no seguro, lo que facilita capturar la información manejada por la aplicación.</t>
  </si>
  <si>
    <t>Probabilidad de que la aplicación pueda ser ejecutada desde un dispositivo no seguro, debido a que no se valida que el dispositivo no es encuentre rooteado. Lo que puede facilitar la captura de información manejada por la aplicación.</t>
  </si>
  <si>
    <t>Media</t>
  </si>
  <si>
    <t>Un atacante puede distribuir copias inseguras de la aplicación Bancolombia App Personas con funcionalidades inseguras.</t>
  </si>
  <si>
    <t>Probabilidad de que un atacante distribuya copias de la aplicación Bancolombia App Personas con funcionalidades inseguras, debido a que no se valida la integridad de la aplicación contra el servidor.</t>
  </si>
  <si>
    <t>Ninguna</t>
  </si>
  <si>
    <t>Un atacante con acceso al dispositivo móvil puede extraer información sensible del cliente, como: usuario, clave cifrada y saldo de productos a través de los mensajes de depuración de la aplicación.</t>
  </si>
  <si>
    <t>Probabilidad de que un atacante acceda a información confidencial de clientes, como: usuario, clave cifrada y saldo de productos, debido a que estos se están escribiendo en los mensajes de depuración de la aplicación.</t>
  </si>
  <si>
    <t>Completo</t>
  </si>
  <si>
    <t>Ninguno</t>
  </si>
  <si>
    <t>Conceptual</t>
  </si>
  <si>
    <t>Oficial</t>
  </si>
  <si>
    <t>Confirmado</t>
  </si>
  <si>
    <t>FIN.0012. Funcionalidad insegura (Modificación de APK)</t>
  </si>
  <si>
    <t>Es posible modificar la aplicación Bancolombia App Personas, agregando funcionalidades inseguras como keyloggers, debido a que no se valida la integridad de la aplicación contra el servidor.</t>
  </si>
  <si>
    <t>REQ.0261 La organización debe deshabilitar las funciones inseguras de un servicio.</t>
  </si>
  <si>
    <t>Evidencias/FIN.0012. Funcionalidad insegura (Modificación de APK)</t>
  </si>
  <si>
    <t>Validar la integridad de la aplicación con una funcionalidad propia o haciendo uso de productos como IBM Worklight.</t>
  </si>
  <si>
    <t>Soluciones/FIN.0012. Funcionalidad insegura (Modificación de APK)</t>
  </si>
  <si>
    <t>Amenaza2</t>
  </si>
  <si>
    <t>Riesgo2</t>
  </si>
  <si>
    <t>Alta</t>
  </si>
  <si>
    <t>No corroborado</t>
  </si>
  <si>
    <t>FIN.0057. Información sensible almacenada en logs</t>
  </si>
  <si>
    <t>Información sensible cómo usuario, clave cifrada y saldo de productos son escritas en los mensajes de depuración de la aplicación.</t>
  </si>
  <si>
    <t>REQ.0055 El sistema no debe registrar información sensible en un evento excepcional de una bitácora.</t>
  </si>
  <si>
    <t>Evidencias/FIN.0057. Información sensible almacenada en logs</t>
  </si>
  <si>
    <t>No escribir información sensible en los mensajes de depuración de la aplicación.</t>
  </si>
  <si>
    <t>Soluciones/FIN.0057. Información sensible almacenada en logs</t>
  </si>
  <si>
    <t>.*(0055)</t>
  </si>
  <si>
    <t>Amenaza3</t>
  </si>
  <si>
    <t>Riesgo3</t>
  </si>
  <si>
    <t>Parcial</t>
  </si>
  <si>
    <t>Vulnerabilidad 4</t>
  </si>
  <si>
    <t>Red</t>
  </si>
  <si>
    <t>.*(0040)</t>
  </si>
  <si>
    <t>Amenaza4</t>
  </si>
  <si>
    <t>Riesgo4</t>
  </si>
  <si>
    <t>Baja</t>
  </si>
  <si>
    <t>Inexistente</t>
  </si>
  <si>
    <t>Vulnerabilidad 5</t>
  </si>
  <si>
    <t>.*(xxxx|yyyy)</t>
  </si>
  <si>
    <t>Amenaza5</t>
  </si>
  <si>
    <t>Riesgo5</t>
  </si>
  <si>
    <t>Vulnerabilidad 6</t>
  </si>
  <si>
    <t>Amenaza6</t>
  </si>
  <si>
    <t>Riesgo6</t>
  </si>
  <si>
    <t>Vulnerabilidad 7</t>
  </si>
  <si>
    <t>Amenaza7</t>
  </si>
  <si>
    <t>Riesgo7</t>
  </si>
  <si>
    <t>Vulnerabilidad 8</t>
  </si>
  <si>
    <t>Amenaza8</t>
  </si>
  <si>
    <t>Riesgo8</t>
  </si>
  <si>
    <t>Vulnerabilidad 9</t>
  </si>
  <si>
    <t>Amenaza9</t>
  </si>
  <si>
    <t>Riesgo9</t>
  </si>
  <si>
    <t>Vulnerabilidad 10</t>
  </si>
  <si>
    <t>Amenaza10</t>
  </si>
  <si>
    <t>Riesgo10</t>
  </si>
  <si>
    <t>Vulnerabilidad 11</t>
  </si>
  <si>
    <t>Amenaza11</t>
  </si>
  <si>
    <t>Riesgo11</t>
  </si>
  <si>
    <t>Vulnerabilidad 12</t>
  </si>
  <si>
    <t>Amenaza12</t>
  </si>
  <si>
    <t>Riesgo12</t>
  </si>
  <si>
    <t>Vulnerabilidad 13</t>
  </si>
  <si>
    <t>Amenaza13</t>
  </si>
  <si>
    <t>Riesgo13</t>
  </si>
  <si>
    <t>Vulnerabilidad 14</t>
  </si>
  <si>
    <t>Amenaza14</t>
  </si>
  <si>
    <t>Riesgo14</t>
  </si>
  <si>
    <t>Vulnerabilidad 15</t>
  </si>
  <si>
    <t>Amenaza15</t>
  </si>
  <si>
    <t>Riesgo15</t>
  </si>
  <si>
    <t>Vulnerabilidad 16</t>
  </si>
  <si>
    <t>Amenaza16</t>
  </si>
  <si>
    <t>Riesgo16</t>
  </si>
  <si>
    <t>Vulnerabilidad 17</t>
  </si>
  <si>
    <t>Amenaza17</t>
  </si>
  <si>
    <t>Riesgo17</t>
  </si>
  <si>
    <t>Vulnerabilidad 18</t>
  </si>
  <si>
    <t>Amenaza18</t>
  </si>
  <si>
    <t>Riesgo18</t>
  </si>
  <si>
    <t>Vulnerabilidad 19</t>
  </si>
  <si>
    <t>Amenaza19</t>
  </si>
  <si>
    <t>Riesgo19</t>
  </si>
  <si>
    <t>Criterio de Seguridad Bancolombia</t>
  </si>
  <si>
    <t>Activo de información</t>
  </si>
  <si>
    <t>Alineación</t>
  </si>
  <si>
    <t>El mecanismo de administración de un sistema, debe ser accesible solo desde segmentos de red de gestión o administrativos.</t>
  </si>
  <si>
    <t>Cada activo de información debe estar asociado como mínimo a un propietario.</t>
  </si>
  <si>
    <t>Cada activo de información debe estar valorado en términos monetarios.</t>
  </si>
  <si>
    <t>Los sistemas que interactúen con un activo de información deben tener identificadas las  vulnerabilidades que apliquen  sobre ellos y que sean conocidas.</t>
  </si>
  <si>
    <t>El criterio de seguridad de la organización debe incluir los requisitos legales que aplican sobre la seguridad de la información.</t>
  </si>
  <si>
    <t>Criterio de seguridad</t>
  </si>
  <si>
    <t>El sistema no debe desplegar archivos temporales al ambiente de producción.</t>
  </si>
  <si>
    <t>El sistema no debe incluir nombres de directorios o rutas de archivos en parámetros.</t>
  </si>
  <si>
    <t>El proceso de autenticación debe implementar restricciones adicionales en el escenario de credenciales erróneas.</t>
  </si>
  <si>
    <t>El sistema solo debe aceptar  archivos cuyo formato (estructura) sea requerido por la operativa del negocio.</t>
  </si>
  <si>
    <t>El sistema debe bloquear una cuenta de un usuario después de varios intentos de autenticación fallidos.</t>
  </si>
  <si>
    <t>El sistema debe solicitar como mínimo un nombre de usuario y una contraseña a cualquier actor que intenta autenticarse.</t>
  </si>
  <si>
    <t>El sistema debe notificar al usuario el vencimiento de su contraseña con una antelación de 14 días.</t>
  </si>
  <si>
    <t>Contraseñas</t>
  </si>
  <si>
    <t>El sistema no debe imprimir las credenciales personales (usuario y contraseña) en pantalla, bajo ninguna circunstancia.</t>
  </si>
  <si>
    <t>Un sistema con información crítica para el negocio debe requerir la autenticación de 2 o más usuarios.</t>
  </si>
  <si>
    <t>Debe validarse que el sujeto que realiza las acciones de registro, autenticación y restablecimiento de contraseña es un humano.</t>
  </si>
  <si>
    <t>El sistema debe permitir la opción de deshabilitar cuentas de usuarios a un superusuario o  administrador del sistema.</t>
  </si>
  <si>
    <t>Recursos del sistema</t>
  </si>
  <si>
    <t>Los privilegios para objetos nuevos deben establecerse según el principio de mínimo privilegio (umask)</t>
  </si>
  <si>
    <t>El sistema debe restringir el acceso a objetos del sistema que tengan contenido sensible y sólo permitir acceso a usuarios autorizados.</t>
  </si>
  <si>
    <t>Funciones del sistema</t>
  </si>
  <si>
    <t>El sistema debe registrar todos los eventos excepcionales y de seguridad en una o varias bitácoras.</t>
  </si>
  <si>
    <t>La organización debe almacenar las bitácoras durante el tiempo establecido por los requisitos específicos.</t>
  </si>
  <si>
    <t>El código fuente de un sistema no debe realizar funciones diferentes a las que han sido especificadas en los requisitos funcionales.</t>
  </si>
  <si>
    <t>El código debe definir opciones seguras por defecto (ej: default en switches).</t>
  </si>
  <si>
    <t>Los archivos generados de forma dinámica por el sistema, deben tener definido un Content-Type explícito.</t>
  </si>
  <si>
    <t>El sistema debe comprimir todo código que vaya a ser transferido entre sistemas o cliente.</t>
  </si>
  <si>
    <t>El código fuente debe estar implementado de tal forma que cierre los recursos que se abiertos que no estén en uso utilizando.</t>
  </si>
  <si>
    <t>El código fuente debe estar implementado de tal forma que todas la variables del código deben tener asociado un tipo de dato.</t>
  </si>
  <si>
    <t>Sistema crítico</t>
  </si>
  <si>
    <t>El cliente de correo electrónico corporativo no debe mostrar imágenes.</t>
  </si>
  <si>
    <t>El cliente de correo electrónico corporativo no debe interpretar código HTML.</t>
  </si>
  <si>
    <t>Se debe hacer uso del campo copia oculta en lugar de destinatario para enviar correos masivos.</t>
  </si>
  <si>
    <t>El sistema no debe permitir cambio de contraseña para un usuario, si la nueva contraseña es igual a una de las últimas 12 contraseñas de ese usuario.</t>
  </si>
  <si>
    <t>Las contraseñas deben tener una validez máxima de 60 días.</t>
  </si>
  <si>
    <t>Las contraseñas deben tener una validez mínima de 1 día.</t>
  </si>
  <si>
    <t>Las contraseñas (tipo palabra) deben tener al menos 1 dígito numérico.</t>
  </si>
  <si>
    <t>Las contraseñas por defecto de los sistemas pre-construidos deben ser eliminadas, modificadas o inactivadas.</t>
  </si>
  <si>
    <t>Las derivaciones de clave (Salt), deben ser aleatorias y de 48 bits como mínimo.</t>
  </si>
  <si>
    <t>El sistema debe tener la capacidad de validar que las contraseñas no contengan palabras de diccionario.</t>
  </si>
  <si>
    <t>Las contraseñas temporales que son generadas para ingreso inicial en un sistema deben tener una validez máxima de 24 horas.</t>
  </si>
  <si>
    <t>El sistema debe forzar a un usuario a realizar nuevamente el proceso de autenticación en el sistema una vez haya realizado  cambio o restauración de  contraseña.</t>
  </si>
  <si>
    <t>Las funciones de criptografía del sistema deben ser implementadas con mecanismos criptográficos aceptados por el medio y avalados por Bancolombia.</t>
  </si>
  <si>
    <t>La organización no debe utilizar certificados con periodo de vencimiento no mayor a 2 años siempre y cuando la longitud de llave sea mínimo de 2048 bits.</t>
  </si>
  <si>
    <t>Debe utilizarse certificados firmados por entidades certificadoras internas válidas cuando sean para aplicaciones internas.</t>
  </si>
  <si>
    <t>Debe utilizarse certificados firmados por entidades certificadoras externas válidas cuando sean para aplicaciones externas.</t>
  </si>
  <si>
    <t>Debe utilizarse certificados con una identificación coherente con la entidad (servicio, servidor, entre otros) a la cual se encuentra asociado.</t>
  </si>
  <si>
    <t>Debe utilizarse como mecanismo de cifrado simétrico un tamaño de clave mínimo de 128 bits para AES o 192 bits para 3DES.</t>
  </si>
  <si>
    <t>Debe utilizarse funciones resumen (hash) con un tamaño mínimo de 256 bits.</t>
  </si>
  <si>
    <t>Los respaldos de información sensible deben almacenarse cifrados.</t>
  </si>
  <si>
    <t>Respaldos</t>
  </si>
  <si>
    <t>Los datos de respaldos deben almacenarse fuera del sitio origen.</t>
  </si>
  <si>
    <t>Los datos de respaldos deben realizarse según la frecuencia definida en el diseño del sistema.</t>
  </si>
  <si>
    <t>Los datos confidenciales que sean trasladados a ambientes diferentes de producción deben ir enmascarados.</t>
  </si>
  <si>
    <t>La información sensible debe ser transportada a través de un canal seguro.</t>
  </si>
  <si>
    <t>Los componentes de un sistema que son suministrados por terceros deben corresponder a versiones estables, probadas y actualizadas.</t>
  </si>
  <si>
    <t>Componentes externos</t>
  </si>
  <si>
    <t>La organización debe inspeccionar minuciosamente el código de terceras partes para asegurar que no se encuentre afectado por código malicioso.</t>
  </si>
  <si>
    <t>La organización debe definir los ambientes en los cuales se configurarán las versiones del sistema. Como mínimo ambientes de Desarrollo, Pruebas y Producción.</t>
  </si>
  <si>
    <t>Los roles técnicos que accederán al sistema deben estar definidos.</t>
  </si>
  <si>
    <t>Los privilegios que requieren los roles técnicos deben estar definidos.</t>
  </si>
  <si>
    <t>La organización debe identificar y documentar los casos de abuso que aplican en el sistema.</t>
  </si>
  <si>
    <t>Los casos de abuso del sistema deben estar relacionados entre sí.</t>
  </si>
  <si>
    <t>Todo caso de seguridad debe estar relacionado como mínimo a un caso de abuso.</t>
  </si>
  <si>
    <t>Todo caso de abuso debe debe estar relacionado como mínimo a un caso de uso o a un escenario de amenaza.</t>
  </si>
  <si>
    <t xml:space="preserve">Los eventos de seguridad del sistema deben estar documentados en los casos de uso
</t>
  </si>
  <si>
    <t>Dispositivos de hardware</t>
  </si>
  <si>
    <t>El dispositivo debe impedir que el ingreso de información pueda ser observado por un tercero.</t>
  </si>
  <si>
    <t>La administración remota del punto de acceso inalámbrico debe estar habilitada solo en un puerto físico de gestión.</t>
  </si>
  <si>
    <t>Las redes inalámbricas privadas deben filtrar el acceso por medio de credenciales de usuario y de dirección MAC autorizada.</t>
  </si>
  <si>
    <t>Los dispositivos GSM deben tener configurado un número de identificación personal (PIN) en la SIM Card.</t>
  </si>
  <si>
    <t>La organización debe asegurar que el sistema bluetooth de los dispositivos móviles se encuentre siempre en estado apagado.</t>
  </si>
  <si>
    <t>La conexión a redes desde el dispositivo debe realizarse por interacción humana.</t>
  </si>
  <si>
    <t>Los dispositivos móviles deben configurarse de forma centralizada según las políticas de seguridad definidas por la organización.</t>
  </si>
  <si>
    <t>Las interfaces de red de los dispositivos móviles deben estar apagadas por defecto.</t>
  </si>
  <si>
    <t>La organización debe definir y documentar un procedimiento para tratar los errores de seguridad.</t>
  </si>
  <si>
    <t>La organización debe definir y documentar un procedimiento para la administración de cuentas de usuario (Creación , modificación, eliminación, activación, desactivación y asignación de privilegios)</t>
  </si>
  <si>
    <t>En las redes sociales no se debe exponer información corporativa.</t>
  </si>
  <si>
    <t>El acceso físico a la red para los usuarios debe asignarse con base en las credenciales del usuario en la organización (ej: 802.1x).</t>
  </si>
  <si>
    <t>La organización debe filtrar el contenido de sitios web accedidos en internet.</t>
  </si>
  <si>
    <t>La red relacionada con el requerimiento debe estar segmentada.</t>
  </si>
  <si>
    <t>La organización debe deshabilitar las funciones inseguras de un servicio.</t>
  </si>
  <si>
    <t>Servicios</t>
  </si>
  <si>
    <t>La organización debe deshabilitar las funciones innecesarias de un servicio.</t>
  </si>
  <si>
    <t>El sistema debe cerrar una sesión si se presenta inactividad superior o igual a 5 minutos por parte del usuario.</t>
  </si>
  <si>
    <t>Si el sistema usa la transferencia de información entre páginas, debe realizarse a través de objetos de sesión.</t>
  </si>
  <si>
    <t>El número de sesiones simultáneas que un usuario puede tener en un sistema depende de las funciones que este realice.</t>
  </si>
  <si>
    <t>El estado de la sesión en aplicaciones web del lado del cliente, debe estar cifrada y con protección de integridad.</t>
  </si>
  <si>
    <t>El sistema debe proporcionar al usuario la capacidad de bloquear la sesión de forma manual desde cualquier página protegida por autenticación.</t>
  </si>
  <si>
    <t>El sistema debe proporcionar al usuario la capacidad de cerrar la sesión de forma manual.</t>
  </si>
  <si>
    <t>El sistema debe permitir a los usuarios autorizados la consulta del historial de sesiones establecidas por ellos.</t>
  </si>
  <si>
    <t>Las cookies de sesión del sistema deben tener el atributo HttpOnly.</t>
  </si>
  <si>
    <t>Se debe limitar la forma en la que un objeto puede ser reutilizado para propósito de hacerse pasar por alguien (impersonate) sin pasar por el proceso de autenticación (ej: tokens de sesión, claves o números de un solo uso, marcado de tiempo sobre mensajes)</t>
  </si>
  <si>
    <t>La gestión administrativa del sistema debe realizarse a través de intermediarios privilegiados que permitan la contabilidad a cada individuo.</t>
  </si>
  <si>
    <t>El sistema debe verificar y reportar periódicamente el estado de la integridad de los archivos del sistema.</t>
  </si>
  <si>
    <t>Un sistema debe pertenecer únicamente a uno de los ambientes definidos.</t>
  </si>
  <si>
    <t>La secuencia de inicio siempre debe preferir los medios de almacenamiento de mayor confianza.</t>
  </si>
  <si>
    <t>Las rutas de carga implícita deben preferir las rutas de mayor confianza.</t>
  </si>
  <si>
    <t>El sistema debe controlar que la información del producto solo pueda ser accesible por los administradores del sistema.</t>
  </si>
  <si>
    <t>La organización debe controlar que la configuración del BIOS en las máquinas solo pueda pueda ser accesible por personal autorizado.</t>
  </si>
  <si>
    <t>La organización debe controlar que la configuración del gestor de arranque en las máquinas solo pueda ser accesible por personal autorizado.</t>
  </si>
  <si>
    <t>El sistema deberá ejecutarse únicamente cuando un usuario ejecute una acción explícita.</t>
  </si>
  <si>
    <t>Las credenciales del administrador solo debe poder usarse mediante una sesión de consola física (noroot).</t>
  </si>
  <si>
    <t>Las conexiones incompletas, encontradas en los protocolos de transporte orientados a conexión, deben implicar el menor costo de procesamiento posible.</t>
  </si>
  <si>
    <t>El sistema operativo debe generar una alerta sobre el estado de un recurso cuando este sobrepase los umbrales definidos.</t>
  </si>
  <si>
    <t>El sistema operativo debe poseer la capacidad para el cifrado de discos y particiones de disco.</t>
  </si>
  <si>
    <t>Se debe restringir la copia de información en medios extraíbles.</t>
  </si>
  <si>
    <t>El tercero debe permitir auditorías de cliente en el alcance relacionado.</t>
  </si>
  <si>
    <t>El tiempo del sistema debe estar sincronizado con el tiempo oficial del país.</t>
  </si>
  <si>
    <t>El tiempo del sistema debe estar sincronizado con el tiempo de los demás sistemas de la organización.</t>
  </si>
  <si>
    <t>El sistema debe garantizar la unicidad de los correos electrónicos.</t>
  </si>
  <si>
    <t>El sistema debe garantizar que la persona que realiza el proceso de restablecimiento de contraseña sea realmente el propietario.</t>
  </si>
  <si>
    <t>La aplicación debe garantizar que las peticiones que reciba a recursos no sigan un patrón discernible.</t>
  </si>
  <si>
    <t>ALINEACIÓN</t>
  </si>
  <si>
    <t>TOTAL</t>
  </si>
  <si>
    <t>En diseño y perfil [DP]</t>
  </si>
  <si>
    <t>Solo en perfil [SP]</t>
  </si>
  <si>
    <t>Solo en diseño [SD]</t>
  </si>
  <si>
    <t>Categoría</t>
  </si>
  <si>
    <t>Criterio</t>
  </si>
  <si>
    <t>ANA.01</t>
  </si>
  <si>
    <t>Sí</t>
  </si>
  <si>
    <t>ANA.02</t>
  </si>
  <si>
    <t>Los dueños de los activos de información deben estar identificados.</t>
  </si>
  <si>
    <t>No</t>
  </si>
  <si>
    <t>ANA.03</t>
  </si>
  <si>
    <t>Los activos de información deben estar valorados.</t>
  </si>
  <si>
    <t>ANA.04</t>
  </si>
  <si>
    <t>Las amenazas sobre los activos deben estar identificadas.</t>
  </si>
  <si>
    <t>ANA.05</t>
  </si>
  <si>
    <t>Los riesgos deben valorarse en función de probabilidad e impacto.</t>
  </si>
  <si>
    <t>AUZ.01</t>
  </si>
  <si>
    <t xml:space="preserve">El proceso de autenticación debe indicar que el sistema sólo está disponible para personal autorizado. </t>
  </si>
  <si>
    <t>AUZ.02</t>
  </si>
  <si>
    <t>Los privilegios para un sujeto no pueden ser aumentados por el mismo sujeto.</t>
  </si>
  <si>
    <t>BIT.01</t>
  </si>
  <si>
    <t>Los eventos excepcionales deben ser registrados en bitácoras.</t>
  </si>
  <si>
    <t>BIT.02</t>
  </si>
  <si>
    <t>Los eventos excepcionales deben clasificarse por severidad.</t>
  </si>
  <si>
    <t>BIT.03</t>
  </si>
  <si>
    <t>Los eventos deben contener el momento de ocurrencia (IP, nombre equipo, fecha, hora, segundos, mili-segundos y zona horaria).</t>
  </si>
  <si>
    <t>BIT.04</t>
  </si>
  <si>
    <t>Ningún usuario puede tener acceso de escritura o modificación sobre los logs.</t>
  </si>
  <si>
    <t>BIT.05</t>
  </si>
  <si>
    <t>Las bitácoras deben retenerse como mínimo 5 años.</t>
  </si>
  <si>
    <t>BIT.06</t>
  </si>
  <si>
    <t xml:space="preserve"> El sistema debe evitar difundir información sensible al momento de ocurrir un evento excepcional.</t>
  </si>
  <si>
    <t>BIT.07</t>
  </si>
  <si>
    <t xml:space="preserve"> Periódicamente debe revisarse las bitácoras en busca de actividad sospechosa.</t>
  </si>
  <si>
    <t>Codificación</t>
  </si>
  <si>
    <t>COD.01</t>
  </si>
  <si>
    <t xml:space="preserve"> El código sólo debe realizar las funciones para las cuales fue diseñado y no acciones colaterales.</t>
  </si>
  <si>
    <t>COD.02</t>
  </si>
  <si>
    <t xml:space="preserve"> El código debe estar libre de información personal (ej: contraseñas personales).</t>
  </si>
  <si>
    <t>COD.03</t>
  </si>
  <si>
    <t xml:space="preserve"> El código debe compilarse o interpretarse de forma estricta.</t>
  </si>
  <si>
    <t>COD.04</t>
  </si>
  <si>
    <t xml:space="preserve"> El código solo debe usar funciones seguras y actualizadas del lenguaje.</t>
  </si>
  <si>
    <t>COD.05</t>
  </si>
  <si>
    <t xml:space="preserve"> El código fuente no debe ser mantenerse en ambientes de producción.</t>
  </si>
  <si>
    <t>COD.06</t>
  </si>
  <si>
    <t xml:space="preserve"> Debe validarse que la salida de información esté codificada según el lenguaje correspondiente (HTML, JS, “escaping”)</t>
  </si>
  <si>
    <t>COD.07</t>
  </si>
  <si>
    <t xml:space="preserve"> El código debe definir opciones por defecto seguras (ej: default en switchs).</t>
  </si>
  <si>
    <t>COD.08</t>
  </si>
  <si>
    <t xml:space="preserve"> El código fuente de una aplicación debe almacenarse en un repositorio centralizado.</t>
  </si>
  <si>
    <t>COD.09</t>
  </si>
  <si>
    <t xml:space="preserve"> Debe definirse un "Content-Type" explícito para archivos generados dinámicamente.</t>
  </si>
  <si>
    <t>COD.10</t>
  </si>
  <si>
    <t xml:space="preserve"> Debe definirse un "Character-Set" explícito para archivos generados dinámicamente.</t>
  </si>
  <si>
    <t>COD.11</t>
  </si>
  <si>
    <t xml:space="preserve"> El código no debe repetirse.</t>
  </si>
  <si>
    <t>COD.12</t>
  </si>
  <si>
    <t xml:space="preserve"> El código debe ser invocado en algún escenario.</t>
  </si>
  <si>
    <t>COD.13</t>
  </si>
  <si>
    <t xml:space="preserve"> El código debe utilizar contenedores o estructuras de datos optimizadas.</t>
  </si>
  <si>
    <t>COD.14</t>
  </si>
  <si>
    <t xml:space="preserve"> El código debe comprimirse durante su transporte.</t>
  </si>
  <si>
    <t>COD.15</t>
  </si>
  <si>
    <t xml:space="preserve"> El código debe cerrar los recursos que utiliza.</t>
  </si>
  <si>
    <t>COD.16</t>
  </si>
  <si>
    <t xml:space="preserve"> El proceso de desarrollo de software debe incluir herramientas automatizadas de validación (ej: analizadores estáticos de código, pruebas unitarias).</t>
  </si>
  <si>
    <t>COD.17</t>
  </si>
  <si>
    <t xml:space="preserve"> Debe usarse construcciones parametrizadas para la creación dinámica de sentencias SQL (ej: java.sql.PreparedStatement)</t>
  </si>
  <si>
    <t>COR.01</t>
  </si>
  <si>
    <t xml:space="preserve"> Todo el correo entrante debe pasar por un filtro anti-spam.</t>
  </si>
  <si>
    <t>COR.02</t>
  </si>
  <si>
    <t xml:space="preserve"> El cliente de correo por defecto no debe mostrar imágenes o interpretar código HTML.</t>
  </si>
  <si>
    <t>COR.03</t>
  </si>
  <si>
    <t xml:space="preserve"> Todos los archivos adjuntos deben ser analizados con una herramienta anti-malware.</t>
  </si>
  <si>
    <t>COR.04</t>
  </si>
  <si>
    <t xml:space="preserve"> Ningún sistema de información debe permitir el envío de correo electrónico de manera masiva.</t>
  </si>
  <si>
    <t>COR.05</t>
  </si>
  <si>
    <t>Los archivos enviados por correo electrónico que contengan información confidencial o restringida deben estar cifrados.</t>
  </si>
  <si>
    <t>CRE.01</t>
  </si>
  <si>
    <t xml:space="preserve"> Las contraseñas deben almacenarse a través de resúmenes criptográficos.</t>
  </si>
  <si>
    <t>CRE.02</t>
  </si>
  <si>
    <t xml:space="preserve"> Las contraseñas deben almacenarse en una fuente de datos única.</t>
  </si>
  <si>
    <t>CRE.03</t>
  </si>
  <si>
    <t xml:space="preserve"> Las contraseñas deben cambiarse siempre por otra diferente a las 10 anteriores.</t>
  </si>
  <si>
    <t>CRE.04</t>
  </si>
  <si>
    <t xml:space="preserve"> Las contraseñas deben tener una validez máxima de 30 días.</t>
  </si>
  <si>
    <t>CRE.05</t>
  </si>
  <si>
    <t xml:space="preserve"> Las contraseñas deben tener al menos 8 caracteres de longitud para usuarios finales.</t>
  </si>
  <si>
    <t>CRE.06</t>
  </si>
  <si>
    <t xml:space="preserve"> Las contraseñas deben tener al menos 1 letra minúscula.</t>
  </si>
  <si>
    <t>CRE.07</t>
  </si>
  <si>
    <t xml:space="preserve"> Las contraseñas deben tener al menos 1 letra mayúscula.</t>
  </si>
  <si>
    <t>CRE.08</t>
  </si>
  <si>
    <t xml:space="preserve"> Las contraseñas deben tener al menos 1 dígito numérico.</t>
  </si>
  <si>
    <t>CRE.09</t>
  </si>
  <si>
    <t xml:space="preserve"> Las contraseñas deben tener al menos 1 caracter especial.</t>
  </si>
  <si>
    <t>CRE.10</t>
  </si>
  <si>
    <t xml:space="preserve"> Las contraseñas por defecto de sistemas pre-construidos deben ser eliminadas.</t>
  </si>
  <si>
    <t>CRE.11</t>
  </si>
  <si>
    <t xml:space="preserve"> Dos contraseñas iguales deben almacenarse con diferentes resúmenes criptográficos (salt).</t>
  </si>
  <si>
    <t>CRE.12</t>
  </si>
  <si>
    <t xml:space="preserve"> El salt utilizado para implementar el requisito CRE.14. debe ser aleatorio y de mínimo 48 bits.</t>
  </si>
  <si>
    <t>CRE.13</t>
  </si>
  <si>
    <t xml:space="preserve"> Las contraseñas no deben contener palabras de diccionario.</t>
  </si>
  <si>
    <t>CRE.14</t>
  </si>
  <si>
    <t xml:space="preserve"> Las contraseñas generadas automáticamente deben ser cambiadas después del primer uso.</t>
  </si>
  <si>
    <t>CRE.15</t>
  </si>
  <si>
    <t xml:space="preserve"> Las contraseñas generadas por un tercero deben ser cambiadas después del primer uso.</t>
  </si>
  <si>
    <t>CRE.16</t>
  </si>
  <si>
    <t xml:space="preserve"> Las contraseñas (tipo palabra) deben tener al menos 14 caracteres de longitud para usuarios administradores</t>
  </si>
  <si>
    <t>CRI.01</t>
  </si>
  <si>
    <t xml:space="preserve"> Debe usarse mecanismos criptográficos pre-existentes.</t>
  </si>
  <si>
    <t>CRI.02</t>
  </si>
  <si>
    <t xml:space="preserve"> Debe utilizarse certificados con periodo de vencimiento no mayor a 1 año.</t>
  </si>
  <si>
    <t>CRI.03</t>
  </si>
  <si>
    <t xml:space="preserve"> Debe utilizarse certificados firmados por entidades certificadoras validas internas cuando estos sean para aplicaciones internas.</t>
  </si>
  <si>
    <t>CRI.04</t>
  </si>
  <si>
    <t xml:space="preserve"> Debe utilizarse como mecanismo de cifrado asimétrico un tamaño de clave mínimo de 1024 bits.</t>
  </si>
  <si>
    <t>CRI.05</t>
  </si>
  <si>
    <t xml:space="preserve"> Debe utilizarse como mecanismo de cifrado simétrico un tamaño de clave mínimo de 256 bits.</t>
  </si>
  <si>
    <t>CRI.06</t>
  </si>
  <si>
    <t xml:space="preserve"> Debe utilizarse funciones resumen con un tamaño mínimo de 256 bits.</t>
  </si>
  <si>
    <t>CRI.07</t>
  </si>
  <si>
    <t xml:space="preserve"> Debe utilizarse con la criptografía asimétrica pares de claves separados para cifrado y firmado.</t>
  </si>
  <si>
    <t>CRI.08</t>
  </si>
  <si>
    <t xml:space="preserve"> Debe utilizarse firmas digitales para garantizar la autenticidad de información sensible.</t>
  </si>
  <si>
    <t>DAT.01</t>
  </si>
  <si>
    <t xml:space="preserve"> Los datos de respaldos deben almacenarse cifrados.</t>
  </si>
  <si>
    <t>DAT.02</t>
  </si>
  <si>
    <t xml:space="preserve"> Los datos de respaldos deben almacenarse fuera del sitio origen.</t>
  </si>
  <si>
    <t>DAT.03</t>
  </si>
  <si>
    <t xml:space="preserve"> La información sensible debe ser transportada por un canal seguro (SFTP/FTPS, HTTPS, SSL)</t>
  </si>
  <si>
    <t>DAT.04</t>
  </si>
  <si>
    <t xml:space="preserve"> Los datos del sistema y los datos de negocio deben almacenarse en particiones diferentes.</t>
  </si>
  <si>
    <t>DAT.05</t>
  </si>
  <si>
    <t xml:space="preserve"> Se debe realizar una eliminación segura de los datos.</t>
  </si>
  <si>
    <t>DAT.06</t>
  </si>
  <si>
    <t xml:space="preserve"> La información sensible debe ser excluida del almacenamiento en "caché".</t>
  </si>
  <si>
    <t>DAT.07</t>
  </si>
  <si>
    <t xml:space="preserve"> Los mensajes enviados fuera de banda (SMS, buzón de voz, etc) no deben contener información sensible.</t>
  </si>
  <si>
    <t>DIS.01</t>
  </si>
  <si>
    <t xml:space="preserve"> Deben estar definidos los diferentes ambientes que se utilizan en la organización (Producción, pruebas, desarrollo.).</t>
  </si>
  <si>
    <t>DIS.02</t>
  </si>
  <si>
    <t xml:space="preserve"> Los activos de información deben estar clasificados según el nivel de confidencialidad y criticidad.</t>
  </si>
  <si>
    <t>DIS.03</t>
  </si>
  <si>
    <t xml:space="preserve"> Los tipos de usuarios que accederan al sistema deben estar definidos.</t>
  </si>
  <si>
    <t>DIS.04</t>
  </si>
  <si>
    <t xml:space="preserve"> Los privilegios que requieren los usuarios del sistema deben estar definidos.</t>
  </si>
  <si>
    <t>DIS.05</t>
  </si>
  <si>
    <t xml:space="preserve"> Los eventos de seguridad posibles deben estar identificados.</t>
  </si>
  <si>
    <t>DIS.06</t>
  </si>
  <si>
    <t xml:space="preserve"> Los eventos de seguridad que deben ser monitoreados deben estar identificados.</t>
  </si>
  <si>
    <t>DIS.07</t>
  </si>
  <si>
    <t xml:space="preserve"> Los componentes de la superficie de ataque (puntos de entrada a los que se accede sin autenticación) deben identificarse.</t>
  </si>
  <si>
    <t>Dispositivos</t>
  </si>
  <si>
    <t>DSP.01</t>
  </si>
  <si>
    <t xml:space="preserve"> El dispositivo debe permitir conocer si este fue abierto o manipulado de forma no autorizada (sellos).</t>
  </si>
  <si>
    <t>DSP.02</t>
  </si>
  <si>
    <t xml:space="preserve"> El dispositivo debe eliminar la información confidencial almacenada ante el evento de apertura del mismo (anti-tamper).</t>
  </si>
  <si>
    <t>DSP.03</t>
  </si>
  <si>
    <t xml:space="preserve"> El dispositivo debe impedir que el ingreso de información pueda ser observado por un tercero (cubierta).</t>
  </si>
  <si>
    <t>Móviles</t>
  </si>
  <si>
    <t>MOV.01</t>
  </si>
  <si>
    <t xml:space="preserve"> Los dispositivos GSM deben tener configurado un número de identificación personal (PIN) en la SIM card.</t>
  </si>
  <si>
    <t>MOV.02</t>
  </si>
  <si>
    <t xml:space="preserve"> El sistema Bluetooth de los dispositivos móviles debe permanecer apagado.</t>
  </si>
  <si>
    <t>MOV.03</t>
  </si>
  <si>
    <t xml:space="preserve"> Las unidades de almacenamiento del dispositivo móvil deben estar cifradas y asociadas al dispositivo.</t>
  </si>
  <si>
    <t>MOV.04</t>
  </si>
  <si>
    <t xml:space="preserve"> La información de los dispositivos móviles deberá ser eliminada después de 10 intentos fallidos de la autenticación.</t>
  </si>
  <si>
    <t>MOV.05</t>
  </si>
  <si>
    <t xml:space="preserve"> La conexión a redes desde el dispositivo debe ser resultado de interacción humana.</t>
  </si>
  <si>
    <t>MOV.06</t>
  </si>
  <si>
    <t xml:space="preserve"> El dispositivo móvil debe tener sus interfaces de red apagadas por defecto.</t>
  </si>
  <si>
    <t>MOV.07</t>
  </si>
  <si>
    <t xml:space="preserve"> El dispositivo móvil debe permitir la destrucción de sus datos de forma remota en caso de pérdida.</t>
  </si>
  <si>
    <t>OPE.01</t>
  </si>
  <si>
    <t xml:space="preserve"> El procedimiento para tratar los errores de seguridad debe estar definido.</t>
  </si>
  <si>
    <t>OPE.02</t>
  </si>
  <si>
    <t>El procedimiento de respaldo del sistema debe estar definido.</t>
  </si>
  <si>
    <t>OPE.03</t>
  </si>
  <si>
    <t>La documentación que soporta un sistema de información debe contener un capitulo de seguridad.</t>
  </si>
  <si>
    <t>OPE.04</t>
  </si>
  <si>
    <t>Debe definirse configuraciones estándares que corrijan todas las vulnerabilidades conocidas y que sean consistentes con estandares de la industria (ej: líneas base).</t>
  </si>
  <si>
    <t>PRU.01</t>
  </si>
  <si>
    <t xml:space="preserve"> Los requisitos de seguridad que serán probados deben estar definidos.</t>
  </si>
  <si>
    <t>PRU.02</t>
  </si>
  <si>
    <t xml:space="preserve"> Los requisitos de seguridad efectivamente probados deben estar identificados.</t>
  </si>
  <si>
    <t>PRU.03</t>
  </si>
  <si>
    <t>Los componentes del sistema que serán probados deben estar definidos.</t>
  </si>
  <si>
    <t>PRU.04</t>
  </si>
  <si>
    <t>Los componentes efectivamente probados deben estar identificados.</t>
  </si>
  <si>
    <t>PRU.05</t>
  </si>
  <si>
    <t>Las vulnerabilidades encontradas deben priorizarse por criticidad.</t>
  </si>
  <si>
    <t>PRU.06</t>
  </si>
  <si>
    <t>Las vulnerabilidades corregidas deben ser verificadas nuevamente.</t>
  </si>
  <si>
    <t>PRU.07</t>
  </si>
  <si>
    <t>Los riesgos derivados de las vulnerabilidades no corregidas deben tratarse.</t>
  </si>
  <si>
    <t>PRU.08</t>
  </si>
  <si>
    <t>Debe realizarse pruebas de seguridad internas y externas en las redes cada tres meses o cuando ocurran cambios significativos.</t>
  </si>
  <si>
    <t>PRU.09</t>
  </si>
  <si>
    <t>Realice pruebas de penetración internas y externas en redes y a nivel de aplicación al menos una vez al año.</t>
  </si>
  <si>
    <t>Redes</t>
  </si>
  <si>
    <t>RED.01</t>
  </si>
  <si>
    <t xml:space="preserve"> Los segmentos de usuarios y servidores con aplicaciones o contenido deben permitir acceso sólo a los puertos necesarios.</t>
  </si>
  <si>
    <t>RED.02</t>
  </si>
  <si>
    <t xml:space="preserve"> Los servidores con aplicaciones o contenido sólo deben tener acceso a los puertos que les permitan cumplir su propósito.</t>
  </si>
  <si>
    <t>RED.03</t>
  </si>
  <si>
    <t xml:space="preserve"> El acceso físico a la red para los usuarios debe asignarse con base en las credenciales del usuario en la organización (ej: 802.1x).</t>
  </si>
  <si>
    <t>RED.04</t>
  </si>
  <si>
    <t xml:space="preserve"> El acceso a sitios web en Internet debe hacerse a través de un filtro de contenidos.</t>
  </si>
  <si>
    <t>RED.05</t>
  </si>
  <si>
    <t>La red relacionada debe estar segmentada.</t>
  </si>
  <si>
    <t>RED.06</t>
  </si>
  <si>
    <t>Revisar cada año las politicas y configuraciones de los dispositivos de red (ej: firewalls, routers).</t>
  </si>
  <si>
    <t>RED.07</t>
  </si>
  <si>
    <t>RED.08</t>
  </si>
  <si>
    <t>Los objetos de red que no sean usados deben ser eliminados de la configuración de los equipos.</t>
  </si>
  <si>
    <t>RED.09</t>
  </si>
  <si>
    <t>Las reglas desactivadas no deben permanecer en la configuración del equipo.</t>
  </si>
  <si>
    <t>RED.10</t>
  </si>
  <si>
    <t>Los accesos administrativos solo deben ser permitidos desde una red especifica o un rango de direcciones IP.</t>
  </si>
  <si>
    <t>RED.11</t>
  </si>
  <si>
    <t>La publicación del SSID de las redes inalámbricas debe estar deshabilitada para redes privadas.</t>
  </si>
  <si>
    <t>RED.12</t>
  </si>
  <si>
    <t>En las redes inalámbricas se debe preferir el uso de los métodos de cifrado de clave WPA2 dinámica.</t>
  </si>
  <si>
    <t>RED.13</t>
  </si>
  <si>
    <t>Implementar un sistema de detección de redes inalámbricas no autorizadas.</t>
  </si>
  <si>
    <t>Sesión</t>
  </si>
  <si>
    <t>SES.01</t>
  </si>
  <si>
    <t>La sesión inactiva debe tener un tiempo máximo de vida no superior a 5 minutos.</t>
  </si>
  <si>
    <t>SES.02</t>
  </si>
  <si>
    <t>El mecanismo primario de transferencia de información entre páginas debe ser la sesión.</t>
  </si>
  <si>
    <t>SES.03</t>
  </si>
  <si>
    <t xml:space="preserve"> Un usuario sólo debe poder establecer 1 sesión simultánea en el sistema.</t>
  </si>
  <si>
    <t>SES.04</t>
  </si>
  <si>
    <t xml:space="preserve"> El estado de sesión que se encuentra en el cliente, debe estar cifrado y con protección de integridad.</t>
  </si>
  <si>
    <t>SES.05</t>
  </si>
  <si>
    <t xml:space="preserve"> Se debe proveer al usuario autorizado el historial de transacciones realizadas y de sesiones establecidas.</t>
  </si>
  <si>
    <t>SES.06</t>
  </si>
  <si>
    <t xml:space="preserve"> Las cookies de sesión deben ser generadas con la opción HttpOnly</t>
  </si>
  <si>
    <t>Sistemas</t>
  </si>
  <si>
    <t>SIS.01</t>
  </si>
  <si>
    <t xml:space="preserve"> La integridad de los archivos del sistema debe ser verificada periódicamente y su estado reportado.</t>
  </si>
  <si>
    <t>SIS.02</t>
  </si>
  <si>
    <t xml:space="preserve"> Todas las máquinas en producción deben tener una suite de seguridad, no alterable por los usuarios (Antivirus, Antispyware, Host-Firewall, Host-IDS, Host-IPS)</t>
  </si>
  <si>
    <t>SIS.03</t>
  </si>
  <si>
    <t xml:space="preserve"> Un sistema debe pertenecer únicamente a uno de los ambientes definidos.</t>
  </si>
  <si>
    <t>SIS.04</t>
  </si>
  <si>
    <t>La secuencia de inicio no debe permitir iniciar desde CD o USB.</t>
  </si>
  <si>
    <t>SIS.05</t>
  </si>
  <si>
    <t>La configuración del BIOS sólo debe poder alterarse por personal autorizado.</t>
  </si>
  <si>
    <t>SIS.06</t>
  </si>
  <si>
    <t>La configuración del gestor de arranque solo deben poder alterarse por personal autorizado.</t>
  </si>
  <si>
    <t>SIS.07</t>
  </si>
  <si>
    <t>El sistema operativo debe tener desactivada la opción de autorun.</t>
  </si>
  <si>
    <t>SIS.08</t>
  </si>
  <si>
    <t>La clave de administrador sólo debe poder usarse mediante una sesión de consola física (noroot).</t>
  </si>
  <si>
    <t>SIS.09</t>
  </si>
  <si>
    <t>SIS.10</t>
  </si>
  <si>
    <t>Se debe contar con un mecanismo de cifrado de discos o particiones.</t>
  </si>
  <si>
    <t>SIS.11</t>
  </si>
  <si>
    <t>El sistema no debe permitir leer o escribir información en medios extraibles (USB, CDs, DVDs, etc).</t>
  </si>
  <si>
    <t>SIS.12</t>
  </si>
  <si>
    <t>SIS.13</t>
  </si>
  <si>
    <t>Las funciones de un servicio que son potencialmente inseguras deben estar deshabilitadas.</t>
  </si>
  <si>
    <t>SIS.14</t>
  </si>
  <si>
    <t>Las funciones de un servicio que son innecesarias deben estar deshabilitadas.</t>
  </si>
  <si>
    <t>SIS.15</t>
  </si>
  <si>
    <t xml:space="preserve"> SIS.16</t>
  </si>
  <si>
    <t>Debe usarse versiones estables de las dependencias del sistema.</t>
  </si>
  <si>
    <t>SIS.17</t>
  </si>
  <si>
    <t>Debe usarse versiones actualizadas de las dependencias del sistema.</t>
  </si>
  <si>
    <t>Terceros</t>
  </si>
  <si>
    <t>TER.01</t>
  </si>
  <si>
    <t>El tercero debe tener acuerdo de nivel de servicio de disponibilidad.</t>
  </si>
  <si>
    <t>TER.02</t>
  </si>
  <si>
    <t>El tercero debe tener acuerdo de nivel de servicio de confiabilidad.</t>
  </si>
  <si>
    <t>TER.03</t>
  </si>
  <si>
    <t>El tercero debe tener penalidades por incumplimiento de los niveles de servicio.</t>
  </si>
  <si>
    <t>TER.04</t>
  </si>
  <si>
    <t>Aplicaciones</t>
  </si>
  <si>
    <t>APL.01</t>
  </si>
  <si>
    <t>Todas las comunicaciones de un WebService deben ir via VPN, implementando HTTP/SSL y sus respuestas firmadas.</t>
  </si>
  <si>
    <t>APL.02</t>
  </si>
  <si>
    <t>Todas las aplicaciones Web Services deben pasar a través del Datapower.</t>
  </si>
  <si>
    <t>APL.03</t>
  </si>
  <si>
    <t>En los WebService la firma, el usuario y password deben seguir el estándar WS-Security.</t>
  </si>
  <si>
    <t>APL.04</t>
  </si>
  <si>
    <t>Debe validarse la entrada de información antes de ser usada.</t>
  </si>
  <si>
    <t>APL.05</t>
  </si>
  <si>
    <t>Debe validarse que el correo electrónico declarado no sea usado por otros usuarios.</t>
  </si>
  <si>
    <t>APL.06</t>
  </si>
  <si>
    <t>Debe validarse que quien realiza las acciones de restablecimiento de contraseña es el propietario de la misma.</t>
  </si>
  <si>
    <t>APL.07</t>
  </si>
  <si>
    <t>Los archivos temporales no deben desplegarse al ambiente de producción.</t>
  </si>
  <si>
    <t>APL.08</t>
  </si>
  <si>
    <t>Debe validarse que el formato de los archivos relacionados corresponde a su extensión.</t>
  </si>
  <si>
    <t>APL.09</t>
  </si>
  <si>
    <t>Debe validarse que el contenido de los archivos relacionados esté libre de código malicioso.</t>
  </si>
  <si>
    <t>APL.10</t>
  </si>
  <si>
    <t>Las conexiones a la base de datos deben reutilizarse.</t>
  </si>
  <si>
    <t>Constantes</t>
  </si>
  <si>
    <t>Subir imagen</t>
  </si>
  <si>
    <t>Transparencia</t>
  </si>
  <si>
    <t>#FFFFFF</t>
  </si>
  <si>
    <t>Encabezado</t>
  </si>
  <si>
    <t>FilasPorSit</t>
  </si>
  <si>
    <t>Cardinalidad X</t>
  </si>
  <si>
    <t>Impacto</t>
  </si>
  <si>
    <t>Probabilidad</t>
  </si>
  <si>
    <t>Nombre</t>
  </si>
  <si>
    <t>.</t>
  </si>
  <si>
    <t>Referencia</t>
  </si>
  <si>
    <t>Situación</t>
  </si>
  <si>
    <t>Fila</t>
  </si>
  <si>
    <t>Situaciones</t>
  </si>
  <si>
    <t>Cantidad</t>
  </si>
  <si>
    <t>Altas</t>
  </si>
  <si>
    <t>Medias</t>
  </si>
  <si>
    <t>Bajas</t>
  </si>
  <si>
    <t>Inc</t>
  </si>
  <si>
    <t>Hallazgo</t>
  </si>
  <si>
    <t>CI</t>
  </si>
  <si>
    <t>CF</t>
  </si>
  <si>
    <t>C</t>
  </si>
  <si>
    <t>PC</t>
  </si>
  <si>
    <t>Cerrados</t>
  </si>
  <si>
    <t>Parcialmente cerrados</t>
  </si>
  <si>
    <t>Abiertos</t>
  </si>
  <si>
    <t>Alcance (Característica)</t>
  </si>
  <si>
    <t>IMPACTOS</t>
  </si>
  <si>
    <t>MaxCri</t>
  </si>
  <si>
    <t>Rojo</t>
  </si>
  <si>
    <t>Naranja</t>
  </si>
  <si>
    <t>Amarillo</t>
  </si>
  <si>
    <t>REQ.0002 Los activos de información del sistema deben estar identificados.</t>
  </si>
  <si>
    <t>REQ.0050 Los eventos con severidad de depuración no deben estar habilitados en producción.</t>
  </si>
  <si>
    <t>REQ.0250 La aplicación debe garantizar que las peticiones que reciba a recursos no sigan un patrón discernible.</t>
  </si>
  <si>
    <t>REQ.0040 El sistema debe requerir autenticación para todos los recursos, excepto para aquellos específicamente clasificados como públicos.</t>
  </si>
  <si>
    <t>Activos de Información</t>
  </si>
  <si>
    <t>Hoja de referencia para el cálculo de criticidad</t>
  </si>
  <si>
    <t>Métrica</t>
  </si>
  <si>
    <t>Vector</t>
  </si>
  <si>
    <t>Opciones</t>
  </si>
  <si>
    <t>Vector de acceso:</t>
  </si>
  <si>
    <t>AV</t>
  </si>
  <si>
    <t>Red adyacente</t>
  </si>
  <si>
    <t>Complejidad de acceso:</t>
  </si>
  <si>
    <t>AC</t>
  </si>
  <si>
    <t>Autenticación:</t>
  </si>
  <si>
    <t>Au</t>
  </si>
  <si>
    <t>Múltiple</t>
  </si>
  <si>
    <t>Única</t>
  </si>
  <si>
    <t>Impacto a la confidencialidad:</t>
  </si>
  <si>
    <t>Impacto a la integridad:</t>
  </si>
  <si>
    <t>I</t>
  </si>
  <si>
    <t>Impacto a la disponibilidad:</t>
  </si>
  <si>
    <t>A</t>
  </si>
  <si>
    <t>Explotabilidad:</t>
  </si>
  <si>
    <t>E</t>
  </si>
  <si>
    <t>Improbable</t>
  </si>
  <si>
    <t>Funcional</t>
  </si>
  <si>
    <t>Nivel de resolución:</t>
  </si>
  <si>
    <t>RL</t>
  </si>
  <si>
    <t>Temporal</t>
  </si>
  <si>
    <t>Paliativa</t>
  </si>
  <si>
    <t>Nivel de confianza:</t>
  </si>
  <si>
    <t>RC</t>
  </si>
  <si>
    <t>No confirmado</t>
  </si>
  <si>
    <t>Access Vector</t>
  </si>
  <si>
    <t>Access Complexity</t>
  </si>
  <si>
    <t>Authentication</t>
  </si>
  <si>
    <t>ConfImpact</t>
  </si>
  <si>
    <t>IntegImpact</t>
  </si>
  <si>
    <t>AvailImpact</t>
  </si>
  <si>
    <t>Exploitability</t>
  </si>
  <si>
    <t>Remediation Level</t>
  </si>
  <si>
    <t>Report Confidence</t>
  </si>
  <si>
    <t>L</t>
  </si>
  <si>
    <t>N</t>
  </si>
  <si>
    <t>H</t>
  </si>
  <si>
    <t>M</t>
  </si>
  <si>
    <t>S</t>
  </si>
  <si>
    <t>P</t>
  </si>
  <si>
    <t>U</t>
  </si>
  <si>
    <t>F</t>
  </si>
  <si>
    <t>OF</t>
  </si>
  <si>
    <t>T</t>
  </si>
  <si>
    <t>W</t>
  </si>
  <si>
    <t>UC</t>
  </si>
  <si>
    <t>UR</t>
  </si>
  <si>
    <t xml:space="preserve">Actividades del servicio de Pruebas de Seguridad de Infraestructura
</t>
  </si>
  <si>
    <t>Etapa</t>
  </si>
  <si>
    <t>Actividad</t>
  </si>
  <si>
    <t>Aplica</t>
  </si>
  <si>
    <t>Autorizada</t>
  </si>
  <si>
    <t>Realizada</t>
  </si>
  <si>
    <t>PLANEACIÓN</t>
  </si>
  <si>
    <t>Lectura de diseño de seguridad</t>
  </si>
  <si>
    <t>Se trata de detectar los requisitos de seguridad que se construyeron en específico para cada solución. La actividad consiste en la lectura del diseño de seguridad.</t>
  </si>
  <si>
    <t>NA</t>
  </si>
  <si>
    <t>Contextualización del negocio</t>
  </si>
  <si>
    <t>El responsable debe realizar una primera reunión de contextualización para conocer los objetivos de negocio que posee la solución (plataforma, sistema, aplicación, componente, entre otros) y determinar qué información sería importante, crítica y/o sensible tener en cuenta durante las pruebas.</t>
  </si>
  <si>
    <t>Reconocimiento pasivo</t>
  </si>
  <si>
    <t>El responsable busca obtener información sobre el objetivo sin interactuar con él.</t>
  </si>
  <si>
    <t>Reconocimiento activo</t>
  </si>
  <si>
    <t>El responsable busca obtener información sobre el objetivo interactuando sin utilizar protocolos de capa de aplicación.</t>
  </si>
  <si>
    <t>Escaneo</t>
  </si>
  <si>
    <t>El responsable debe obtener detalles de los servicios, aplicaciones y posibles vulnerabilidades del objetivo, utilizando protocolos de capa de aplicación.</t>
  </si>
  <si>
    <t>Enumeración</t>
  </si>
  <si>
    <t>El responsable debe obtener detalles internos de los servicios del objetivo utilizando sus respectivos protocolos.</t>
  </si>
  <si>
    <t>EJECUCIÓN</t>
  </si>
  <si>
    <t>Capturar información</t>
  </si>
  <si>
    <t>El responsable busca obtener información confidencial sobre la infraestructura de red y los servicios mediante técnicas que interactúan directamente con la plataforma. Se debe contar con autorización para escuchar el tráfico y envenenar los switchs.</t>
  </si>
  <si>
    <t>Explotar vulnerabilidades</t>
  </si>
  <si>
    <t>El responsable aprovecha mediante exploits las vulnerabilidades remotas identificadas anteriormente, para ayudar a eliminar falsos positivos provenientes de la identificación de vulnerabilidades.</t>
  </si>
  <si>
    <t>Escalar privilegios</t>
  </si>
  <si>
    <t>El responsable aprovecha mediante exploits las vulnerabilidades locales identificadas, para escalar privilegios dentro de una máquina previamente comprometida.</t>
  </si>
  <si>
    <t>Secuestrar sesiones</t>
  </si>
  <si>
    <t>El responsable utiliza información obtenida durante las actividades anteriores para secuestrar sesiones de diferentes tipos de protocolos.</t>
  </si>
  <si>
    <t>Adivinar claves</t>
  </si>
  <si>
    <t>El responsable selecciona diccionarios acordes al contexto de negocio de la organización para adivinar contraseñas débiles.</t>
  </si>
  <si>
    <t>Violar controles</t>
  </si>
  <si>
    <t>El responsable violará los controles de acceso hacia Internet existentes.</t>
  </si>
  <si>
    <t>Abusar de los servicios</t>
  </si>
  <si>
    <t>El responsable abusará de los servicios disponibles a todos los usuarios para obtener un beneficio individual (como puede ser SPAM, SPIT u otro).</t>
  </si>
  <si>
    <t>Denegar servicios</t>
  </si>
  <si>
    <t>El responsable denegará los servicios de red.</t>
  </si>
  <si>
    <t>Romper contraseñas</t>
  </si>
  <si>
    <t>El responsable utilizará las bases de datos de contraseñas obtenidas en etapas anteriores, para posteriormente proceder a adivinarlas y escalar privilegios</t>
  </si>
  <si>
    <t>Mantener acceso</t>
  </si>
  <si>
    <t>Fase en la que el atacante intenta retener su propiedad del sistema. Ya se ha comprometido el sistema y es posible realizar hardening del sistema para prevenir que otro atacante tenga acceso al sistema y asegurar su exclusividad. Se debe autorizar, aplica cuando se desea verificar los sistemas de reacción.</t>
  </si>
  <si>
    <t>Borrar huellas</t>
  </si>
  <si>
    <t>Fase en la que el atacante realiza actividades para esconder sus fechorías. Esto con el fin de prolongar su estadía en el sistema, continuar con sus acciones hostiles y evadir acciones legales. Todo ello utilizando técnicas como steganography y alteración de bitácoras del sistema. Aplica cuando se mantiene el acceso.</t>
  </si>
  <si>
    <t>Notificar vulnerabilidades críticas</t>
  </si>
  <si>
    <t>El responsable enviará al contacto del cliente, a través de correo electrónico y con notificación telefónica, los registros preliminares de las vulnerabilidades críticas encontradas en las actividades anteriores.</t>
  </si>
  <si>
    <t>Relacionar soluciones</t>
  </si>
  <si>
    <t>El responsable relacionará las soluciones de la base de datos de conocimiento de la organización que permiten resolver las vulnerabilidades detectadas</t>
  </si>
  <si>
    <t>Construir informe técnico</t>
  </si>
  <si>
    <t>Informe detallado en donde se explican cada una de las vulnerabilidades encontradas, se clasifican, se priorizan y se les da una caracterización.</t>
  </si>
  <si>
    <t>Construir informe ejecutivo</t>
  </si>
  <si>
    <t>Informe general del riesgo en el que se encuentra la organización.</t>
  </si>
  <si>
    <t>VERIFICACIÓN</t>
  </si>
  <si>
    <t>Documentar situaciones</t>
  </si>
  <si>
    <t>El responsable debe documentar solo aquellas soluciones que se hayan confirmado como vulnerabilidades o aquellos aspectos que no son vulnerabilidades pero son de trascendencia para la calidad del TOE</t>
  </si>
  <si>
    <t>Seleccionar o documentar soluciones</t>
  </si>
  <si>
    <t>El responsable debe determinar para cada situación encontrada una solución concreta que permita dar por cerrada la situación. Esta solución puede ser seleccionada de la base de datos de conocimiento, o si por el contrario no se encuentra documentada, proceder a realizarlo</t>
  </si>
  <si>
    <t>Redactar informes</t>
  </si>
  <si>
    <t>El responsable debe considerando la información identificada hasta el momento, realizar: 
1. Informe técnico, 
2. Informe ejecutivo, 
3. Relacionar en ambos informes la suma de verificación del ZIP que contiene la evidencia de la inspección.</t>
  </si>
  <si>
    <t>Actualizar estadísticas</t>
  </si>
  <si>
    <t>El responsable debe actualizar el archivo de estadísticas para alimentar la base de datos de conocimiento (Maestro de datos).</t>
  </si>
  <si>
    <t>Verificar</t>
  </si>
  <si>
    <t>El responsable debe realizar una verificación de los informes, situaciones y soluciones con una cobertura del 100% y realizar una medición de adherencia al método.</t>
  </si>
  <si>
    <t>Repetir procedimiento de explotación</t>
  </si>
  <si>
    <t>Se repite el procedimiento de explotación de las vulnerabilidades (si el servicio ha sido parametrizado con retest).</t>
  </si>
  <si>
    <t>AJUSTES</t>
  </si>
  <si>
    <t>Ajustar entregables</t>
  </si>
  <si>
    <t>El responsable debe evaluar las observaciones reportadas e implementar las soluciones de aquellas que son consideradas aplicables. Finalmente solicita el cierre de las observaciones al ingeniero que realiza la revisión</t>
  </si>
  <si>
    <t>Cerrar observaciones</t>
  </si>
  <si>
    <t>El responsable debe verificar que las observaciones estén implementadas, cerrando las observaciones o eliminando aquellas que no fueron consideradas pertinentes</t>
  </si>
  <si>
    <t>Sí aplica</t>
  </si>
  <si>
    <t>No autorizada</t>
  </si>
  <si>
    <t>Sí realizada</t>
  </si>
  <si>
    <t xml:space="preserve">Actividades del servicio de Pruebas de Seguridad de Aplicación
</t>
  </si>
  <si>
    <t>Recolección de información</t>
  </si>
  <si>
    <t>Busca concentrar la mayor cantidad de información posible acerca de la aplicación a atacar. En su mayoría, información de la tecnología que soporta la aplicación y que revela sus principales vulnerabilidades. En esta fase se conoce el contexto de la aplicación y se planifican las pruebas concernientes a los siguientes pasos. En esta etapa se usan técnicas como Google hacking y consultas al NIC.</t>
  </si>
  <si>
    <t>Pruebas de autenticación</t>
  </si>
  <si>
    <t>Buscan obtener el control de acceso incorrecto a la aplicación por medio de métodos como brute force, bypassing authentication schema, directory traversal, vulnerable remember password y logout and Browser Cache Management. Todo esto utilizando herramientas especificadas en la sección de recursos.</t>
  </si>
  <si>
    <t>Pruebas de sesión</t>
  </si>
  <si>
    <t>Tienen como principal objetivo obtener acceso a la aplicación por medio de sesiones activas y vulnerables. Aquí las principales tareas son la explotación de vulnerabilidades por medio de manipulación de cookies y variables de sesión expuestas, utilizando técnicas como Cross Site Request Forgery (CSRF) y HTTP exploits.</t>
  </si>
  <si>
    <t>Validación de entrada de datos</t>
  </si>
  <si>
    <t>Se buscan vulnerabilidades relacionadas con la validación inapropiada de entrada de datos en la aplicación. Es el tipo de vulnerabilidad más común en las aplicaciones web actuales. Se usan métodos como cross-site scripting (XSS), HTTP Methods, XST, SQL injection, LDAP injection, ORM injection, SSI injection, XPath injection, IMAP/SMTP injection, code injection, OS commanding, buffer overflow testing e incubated vulnerability testing.</t>
  </si>
  <si>
    <t>Pruebas de denegación de servicio</t>
  </si>
  <si>
    <t>Las pruebas de denegación de servicio (DoS, denial of service) buscan, como su nombre lo dice, causar una falla en la disponibilidad del servicio y evitar el reinicio del mismo. En este punto se utilizan técnicas comunes como Desbordamiento de buffer, obtención de cuentas de usuario, entradas de usuario infinitas, entre otras.</t>
  </si>
  <si>
    <t>Pruebas de tecnología</t>
  </si>
  <si>
    <t>Pretenden atacar la tecnología residente. Es aquí donde se explotan vulnerabilidades relacionadas con las tecnologías más comunes como Ajax y Web Services. Algunas de las vulnerabilidades más comunes de este tipo se relacionan con el análisis de XML y la validación de entrada de datos (XSS, SQL injection).</t>
  </si>
  <si>
    <t xml:space="preserve">Actividades del servicio de Análisis de Código Fuente
</t>
  </si>
  <si>
    <t xml:space="preserve">Priorizar o seleccionar código </t>
  </si>
  <si>
    <t>El responsable debe priorizar o seleccionar el código del TOE que será sometido a análisis.</t>
  </si>
  <si>
    <t>Seleccionar herramientas</t>
  </si>
  <si>
    <t>El responsable debe seleccionar las herramientas que ayudarán a la realización del análisis respectivo</t>
  </si>
  <si>
    <t xml:space="preserve">Integrar el entorno </t>
  </si>
  <si>
    <t>El responsable debe integrar el código fuente a las herramientas seleccionadas para el análisis</t>
  </si>
  <si>
    <t>Analizar estáticamente</t>
  </si>
  <si>
    <t>El responsable debe ejecutar el análisis estático del código sujeto a análisis</t>
  </si>
  <si>
    <t>Compilar estrictamente</t>
  </si>
  <si>
    <t>El responsable puede intentar una compilación en modo estricto del programa</t>
  </si>
  <si>
    <t xml:space="preserve">Identificar entradas </t>
  </si>
  <si>
    <t>El responsable debe identificar las entrada de información al software</t>
  </si>
  <si>
    <t>Seguir ejecución</t>
  </si>
  <si>
    <t>El responsable debe analizar para cada entrada identificada anteriormente, el flujo de ejecución a lo largo del código bajo análisis</t>
  </si>
  <si>
    <t>Verificar controles de entrada</t>
  </si>
  <si>
    <t>El responsable debe verificar para cada entrada identificada que esta se valide apropiadamente</t>
  </si>
  <si>
    <t>Identificar uso de funciones inseguras</t>
  </si>
  <si>
    <t>El responsable debe determinar las funciones inseguras que están siendo utilizadas</t>
  </si>
  <si>
    <t>Analizar gestión de excepciones</t>
  </si>
  <si>
    <t>El responsable debe analizar las porciones de código responsables del tratamiento de las situaciones excepcionales</t>
  </si>
  <si>
    <t xml:space="preserve">Analizar gestión de bitácoras </t>
  </si>
  <si>
    <t>El responsable debe analizar las porciones de código encargadas de la gestión de bitácoras</t>
  </si>
  <si>
    <t>Analizar gestión de información</t>
  </si>
  <si>
    <t>El responsable debe analizar las porciones de código y el tratamiento dado a la información confidencial de entrada a la aplicación</t>
  </si>
  <si>
    <t>Identificar algoritmos ineficientes</t>
  </si>
  <si>
    <t>El responsable debe determinar aquellas porciones de código que representan potenciales denegaciones de servicio al tratar cantidades excesivas de datos</t>
  </si>
  <si>
    <t xml:space="preserve">Analizar código de gestión de memoria </t>
  </si>
  <si>
    <t>El responsable debe determinar las porciones de código en las cuales la memoria requiere gestión especial o por el contrario no debe gestionarse explícitamente</t>
  </si>
  <si>
    <t xml:space="preserve">Analizar código de gestión de archivos </t>
  </si>
  <si>
    <t xml:space="preserve">El responsable debe analizar las porciones de código responsables de la apertura, uso y cierre de archivos almacenados en el sistema operativo. </t>
  </si>
  <si>
    <t xml:space="preserve">Analizar código de gestión de aleatorios </t>
  </si>
  <si>
    <t>El responsable debe determinar aquellas porciones de código donde se generan números aleatorios</t>
  </si>
  <si>
    <t>Analizar código criptográfico</t>
  </si>
  <si>
    <t>El responsable debe analizar las porciones de código responsables de la gestión criptográfica dentro de la aplicación seleccionada</t>
  </si>
  <si>
    <t>Analizar condiciones de carrera o competencia</t>
  </si>
  <si>
    <t>El responsable debe analizar las porciones de código relacionadas con secciones críticas, recursos compartidos e hilos</t>
  </si>
  <si>
    <t xml:space="preserve">Analizar código de interacción con sistema operativo </t>
  </si>
  <si>
    <t>El responsable debe identificar las porciones de código en las cuales se interactúa con el sistema operativo</t>
  </si>
  <si>
    <t>Analizar código de asignación temporal de privilegios</t>
  </si>
  <si>
    <t>El responsable debe determinar aquellas porciones de código que de forma automática realizan promoción y degradación de privilegios</t>
  </si>
  <si>
    <t>Analizar código malicioso</t>
  </si>
  <si>
    <t>El responsable debe encontrar en el código bajo análisis aquellas porciones de código que puedan potencialmente realizar acciones maliciosas.</t>
  </si>
  <si>
    <t>Determinar seguridad de dependencias</t>
  </si>
  <si>
    <t xml:space="preserve">El responsable debe determinar las versiones que se están usando de las bibliotecas o dependencias en general que afectan al código seleccionado. </t>
  </si>
  <si>
    <t>Maestro de Datos</t>
  </si>
  <si>
    <t>Asentar los registros tipo situación en el maestro de datos</t>
  </si>
  <si>
    <t>Línea de negocio</t>
  </si>
  <si>
    <t>Dominio</t>
  </si>
  <si>
    <t>Subdominio</t>
  </si>
  <si>
    <t>Tipo de prueba</t>
  </si>
  <si>
    <t>Gerencia responsable</t>
  </si>
  <si>
    <t>Detectado en ciclo</t>
  </si>
  <si>
    <t>Escenario</t>
  </si>
  <si>
    <t>Ámbito</t>
  </si>
  <si>
    <t>Categorias Bancolombia</t>
  </si>
  <si>
    <t>Tipo de reporte</t>
  </si>
  <si>
    <t>Severidad</t>
  </si>
  <si>
    <t>Naturaleza</t>
  </si>
  <si>
    <t>Mes</t>
  </si>
  <si>
    <t>Responsable en PE</t>
  </si>
  <si>
    <t>Fábrica</t>
  </si>
  <si>
    <t>Banca Inversión</t>
  </si>
  <si>
    <t>Aplicaciones Corporativas</t>
  </si>
  <si>
    <t>A distancia</t>
  </si>
  <si>
    <t>Aplicación</t>
  </si>
  <si>
    <t>Gcia Dllo Canales</t>
  </si>
  <si>
    <t>Búsqueda</t>
  </si>
  <si>
    <t>Anonimo desde Internet</t>
  </si>
  <si>
    <t>Actualizar y configurar las líneas base de seguridad de los componentes</t>
  </si>
  <si>
    <t>Error</t>
  </si>
  <si>
    <t>25% Difícil de vulnerar</t>
  </si>
  <si>
    <t>Abierta</t>
  </si>
  <si>
    <t>Enero</t>
  </si>
  <si>
    <t>ABITS</t>
  </si>
  <si>
    <t>DVGONZA</t>
  </si>
  <si>
    <t>Fluid</t>
  </si>
  <si>
    <t>Integración y BPM</t>
  </si>
  <si>
    <t>Analítica y Minería</t>
  </si>
  <si>
    <t>Código Fuente</t>
  </si>
  <si>
    <t>Gcia Dllo Aplicaciones Corp</t>
  </si>
  <si>
    <t>Cierre 1</t>
  </si>
  <si>
    <t>Anonimo desde Intranet</t>
  </si>
  <si>
    <t>Bases de Datos</t>
  </si>
  <si>
    <t>Definir el modelo de autorización considerando el principio de mínimo privilegio</t>
  </si>
  <si>
    <t>50% Posible de vulnerar</t>
  </si>
  <si>
    <t>Corregida</t>
  </si>
  <si>
    <t>Conocimiento</t>
  </si>
  <si>
    <t>Febrero</t>
  </si>
  <si>
    <t>ACCENTURE</t>
  </si>
  <si>
    <t>FHIDALGO</t>
  </si>
  <si>
    <t>Factoring</t>
  </si>
  <si>
    <t>Mercado de Capitales</t>
  </si>
  <si>
    <t>Aplicaciones TI</t>
  </si>
  <si>
    <t>Escaneo (Infraestructura)</t>
  </si>
  <si>
    <t>Gcia Dllo de Clientes y ERP</t>
  </si>
  <si>
    <t>Cierre 2</t>
  </si>
  <si>
    <t>Escaneo de Infraestructura</t>
  </si>
  <si>
    <t>Desempeño</t>
  </si>
  <si>
    <t>Sugerencia</t>
  </si>
  <si>
    <t>75% Fácil de vulnerar</t>
  </si>
  <si>
    <t>Entregada a Metricas</t>
  </si>
  <si>
    <t>Marzo</t>
  </si>
  <si>
    <t>ACCENTURE - SOFTWARE</t>
  </si>
  <si>
    <t>EJMARIN</t>
  </si>
  <si>
    <t>Fiduciaria</t>
  </si>
  <si>
    <t>Negocios del activo</t>
  </si>
  <si>
    <t>Banca Electrónica</t>
  </si>
  <si>
    <t>Evidencia de Seguridad</t>
  </si>
  <si>
    <t>Gcia Dllo Medios de Pago</t>
  </si>
  <si>
    <t>Cierre 3</t>
  </si>
  <si>
    <t>Eventualidad</t>
  </si>
  <si>
    <t>Infraestructura</t>
  </si>
  <si>
    <t>100% Vulnerado Anteriormente</t>
  </si>
  <si>
    <t>ERO</t>
  </si>
  <si>
    <t>Desarrollo</t>
  </si>
  <si>
    <t>Abril</t>
  </si>
  <si>
    <t>ACCION FIDUCIARIA</t>
  </si>
  <si>
    <t>WAOSPINA</t>
  </si>
  <si>
    <t>Leasing</t>
  </si>
  <si>
    <t>Canales CORE</t>
  </si>
  <si>
    <t>Gcia Dllo Mercado de Capitales</t>
  </si>
  <si>
    <t>Cierre 4</t>
  </si>
  <si>
    <t>Extranet asuario no autorizado</t>
  </si>
  <si>
    <t>Protección de Servicios de Integración</t>
  </si>
  <si>
    <t>Evitar exponer la información técnica de la aplicación, servidores y plataformas</t>
  </si>
  <si>
    <t>Mayo</t>
  </si>
  <si>
    <t>ALCUADRADO</t>
  </si>
  <si>
    <t>JUCAROSS</t>
  </si>
  <si>
    <t>MIami</t>
  </si>
  <si>
    <t>Negocios del pasivo y especializados</t>
  </si>
  <si>
    <t>Cartera Comercial y de Consumo</t>
  </si>
  <si>
    <t>Gcia Dllo Negocio del Activo</t>
  </si>
  <si>
    <t>Extranet usuario autorizado</t>
  </si>
  <si>
    <t>Excluir datos sensibles del código fuente y del registro de eventos</t>
  </si>
  <si>
    <t>Observación</t>
  </si>
  <si>
    <t>Documentación</t>
  </si>
  <si>
    <t>Junio</t>
  </si>
  <si>
    <t>ALFA GL</t>
  </si>
  <si>
    <t>JUCUARTA</t>
  </si>
  <si>
    <t>Panamá</t>
  </si>
  <si>
    <t>Canales</t>
  </si>
  <si>
    <t>Clientes CRM</t>
  </si>
  <si>
    <t>Gcia Dllo Negocios del pasivo</t>
  </si>
  <si>
    <t>Internet usuario autorizado</t>
  </si>
  <si>
    <t>Fortalecer controles en autenticación y manejo de sesión</t>
  </si>
  <si>
    <t>Ejecución</t>
  </si>
  <si>
    <t>Julio</t>
  </si>
  <si>
    <t>ALLIANCE ENTERPRISE</t>
  </si>
  <si>
    <t>LUEOSPIN</t>
  </si>
  <si>
    <t>Puerto Rico</t>
  </si>
  <si>
    <t>Servicios de Información</t>
  </si>
  <si>
    <t>Clientes Legados</t>
  </si>
  <si>
    <t>Gcia Dllo Servicios de Información</t>
  </si>
  <si>
    <t>Internet usuario no autorizado</t>
  </si>
  <si>
    <t>Fortalecer controles en el procesamiento de archivos</t>
  </si>
  <si>
    <t>Hardware</t>
  </si>
  <si>
    <t>Agosto</t>
  </si>
  <si>
    <t>AMAZING GLOBAL TECNOLOGIES</t>
  </si>
  <si>
    <t>DJCATANO</t>
  </si>
  <si>
    <t>Sufi</t>
  </si>
  <si>
    <t>Medios de Pago</t>
  </si>
  <si>
    <t>Comercio Exterior</t>
  </si>
  <si>
    <t>Gcia Dllo de Integración BPM</t>
  </si>
  <si>
    <t>Intranet usuario autorizado</t>
  </si>
  <si>
    <t>Fortalecer la protección de datos almacenados relacionados con contraseñas o llaves criptográficas</t>
  </si>
  <si>
    <t>Instalación</t>
  </si>
  <si>
    <t>Septiembre</t>
  </si>
  <si>
    <t>APLICACIONES LTDA</t>
  </si>
  <si>
    <t>Valores Bancolombia</t>
  </si>
  <si>
    <t>Corretaje y APT</t>
  </si>
  <si>
    <t>Gcia Base de Datos</t>
  </si>
  <si>
    <t>Intranet usuario no autorizado</t>
  </si>
  <si>
    <t>Implementar controles para validar datos de entrada</t>
  </si>
  <si>
    <t>Octubre</t>
  </si>
  <si>
    <t>ASISA LTDA</t>
  </si>
  <si>
    <t>Clientes y ERP</t>
  </si>
  <si>
    <t>Credito Hipotecario</t>
  </si>
  <si>
    <t>Gcia de Plataformas Centrales</t>
  </si>
  <si>
    <t>Parametrización</t>
  </si>
  <si>
    <t>Noviembre</t>
  </si>
  <si>
    <t>ASNET - AS/NET</t>
  </si>
  <si>
    <t>Integración e Informacion</t>
  </si>
  <si>
    <t>Datos Maestros y Operacionales</t>
  </si>
  <si>
    <t>Gcia de Plataformas Distribuidas</t>
  </si>
  <si>
    <t>Registrar eventos para trazabilidad y auditoría</t>
  </si>
  <si>
    <t>Performance</t>
  </si>
  <si>
    <t>Diciembre</t>
  </si>
  <si>
    <t>ASOBANCARIA</t>
  </si>
  <si>
    <t>Gcia de Telecomunicaciones</t>
  </si>
  <si>
    <t>Utilizar protocolos de comunicación seguros</t>
  </si>
  <si>
    <t>ASSENDA</t>
  </si>
  <si>
    <t>Filiales del Exterior</t>
  </si>
  <si>
    <t>Gcia de Diseño e Implementacion</t>
  </si>
  <si>
    <t>Validar la integridad de las transacciones en peticiones HTTP</t>
  </si>
  <si>
    <t>Seguridad</t>
  </si>
  <si>
    <t>ASSIS</t>
  </si>
  <si>
    <t>Financiero y Contabilidad</t>
  </si>
  <si>
    <t>Software</t>
  </si>
  <si>
    <t>AUDIT SOFTWARE</t>
  </si>
  <si>
    <t>Físicos</t>
  </si>
  <si>
    <t>AVANSOFT</t>
  </si>
  <si>
    <t>Herramienta de Integración</t>
  </si>
  <si>
    <t>BANCOLOMBIA</t>
  </si>
  <si>
    <t>Herramientas de Colaboración</t>
  </si>
  <si>
    <t>BANCOLOMBIA - ARQUITECTURA</t>
  </si>
  <si>
    <t>BANCOLOBMIA - CERTIFICACION</t>
  </si>
  <si>
    <t>Internet</t>
  </si>
  <si>
    <t>BANCOLOMBIA - DESARROLLO</t>
  </si>
  <si>
    <t>BANCOLOMBIA - GESTION DEL DESARROLLO PARA EL NEGOCIO</t>
  </si>
  <si>
    <t>MIT</t>
  </si>
  <si>
    <t>BANCOLOMBIA - INFRAESTRUCTURA</t>
  </si>
  <si>
    <t>Negocios Fiduciarios y Fondos de Inversión</t>
  </si>
  <si>
    <t>BANKVISION</t>
  </si>
  <si>
    <t>Pasivos</t>
  </si>
  <si>
    <t>BPR ASOCIADOS</t>
  </si>
  <si>
    <t>Pic y Crédito Hipotecario</t>
  </si>
  <si>
    <t>CA SOFTWARE DE COLOMBIA</t>
  </si>
  <si>
    <t>Riesgos</t>
  </si>
  <si>
    <t>CADENA</t>
  </si>
  <si>
    <t>CERTIFICACION</t>
  </si>
  <si>
    <t>Servicios Administrativos y Gestión Humana</t>
  </si>
  <si>
    <t>CHOUCAIR TESTING</t>
  </si>
  <si>
    <t>Servicios de Canales</t>
  </si>
  <si>
    <t>CM.COM E.U</t>
  </si>
  <si>
    <t>Servicios Integración</t>
  </si>
  <si>
    <t>COMPONENTES ELECTRONICAS LTDA</t>
  </si>
  <si>
    <t>SUFI</t>
  </si>
  <si>
    <t>COMPUHORAS S.A.S</t>
  </si>
  <si>
    <t>Tarjeta de Crédito</t>
  </si>
  <si>
    <t>CYBERTECH COLOMBIA</t>
  </si>
  <si>
    <t>Tarjeta de Débito</t>
  </si>
  <si>
    <t>DATAPRO</t>
  </si>
  <si>
    <t>Tesorería</t>
  </si>
  <si>
    <t>DELOITTE</t>
  </si>
  <si>
    <t>Transversales de SAP</t>
  </si>
  <si>
    <t>DIEBOLD</t>
  </si>
  <si>
    <t>Visualización y Entrega</t>
  </si>
  <si>
    <t>DIGIDATA DE COLOMBIA LTDA</t>
  </si>
  <si>
    <t>E-DEAS</t>
  </si>
  <si>
    <t>ENLACE OPERATIVO</t>
  </si>
  <si>
    <t>EXCELEC</t>
  </si>
  <si>
    <t>FARBIARZ Y ALVAREZ S.A.</t>
  </si>
  <si>
    <t>FINAC</t>
  </si>
  <si>
    <t>FISERV</t>
  </si>
  <si>
    <t>GESTOR INC SA</t>
  </si>
  <si>
    <t>HEINSOHN</t>
  </si>
  <si>
    <t>HEWLETT PACKARD COLOMBIA</t>
  </si>
  <si>
    <t>Honeywell</t>
  </si>
  <si>
    <t>IAS</t>
  </si>
  <si>
    <t>IBM</t>
  </si>
  <si>
    <t>IG SOFTWARE HOUSE S.A.</t>
  </si>
  <si>
    <t>IG WEBSERVICES S.A.</t>
  </si>
  <si>
    <t>INALTEC</t>
  </si>
  <si>
    <t>INFORMACION GERENCIAL</t>
  </si>
  <si>
    <t>INFORMESE LTDA</t>
  </si>
  <si>
    <t>INTENT</t>
  </si>
  <si>
    <t>INTERGRUPO</t>
  </si>
  <si>
    <t>INVAMER</t>
  </si>
  <si>
    <t>ITIS SUPPORT</t>
  </si>
  <si>
    <t>LASC</t>
  </si>
  <si>
    <t>MAKRO POINT</t>
  </si>
  <si>
    <t>MCKINSEY</t>
  </si>
  <si>
    <t>NASE LTDA</t>
  </si>
  <si>
    <t>NCR COLOMBIA LTDA</t>
  </si>
  <si>
    <t>NEXOS</t>
  </si>
  <si>
    <t>OCEAN SYSTEMS</t>
  </si>
  <si>
    <t>OCEANOS AZULES</t>
  </si>
  <si>
    <t>OPENCARD</t>
  </si>
  <si>
    <t>ORACLE</t>
  </si>
  <si>
    <t>PARADIGMA LTDA</t>
  </si>
  <si>
    <t>PARADIGMA SOLUTION</t>
  </si>
  <si>
    <t>PERCEPTIO</t>
  </si>
  <si>
    <t>PERSONAL SOFT</t>
  </si>
  <si>
    <t>PRAGMA</t>
  </si>
  <si>
    <t>PREDISOFT</t>
  </si>
  <si>
    <t>PROCALIDAD LTDA</t>
  </si>
  <si>
    <t>PROCIBERNETICA</t>
  </si>
  <si>
    <t>PSL</t>
  </si>
  <si>
    <t>PTESA</t>
  </si>
  <si>
    <t>SAS</t>
  </si>
  <si>
    <t>SASIF LTDA</t>
  </si>
  <si>
    <t>SERVINFORMACION</t>
  </si>
  <si>
    <t>SISTEMAS CORPORATIVOS S.A.</t>
  </si>
  <si>
    <t>SISTEMAS GYG LTDA</t>
  </si>
  <si>
    <t>SMARTSTREAM</t>
  </si>
  <si>
    <t>SOLATI</t>
  </si>
  <si>
    <t>SQA</t>
  </si>
  <si>
    <t>S-SQUARE</t>
  </si>
  <si>
    <t>TCS - SOFTWARE</t>
  </si>
  <si>
    <t>TCS SOLUTION CENTER</t>
  </si>
  <si>
    <t>THE ENIAC CORPORATION</t>
  </si>
  <si>
    <t>TLM</t>
  </si>
  <si>
    <t>TODO 1 COLOMBIA S.A.</t>
  </si>
  <si>
    <t>TODO 1 SERVICES INC</t>
  </si>
  <si>
    <t>VERTICE</t>
  </si>
  <si>
    <t>VISION SOFTWARE</t>
  </si>
  <si>
    <t>WEBSYS</t>
  </si>
  <si>
    <t>WM WIRELESS MOBILE LTDA</t>
  </si>
  <si>
    <t>No obligatorio</t>
  </si>
  <si>
    <t>Formula</t>
  </si>
  <si>
    <t>Manual</t>
  </si>
  <si>
    <t>Fijo</t>
  </si>
  <si>
    <t>Código de prueba</t>
  </si>
  <si>
    <t>Dominio principal</t>
  </si>
  <si>
    <t>Componente/Aplicativo</t>
  </si>
  <si>
    <t>Gerencia Responsable (correspondiente al componente afectado)</t>
  </si>
  <si>
    <t>ID Requisitos</t>
  </si>
  <si>
    <t>Descripción de requisitos</t>
  </si>
  <si>
    <t>Fábrica de testing</t>
  </si>
  <si>
    <t>Detectado Por</t>
  </si>
  <si>
    <t>Descripción de la Vulnerabilidad para Bancolombia</t>
  </si>
  <si>
    <t>Categoría principal de la vulnerabilidad para Bancolombia</t>
  </si>
  <si>
    <t xml:space="preserve">Amenaza para Bancolombia
</t>
  </si>
  <si>
    <t xml:space="preserve">Naturaleza </t>
  </si>
  <si>
    <t>Criticidad CVSSV2</t>
  </si>
  <si>
    <t>Valoración de la vulnerabilidad según CVSSV2</t>
  </si>
  <si>
    <t xml:space="preserve">Probabilidad - criticidad de la Vulnerabilidad en Bancolombia </t>
  </si>
  <si>
    <t>Nivel del Riesgo</t>
  </si>
  <si>
    <t>Valoración Riesgo</t>
  </si>
  <si>
    <t>Descripción del riesgo</t>
  </si>
  <si>
    <t xml:space="preserve">Proveedor Responsable </t>
  </si>
  <si>
    <t>Asignado a</t>
  </si>
  <si>
    <t>Fecha forma ETC</t>
  </si>
  <si>
    <t>Comentarios</t>
  </si>
  <si>
    <t>Mes de identificación</t>
  </si>
  <si>
    <t>Fecha de identificación</t>
  </si>
  <si>
    <t>Fecha de cierre, de asumida o de entregada a Métricas</t>
  </si>
  <si>
    <t>Fechas de informe de cierre por Métricas</t>
  </si>
  <si>
    <t>Ruta en QC</t>
  </si>
  <si>
    <t>0261</t>
  </si>
  <si>
    <t>jescobar@fluid.la</t>
  </si>
  <si>
    <t>3</t>
  </si>
  <si>
    <t>&lt;Fecha de entrega de informes&gt;</t>
  </si>
  <si>
    <t>0055</t>
  </si>
  <si>
    <t>Excluir datos sensibles del código fuente y registro de eventos</t>
  </si>
</sst>
</file>

<file path=xl/styles.xml><?xml version="1.0" encoding="utf-8"?>
<styleSheet xmlns="http://schemas.openxmlformats.org/spreadsheetml/2006/main">
  <numFmts count="5">
    <numFmt formatCode="General" numFmtId="164"/>
    <numFmt formatCode="M/D/YYYY\ H:MM:SS" numFmtId="165"/>
    <numFmt formatCode="0.00%" numFmtId="166"/>
    <numFmt formatCode="#,##0.###############" numFmtId="167"/>
    <numFmt formatCode="#,##0.0" numFmtId="168"/>
  </numFmts>
  <fonts count="30">
    <font>
      <name val="Arial"/>
      <charset val="1"/>
      <family val="2"/>
      <color rgb="FF000000"/>
      <sz val="10"/>
    </font>
    <font>
      <name val="Arial"/>
      <family val="0"/>
      <sz val="10"/>
    </font>
    <font>
      <name val="Arial"/>
      <family val="0"/>
      <sz val="10"/>
    </font>
    <font>
      <name val="Arial"/>
      <family val="0"/>
      <sz val="10"/>
    </font>
    <font>
      <name val="Cambria"/>
      <charset val="1"/>
      <family val="1"/>
      <b val="1"/>
      <sz val="14"/>
    </font>
    <font>
      <name val="Cambria"/>
      <charset val="1"/>
      <family val="1"/>
      <b val="1"/>
      <i val="1"/>
      <sz val="10"/>
    </font>
    <font>
      <name val="Cambria"/>
      <charset val="1"/>
      <family val="1"/>
      <sz val="11"/>
    </font>
    <font>
      <name val="Cambria"/>
      <charset val="1"/>
      <family val="1"/>
      <b val="1"/>
      <sz val="10"/>
    </font>
    <font>
      <name val="Cambria"/>
      <charset val="1"/>
      <family val="1"/>
      <b val="1"/>
      <sz val="18"/>
    </font>
    <font>
      <name val="Arial"/>
      <charset val="1"/>
      <family val="2"/>
      <b val="1"/>
      <sz val="14"/>
    </font>
    <font>
      <name val="Arial"/>
      <charset val="1"/>
      <family val="2"/>
      <sz val="11"/>
    </font>
    <font>
      <name val="Arial"/>
      <charset val="1"/>
      <family val="2"/>
      <b val="1"/>
      <sz val="11"/>
    </font>
    <font>
      <name val="Cambria"/>
      <charset val="1"/>
      <family val="1"/>
      <sz val="11"/>
      <u val="single"/>
    </font>
    <font>
      <name val="Cambria"/>
      <charset val="1"/>
      <family val="1"/>
      <color rgb="FF000000"/>
      <sz val="10"/>
    </font>
    <font>
      <name val="Cambria"/>
      <charset val="1"/>
      <family val="1"/>
      <color rgb="FFFFFFFF"/>
      <sz val="10"/>
    </font>
    <font>
      <name val="Cambria"/>
      <charset val="1"/>
      <family val="1"/>
      <color rgb="FF0000FF"/>
      <sz val="11"/>
      <u val="single"/>
    </font>
    <font>
      <name val="Arial"/>
      <family val="2"/>
      <color rgb="FF222222"/>
      <sz val="1"/>
    </font>
    <font>
      <name val="Arial"/>
      <family val="2"/>
      <sz val="10"/>
    </font>
    <font>
      <name val="Cambria"/>
      <charset val="1"/>
      <family val="1"/>
      <sz val="6"/>
    </font>
    <font>
      <name val="Cambria"/>
      <charset val="1"/>
      <family val="1"/>
      <sz val="10"/>
    </font>
    <font>
      <name val="Cambria"/>
      <charset val="1"/>
      <family val="1"/>
      <b val="1"/>
      <color rgb="FFFFFFFF"/>
      <sz val="18"/>
    </font>
    <font>
      <name val="Cambria"/>
      <charset val="1"/>
      <family val="1"/>
      <sz val="14"/>
    </font>
    <font>
      <name val="Cambria"/>
      <charset val="1"/>
      <family val="1"/>
      <sz val="8"/>
    </font>
    <font>
      <name val="Cambria"/>
      <charset val="1"/>
      <family val="1"/>
      <color rgb="FF000000"/>
      <sz val="6"/>
    </font>
    <font>
      <name val="Cambria"/>
      <charset val="1"/>
      <family val="1"/>
      <b val="1"/>
      <sz val="8"/>
    </font>
    <font>
      <name val="Arial"/>
      <family val="2"/>
      <color rgb="FF222222"/>
      <sz val="10"/>
    </font>
    <font>
      <name val="Arial"/>
      <family val="2"/>
      <b val="1"/>
      <color rgb="FF000000"/>
      <sz val="10"/>
    </font>
    <font>
      <name val="Arial"/>
      <family val="2"/>
      <color rgb="FF000000"/>
      <sz val="10"/>
    </font>
    <font>
      <name val="Cambria"/>
      <charset val="1"/>
      <family val="1"/>
      <b val="1"/>
      <sz val="11"/>
    </font>
    <font>
      <name val="Cambria"/>
      <charset val="1"/>
      <family val="1"/>
      <i val="1"/>
      <sz val="11"/>
    </font>
  </fonts>
  <fills count="14">
    <fill>
      <patternFill/>
    </fill>
    <fill>
      <patternFill patternType="gray125"/>
    </fill>
    <fill>
      <patternFill patternType="solid">
        <fgColor rgb="FFD9D9D9"/>
        <bgColor rgb="FFCFE2F3"/>
      </patternFill>
    </fill>
    <fill>
      <patternFill patternType="solid">
        <fgColor rgb="FFFFFFFF"/>
        <bgColor rgb="FFF3F3F3"/>
      </patternFill>
    </fill>
    <fill>
      <patternFill patternType="solid">
        <fgColor rgb="FFC0C0C0"/>
        <bgColor rgb="FFB7B7B7"/>
      </patternFill>
    </fill>
    <fill>
      <patternFill patternType="solid">
        <fgColor rgb="FFB7B7B7"/>
        <bgColor rgb="FFC0C0C0"/>
      </patternFill>
    </fill>
    <fill>
      <patternFill patternType="solid">
        <fgColor rgb="FFCCCCCC"/>
        <bgColor rgb="FFC0C0C0"/>
      </patternFill>
    </fill>
    <fill>
      <patternFill patternType="solid">
        <fgColor rgb="FFCFE2F3"/>
        <bgColor rgb="FFD9D9D9"/>
      </patternFill>
    </fill>
    <fill>
      <patternFill patternType="solid">
        <fgColor rgb="FF4A86E8"/>
        <bgColor rgb="FF1C75BC"/>
      </patternFill>
    </fill>
    <fill>
      <patternFill patternType="solid">
        <fgColor rgb="FF00FFFF"/>
        <bgColor rgb="FF00FFFF"/>
      </patternFill>
    </fill>
    <fill>
      <patternFill patternType="solid">
        <fgColor rgb="FF1C75BC"/>
        <bgColor rgb="FF008080"/>
      </patternFill>
    </fill>
    <fill>
      <patternFill patternType="solid">
        <fgColor rgb="FF00FF00"/>
        <bgColor rgb="FF33CCCC"/>
      </patternFill>
    </fill>
    <fill>
      <patternFill patternType="solid">
        <fgColor rgb="FFFF00FF"/>
        <bgColor rgb="FFFF00FF"/>
      </patternFill>
    </fill>
    <fill>
      <patternFill patternType="solid">
        <fgColor rgb="FFFF9900"/>
        <bgColor rgb="FFFFCC00"/>
      </patternFill>
    </fill>
  </fills>
  <borders count="17">
    <border>
      <left/>
      <right/>
      <top/>
      <bottom/>
      <diagonal/>
    </border>
    <border>
      <left style="thin"/>
      <right/>
      <top style="thin"/>
      <bottom style="thin"/>
      <diagonal/>
    </border>
    <border>
      <left/>
      <right/>
      <top style="thin"/>
      <bottom/>
      <diagonal/>
    </border>
    <border>
      <left style="thin"/>
      <right style="thin"/>
      <top style="thin"/>
      <bottom style="thin"/>
      <diagonal/>
    </border>
    <border>
      <left style="thin"/>
      <right style="thin"/>
      <top style="thin"/>
      <bottom/>
      <diagonal/>
    </border>
    <border>
      <left style="thin"/>
      <right style="thin"/>
      <top/>
      <bottom/>
      <diagonal/>
    </border>
    <border>
      <left style="thin"/>
      <right style="thin"/>
      <top/>
      <bottom style="thin"/>
      <diagonal/>
    </border>
    <border>
      <left/>
      <right/>
      <top/>
      <bottom style="thin"/>
      <diagonal/>
    </border>
    <border>
      <left/>
      <right/>
      <top style="thin"/>
      <bottom style="thin"/>
      <diagonal/>
    </border>
    <border>
      <left/>
      <right style="thin"/>
      <top/>
      <bottom style="thin"/>
      <diagonal/>
    </border>
    <border>
      <left/>
      <right style="thin"/>
      <top/>
      <bottom/>
      <diagonal/>
    </border>
    <border>
      <left style="thin"/>
      <right/>
      <top style="thin"/>
      <bottom/>
      <diagonal/>
    </border>
    <border>
      <left/>
      <right style="thin"/>
      <top style="thin"/>
      <bottom/>
      <diagonal/>
    </border>
    <border>
      <left style="thin"/>
      <right/>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D9D9D9"/>
      </left>
      <right style="thin">
        <color rgb="FFD9D9D9"/>
      </right>
      <top/>
      <bottom style="thin">
        <color rgb="FFD9D9D9"/>
      </bottom>
      <diagonal/>
    </border>
  </borders>
  <cellStyleXfs count="6">
    <xf borderId="0" fillId="0" fontId="1" numFmtId="0"/>
    <xf borderId="0" fillId="0" fontId="2" numFmtId="0"/>
    <xf borderId="0" fillId="0" fontId="2" numFmtId="0"/>
    <xf borderId="0" fillId="0" fontId="2" numFmtId="0"/>
    <xf borderId="0" fillId="0" fontId="2" numFmtId="0"/>
    <xf borderId="0" fillId="0" fontId="1" numFmtId="0"/>
  </cellStyleXfs>
  <cellXfs count="135">
    <xf applyAlignment="1" borderId="0" fillId="0" fontId="0" numFmtId="164" pivotButton="0" quotePrefix="0" xfId="0">
      <alignment horizontal="general" vertical="bottom"/>
    </xf>
    <xf applyAlignment="1" borderId="1" fillId="0" fontId="4" numFmtId="164" pivotButton="0" quotePrefix="0" xfId="0">
      <alignment horizontal="general" vertical="bottom" wrapText="1"/>
    </xf>
    <xf applyAlignment="1" borderId="2" fillId="0" fontId="5" numFmtId="164" pivotButton="0" quotePrefix="0" xfId="0">
      <alignment horizontal="general" vertical="bottom"/>
    </xf>
    <xf applyAlignment="1" borderId="0" fillId="0" fontId="6" numFmtId="164" pivotButton="0" quotePrefix="0" xfId="0">
      <alignment horizontal="general" vertical="bottom"/>
    </xf>
    <xf applyAlignment="1" borderId="0" fillId="0" fontId="6" numFmtId="164" pivotButton="0" quotePrefix="0" xfId="0">
      <alignment horizontal="general" vertical="bottom" wrapText="1"/>
    </xf>
    <xf applyAlignment="1" borderId="3" fillId="2" fontId="7" numFmtId="164" pivotButton="0" quotePrefix="0" xfId="0">
      <alignment horizontal="center" vertical="bottom"/>
    </xf>
    <xf applyAlignment="1" borderId="3" fillId="0" fontId="7" numFmtId="164" pivotButton="0" quotePrefix="0" xfId="0">
      <alignment horizontal="general" vertical="bottom"/>
    </xf>
    <xf applyAlignment="1" borderId="3" fillId="0" fontId="6" numFmtId="164" pivotButton="0" quotePrefix="0" xfId="0">
      <alignment horizontal="left" vertical="bottom"/>
    </xf>
    <xf applyAlignment="1" borderId="3" fillId="3" fontId="6" numFmtId="164" pivotButton="0" quotePrefix="0" xfId="0">
      <alignment horizontal="left" vertical="bottom"/>
    </xf>
    <xf applyAlignment="1" borderId="3" fillId="3" fontId="6" numFmtId="165" pivotButton="0" quotePrefix="0" xfId="0">
      <alignment horizontal="left" vertical="bottom"/>
    </xf>
    <xf applyAlignment="1" borderId="3" fillId="0" fontId="7" numFmtId="164" pivotButton="0" quotePrefix="0" xfId="0">
      <alignment horizontal="left" vertical="center"/>
    </xf>
    <xf applyAlignment="1" borderId="4" fillId="0" fontId="6" numFmtId="164" pivotButton="0" quotePrefix="0" xfId="0">
      <alignment horizontal="general" vertical="bottom"/>
    </xf>
    <xf applyAlignment="1" borderId="5" fillId="0" fontId="6" numFmtId="164" pivotButton="0" quotePrefix="0" xfId="0">
      <alignment horizontal="general" vertical="bottom"/>
    </xf>
    <xf applyAlignment="1" borderId="6" fillId="0" fontId="6" numFmtId="164" pivotButton="0" quotePrefix="0" xfId="0">
      <alignment horizontal="general" vertical="bottom"/>
    </xf>
    <xf applyAlignment="1" borderId="7" fillId="0" fontId="4" numFmtId="164" pivotButton="0" quotePrefix="0" xfId="0">
      <alignment horizontal="general" vertical="bottom"/>
    </xf>
    <xf applyAlignment="1" borderId="3" fillId="4" fontId="7" numFmtId="164" pivotButton="0" quotePrefix="0" xfId="0">
      <alignment horizontal="center" vertical="bottom"/>
    </xf>
    <xf applyAlignment="1" borderId="3" fillId="0" fontId="6" numFmtId="164" pivotButton="0" quotePrefix="0" xfId="0">
      <alignment horizontal="general" vertical="bottom"/>
    </xf>
    <xf applyAlignment="1" borderId="7" fillId="0" fontId="8" numFmtId="164" pivotButton="0" quotePrefix="0" xfId="0">
      <alignment horizontal="general" vertical="bottom"/>
    </xf>
    <xf applyAlignment="1" borderId="3" fillId="0" fontId="6" numFmtId="164" pivotButton="0" quotePrefix="0" xfId="0">
      <alignment horizontal="general" vertical="center"/>
    </xf>
    <xf applyAlignment="1" borderId="3" fillId="0" fontId="6" numFmtId="164" pivotButton="0" quotePrefix="0" xfId="0">
      <alignment horizontal="center" vertical="center"/>
    </xf>
    <xf applyAlignment="1" borderId="8" fillId="0" fontId="6" numFmtId="164" pivotButton="0" quotePrefix="0" xfId="0">
      <alignment horizontal="general" vertical="bottom"/>
    </xf>
    <xf applyAlignment="1" borderId="3" fillId="5" fontId="6" numFmtId="164" pivotButton="0" quotePrefix="0" xfId="0">
      <alignment horizontal="general" vertical="bottom"/>
    </xf>
    <xf applyAlignment="1" borderId="3" fillId="5" fontId="7" numFmtId="164" pivotButton="0" quotePrefix="0" xfId="0">
      <alignment horizontal="center" vertical="bottom"/>
    </xf>
    <xf applyAlignment="1" borderId="3" fillId="5" fontId="7" numFmtId="164" pivotButton="0" quotePrefix="0" xfId="0">
      <alignment horizontal="right" vertical="bottom"/>
    </xf>
    <xf applyAlignment="1" borderId="3" fillId="0" fontId="6" numFmtId="166" pivotButton="0" quotePrefix="0" xfId="0">
      <alignment horizontal="center" vertical="bottom"/>
    </xf>
    <xf applyAlignment="1" borderId="3" fillId="0" fontId="6" numFmtId="164" pivotButton="0" quotePrefix="0" xfId="0">
      <alignment horizontal="center" vertical="bottom"/>
    </xf>
    <xf applyAlignment="1" borderId="3" fillId="0" fontId="6" numFmtId="167" pivotButton="0" quotePrefix="0" xfId="0">
      <alignment horizontal="center" vertical="center"/>
    </xf>
    <xf applyAlignment="1" borderId="3" fillId="0" fontId="6" numFmtId="167" pivotButton="0" quotePrefix="0" xfId="0">
      <alignment horizontal="center" vertical="bottom"/>
    </xf>
    <xf applyAlignment="1" borderId="7" fillId="0" fontId="9" numFmtId="164" pivotButton="0" quotePrefix="0" xfId="0">
      <alignment horizontal="general" vertical="bottom"/>
    </xf>
    <xf applyAlignment="1" borderId="7" fillId="0" fontId="10" numFmtId="164" pivotButton="0" quotePrefix="0" xfId="0">
      <alignment horizontal="general" vertical="bottom"/>
    </xf>
    <xf applyAlignment="1" borderId="0" fillId="0" fontId="10" numFmtId="164" pivotButton="0" quotePrefix="0" xfId="0">
      <alignment horizontal="general" vertical="bottom"/>
    </xf>
    <xf applyAlignment="1" borderId="6" fillId="6" fontId="11" numFmtId="164" pivotButton="0" quotePrefix="0" xfId="0">
      <alignment horizontal="center" vertical="bottom"/>
    </xf>
    <xf applyAlignment="1" borderId="9" fillId="6" fontId="11" numFmtId="164" pivotButton="0" quotePrefix="0" xfId="0">
      <alignment horizontal="center" vertical="bottom"/>
    </xf>
    <xf applyAlignment="1" borderId="9" fillId="4" fontId="11" numFmtId="164" pivotButton="0" quotePrefix="0" xfId="0">
      <alignment horizontal="center" vertical="bottom"/>
    </xf>
    <xf applyAlignment="1" borderId="6" fillId="0" fontId="11" numFmtId="164" pivotButton="0" quotePrefix="0" xfId="0">
      <alignment horizontal="center" vertical="bottom"/>
    </xf>
    <xf applyAlignment="1" borderId="9" fillId="0" fontId="10" numFmtId="164" pivotButton="0" quotePrefix="0" xfId="0">
      <alignment horizontal="left" vertical="bottom"/>
    </xf>
    <xf applyAlignment="1" borderId="9" fillId="0" fontId="10" numFmtId="164" pivotButton="0" quotePrefix="0" xfId="0">
      <alignment horizontal="center" vertical="bottom"/>
    </xf>
    <xf applyAlignment="1" borderId="9" fillId="0" fontId="10" numFmtId="164" pivotButton="0" quotePrefix="0" xfId="0">
      <alignment horizontal="general" vertical="bottom"/>
    </xf>
    <xf applyAlignment="1" borderId="10" fillId="0" fontId="10" numFmtId="164" pivotButton="0" quotePrefix="0" xfId="0">
      <alignment horizontal="general" vertical="bottom"/>
    </xf>
    <xf applyAlignment="1" borderId="9" fillId="5" fontId="11" numFmtId="164" pivotButton="0" quotePrefix="0" xfId="0">
      <alignment horizontal="right" vertical="bottom"/>
    </xf>
    <xf applyAlignment="1" borderId="9" fillId="5" fontId="11" numFmtId="164" pivotButton="0" quotePrefix="0" xfId="0">
      <alignment horizontal="center" vertical="bottom"/>
    </xf>
    <xf applyAlignment="1" borderId="9" fillId="0" fontId="11" numFmtId="164" pivotButton="0" quotePrefix="0" xfId="0">
      <alignment horizontal="right" vertical="bottom"/>
    </xf>
    <xf applyAlignment="1" borderId="7" fillId="0" fontId="8" numFmtId="164" pivotButton="0" quotePrefix="0" xfId="0">
      <alignment horizontal="center" vertical="center"/>
    </xf>
    <xf applyAlignment="1" borderId="7" fillId="0" fontId="4" numFmtId="164" pivotButton="0" quotePrefix="0" xfId="0">
      <alignment horizontal="general" vertical="center"/>
    </xf>
    <xf applyAlignment="1" borderId="7" fillId="0" fontId="4" numFmtId="164" pivotButton="0" quotePrefix="0" xfId="0">
      <alignment horizontal="right" vertical="center"/>
    </xf>
    <xf applyAlignment="1" borderId="7" fillId="0" fontId="4" numFmtId="164" pivotButton="0" quotePrefix="0" xfId="0">
      <alignment horizontal="left" vertical="center"/>
    </xf>
    <xf applyAlignment="1" borderId="0" fillId="0" fontId="4" numFmtId="164" pivotButton="0" quotePrefix="0" xfId="0">
      <alignment horizontal="general" vertical="center"/>
    </xf>
    <xf applyAlignment="1" borderId="3" fillId="4" fontId="6" numFmtId="164" pivotButton="0" quotePrefix="0" xfId="0">
      <alignment horizontal="center" vertical="center"/>
    </xf>
    <xf applyAlignment="1" borderId="3" fillId="4" fontId="7" numFmtId="164" pivotButton="0" quotePrefix="0" xfId="0">
      <alignment horizontal="center" vertical="center"/>
    </xf>
    <xf applyAlignment="1" borderId="3" fillId="0" fontId="12" numFmtId="164" pivotButton="0" quotePrefix="0" xfId="0">
      <alignment horizontal="general" vertical="center"/>
    </xf>
    <xf applyAlignment="1" borderId="11" fillId="0" fontId="6" numFmtId="164" pivotButton="0" quotePrefix="0" xfId="0">
      <alignment horizontal="right" vertical="bottom"/>
    </xf>
    <xf applyAlignment="1" borderId="12" fillId="0" fontId="6" numFmtId="164" pivotButton="0" quotePrefix="0" xfId="0">
      <alignment horizontal="left" vertical="bottom"/>
    </xf>
    <xf applyAlignment="1" borderId="3" fillId="0" fontId="6" numFmtId="168" pivotButton="0" quotePrefix="0" xfId="0">
      <alignment horizontal="center" vertical="center"/>
    </xf>
    <xf applyAlignment="1" borderId="13" fillId="0" fontId="6" numFmtId="164" pivotButton="0" quotePrefix="0" xfId="0">
      <alignment horizontal="right" vertical="center"/>
    </xf>
    <xf applyAlignment="1" borderId="10" fillId="0" fontId="6" numFmtId="164" pivotButton="0" quotePrefix="0" xfId="0">
      <alignment horizontal="left" vertical="center"/>
    </xf>
    <xf applyAlignment="1" borderId="6" fillId="0" fontId="6" numFmtId="164" pivotButton="0" quotePrefix="0" xfId="0">
      <alignment horizontal="center" vertical="top"/>
    </xf>
    <xf applyAlignment="1" borderId="7" fillId="0" fontId="6" numFmtId="164" pivotButton="0" quotePrefix="0" xfId="0">
      <alignment horizontal="general" vertical="bottom"/>
    </xf>
    <xf applyAlignment="1" borderId="3" fillId="4" fontId="7" numFmtId="164" pivotButton="0" quotePrefix="0" xfId="0">
      <alignment horizontal="center" vertical="center" wrapText="1"/>
    </xf>
    <xf applyAlignment="1" borderId="3" fillId="0" fontId="13" numFmtId="164" pivotButton="0" quotePrefix="0" xfId="0">
      <alignment horizontal="general" vertical="center" wrapText="1"/>
    </xf>
    <xf applyAlignment="1" borderId="3" fillId="0" fontId="6" numFmtId="164" pivotButton="0" quotePrefix="0" xfId="0">
      <alignment horizontal="general" vertical="center" wrapText="1"/>
    </xf>
    <xf applyAlignment="1" borderId="3" fillId="3" fontId="13" numFmtId="164" pivotButton="0" quotePrefix="0" xfId="0">
      <alignment horizontal="general" vertical="center" wrapText="1"/>
    </xf>
    <xf applyAlignment="1" borderId="3" fillId="3" fontId="13" numFmtId="164" pivotButton="0" quotePrefix="0" xfId="0">
      <alignment horizontal="left" vertical="center" wrapText="1"/>
    </xf>
    <xf applyAlignment="1" borderId="3" fillId="0" fontId="13" numFmtId="164" pivotButton="0" quotePrefix="0" xfId="0">
      <alignment horizontal="left" vertical="center" wrapText="1"/>
    </xf>
    <xf applyAlignment="1" borderId="2" fillId="0" fontId="6" numFmtId="164" pivotButton="0" quotePrefix="0" xfId="0">
      <alignment horizontal="general" vertical="bottom"/>
    </xf>
    <xf applyAlignment="1" borderId="2" fillId="0" fontId="6" numFmtId="164" pivotButton="0" quotePrefix="0" xfId="0">
      <alignment horizontal="center" vertical="bottom"/>
    </xf>
    <xf applyAlignment="1" borderId="2" fillId="0" fontId="6" numFmtId="164" pivotButton="0" quotePrefix="0" xfId="0">
      <alignment horizontal="general" vertical="center"/>
    </xf>
    <xf applyAlignment="1" borderId="10" fillId="0" fontId="6" numFmtId="164" pivotButton="0" quotePrefix="0" xfId="0">
      <alignment horizontal="general" vertical="bottom"/>
    </xf>
    <xf applyAlignment="1" borderId="13" fillId="0" fontId="7" numFmtId="164" pivotButton="0" quotePrefix="0" xfId="0">
      <alignment horizontal="general" vertical="bottom"/>
    </xf>
    <xf applyAlignment="1" borderId="0" fillId="0" fontId="7" numFmtId="164" pivotButton="0" quotePrefix="0" xfId="0">
      <alignment horizontal="general" vertical="bottom"/>
    </xf>
    <xf applyAlignment="1" borderId="0" fillId="0" fontId="7" numFmtId="164" pivotButton="0" quotePrefix="0" xfId="0">
      <alignment horizontal="center" vertical="bottom"/>
    </xf>
    <xf applyAlignment="1" borderId="0" fillId="0" fontId="6" numFmtId="164" pivotButton="0" quotePrefix="0" xfId="0">
      <alignment horizontal="center" vertical="bottom"/>
    </xf>
    <xf applyAlignment="1" borderId="0" fillId="0" fontId="6" numFmtId="164" pivotButton="0" quotePrefix="0" xfId="0">
      <alignment horizontal="general" vertical="center"/>
    </xf>
    <xf applyAlignment="1" borderId="3" fillId="0" fontId="7" numFmtId="164" pivotButton="0" quotePrefix="0" xfId="0">
      <alignment horizontal="right" vertical="bottom"/>
    </xf>
    <xf applyAlignment="1" borderId="13" fillId="0" fontId="6" numFmtId="164" pivotButton="0" quotePrefix="0" xfId="0">
      <alignment horizontal="general" vertical="bottom"/>
    </xf>
    <xf applyAlignment="1" borderId="0" fillId="0" fontId="6" numFmtId="164" pivotButton="0" quotePrefix="0" xfId="0">
      <alignment horizontal="center" vertical="center"/>
    </xf>
    <xf applyAlignment="1" borderId="0" fillId="0" fontId="6" numFmtId="166" pivotButton="0" quotePrefix="0" xfId="0">
      <alignment horizontal="center" vertical="bottom"/>
    </xf>
    <xf applyAlignment="1" borderId="3" fillId="0" fontId="6" numFmtId="164" pivotButton="0" quotePrefix="0" xfId="0">
      <alignment horizontal="general" vertical="bottom"/>
    </xf>
    <xf applyAlignment="1" borderId="8" fillId="0" fontId="6" numFmtId="164" pivotButton="0" quotePrefix="0" xfId="0">
      <alignment horizontal="center" vertical="center"/>
    </xf>
    <xf applyAlignment="1" borderId="2" fillId="0" fontId="13" numFmtId="164" pivotButton="0" quotePrefix="0" xfId="0">
      <alignment horizontal="general" vertical="bottom"/>
    </xf>
    <xf applyAlignment="1" borderId="10" fillId="0" fontId="14" numFmtId="164" pivotButton="0" quotePrefix="0" xfId="0">
      <alignment horizontal="general" vertical="bottom"/>
    </xf>
    <xf applyAlignment="1" borderId="3" fillId="5" fontId="7" numFmtId="164" pivotButton="0" quotePrefix="0" xfId="0">
      <alignment horizontal="center" vertical="center"/>
    </xf>
    <xf applyAlignment="1" borderId="13" fillId="0" fontId="13" numFmtId="164" pivotButton="0" quotePrefix="0" xfId="0">
      <alignment horizontal="general" vertical="bottom"/>
    </xf>
    <xf applyAlignment="1" borderId="2" fillId="0" fontId="6" numFmtId="164" pivotButton="0" quotePrefix="0" xfId="0">
      <alignment horizontal="center" vertical="center"/>
    </xf>
    <xf applyAlignment="1" borderId="0" fillId="0" fontId="6" numFmtId="164" pivotButton="0" quotePrefix="0" xfId="0">
      <alignment horizontal="general" vertical="bottom"/>
    </xf>
    <xf applyAlignment="1" borderId="0" fillId="0" fontId="15" numFmtId="164" pivotButton="0" quotePrefix="0" xfId="0">
      <alignment horizontal="general" vertical="bottom"/>
    </xf>
    <xf applyAlignment="1" borderId="0" fillId="0" fontId="6" numFmtId="166" pivotButton="0" quotePrefix="0" xfId="0">
      <alignment horizontal="general" vertical="bottom"/>
    </xf>
    <xf applyAlignment="1" borderId="0" fillId="7" fontId="6" numFmtId="164" pivotButton="0" quotePrefix="0" xfId="0">
      <alignment horizontal="general" vertical="bottom"/>
    </xf>
    <xf applyAlignment="1" borderId="0" fillId="0" fontId="6" numFmtId="164" pivotButton="0" quotePrefix="0" xfId="0">
      <alignment horizontal="general" vertical="bottom" wrapText="1"/>
    </xf>
    <xf applyAlignment="1" borderId="3" fillId="8" fontId="7" numFmtId="164" pivotButton="0" quotePrefix="0" xfId="0">
      <alignment horizontal="center" vertical="center"/>
    </xf>
    <xf applyAlignment="1" borderId="13" fillId="0" fontId="6" numFmtId="164" pivotButton="0" quotePrefix="0" xfId="0">
      <alignment horizontal="center" vertical="bottom"/>
    </xf>
    <xf applyAlignment="1" borderId="0" fillId="0" fontId="18" numFmtId="164" pivotButton="0" quotePrefix="0" xfId="0">
      <alignment horizontal="general" vertical="bottom"/>
    </xf>
    <xf applyAlignment="1" borderId="3" fillId="0" fontId="19" numFmtId="164" pivotButton="0" quotePrefix="0" xfId="0">
      <alignment horizontal="center" vertical="bottom"/>
    </xf>
    <xf applyAlignment="1" borderId="6" fillId="0" fontId="19" numFmtId="164" pivotButton="0" quotePrefix="0" xfId="0">
      <alignment horizontal="center" vertical="bottom"/>
    </xf>
    <xf applyAlignment="1" borderId="0" fillId="8" fontId="7" numFmtId="164" pivotButton="0" quotePrefix="0" xfId="0">
      <alignment horizontal="center" vertical="center"/>
    </xf>
    <xf applyAlignment="1" borderId="14" fillId="9" fontId="7" numFmtId="164" pivotButton="0" quotePrefix="0" xfId="0">
      <alignment horizontal="center" vertical="center"/>
    </xf>
    <xf applyAlignment="1" borderId="14" fillId="10" fontId="20" numFmtId="164" pivotButton="0" quotePrefix="0" xfId="0">
      <alignment horizontal="center" vertical="center"/>
    </xf>
    <xf applyAlignment="1" borderId="15" fillId="10" fontId="20" numFmtId="164" pivotButton="0" quotePrefix="0" xfId="0">
      <alignment horizontal="center" vertical="center"/>
    </xf>
    <xf applyAlignment="1" borderId="3" fillId="11" fontId="7" numFmtId="164" pivotButton="0" quotePrefix="0" xfId="0">
      <alignment horizontal="center" vertical="center"/>
    </xf>
    <xf applyAlignment="1" borderId="14" fillId="0" fontId="6" numFmtId="164" pivotButton="0" quotePrefix="0" xfId="0">
      <alignment horizontal="center" vertical="center"/>
    </xf>
    <xf applyAlignment="1" borderId="14" fillId="0" fontId="21" numFmtId="164" pivotButton="0" quotePrefix="0" xfId="0">
      <alignment horizontal="center" vertical="center"/>
    </xf>
    <xf applyAlignment="1" borderId="14" fillId="0" fontId="21" numFmtId="164" pivotButton="0" quotePrefix="0" xfId="0">
      <alignment horizontal="center" vertical="bottom"/>
    </xf>
    <xf applyAlignment="1" borderId="15" fillId="0" fontId="21" numFmtId="164" pivotButton="0" quotePrefix="0" xfId="0">
      <alignment horizontal="center" vertical="bottom"/>
    </xf>
    <xf applyAlignment="1" borderId="3" fillId="0" fontId="19" numFmtId="164" pivotButton="0" quotePrefix="0" xfId="0">
      <alignment horizontal="right" vertical="bottom"/>
    </xf>
    <xf applyAlignment="1" borderId="16" fillId="0" fontId="21" numFmtId="164" pivotButton="0" quotePrefix="0" xfId="0">
      <alignment horizontal="center" vertical="bottom"/>
    </xf>
    <xf applyAlignment="1" borderId="1" fillId="6" fontId="7" numFmtId="164" pivotButton="0" quotePrefix="0" xfId="0">
      <alignment horizontal="center" vertical="center"/>
    </xf>
    <xf applyAlignment="1" borderId="1" fillId="0" fontId="6" numFmtId="164" pivotButton="0" quotePrefix="0" xfId="0">
      <alignment horizontal="center" vertical="center"/>
    </xf>
    <xf applyAlignment="1" borderId="0" fillId="0" fontId="22" numFmtId="164" pivotButton="0" quotePrefix="0" xfId="0">
      <alignment horizontal="center" vertical="center"/>
    </xf>
    <xf applyAlignment="1" borderId="0" fillId="0" fontId="18" numFmtId="164" pivotButton="0" quotePrefix="0" xfId="0">
      <alignment horizontal="center" vertical="center"/>
    </xf>
    <xf applyAlignment="1" borderId="0" fillId="0" fontId="18" numFmtId="164" pivotButton="0" quotePrefix="0" xfId="0">
      <alignment horizontal="general" vertical="center"/>
    </xf>
    <xf applyAlignment="1" borderId="0" fillId="0" fontId="22" numFmtId="164" pivotButton="0" quotePrefix="0" xfId="0">
      <alignment horizontal="general" vertical="center"/>
    </xf>
    <xf applyAlignment="1" borderId="0" fillId="0" fontId="22" numFmtId="164" pivotButton="0" quotePrefix="0" xfId="0">
      <alignment horizontal="left" vertical="bottom"/>
    </xf>
    <xf applyAlignment="1" borderId="0" fillId="0" fontId="23" numFmtId="164" pivotButton="0" quotePrefix="0" xfId="0">
      <alignment horizontal="general" vertical="center"/>
    </xf>
    <xf applyAlignment="1" borderId="0" fillId="0" fontId="24" numFmtId="164" pivotButton="0" quotePrefix="0" xfId="0">
      <alignment horizontal="center" vertical="center"/>
    </xf>
    <xf applyAlignment="1" borderId="0" fillId="0" fontId="7" numFmtId="164" pivotButton="0" quotePrefix="0" xfId="0">
      <alignment horizontal="center" vertical="center"/>
    </xf>
    <xf applyAlignment="1" borderId="0" fillId="0" fontId="4" numFmtId="164" pivotButton="0" quotePrefix="0" xfId="0">
      <alignment horizontal="general" vertical="bottom"/>
    </xf>
    <xf applyAlignment="1" borderId="7" fillId="0" fontId="6" numFmtId="164" pivotButton="0" quotePrefix="0" xfId="0">
      <alignment horizontal="center" vertical="bottom"/>
    </xf>
    <xf applyAlignment="1" borderId="3" fillId="0" fontId="7" numFmtId="164" pivotButton="0" quotePrefix="0" xfId="0">
      <alignment horizontal="center" vertical="bottom"/>
    </xf>
    <xf applyAlignment="1" borderId="7" fillId="0" fontId="8" numFmtId="164" pivotButton="0" quotePrefix="0" xfId="0">
      <alignment horizontal="general" vertical="bottom" wrapText="1"/>
    </xf>
    <xf applyAlignment="1" borderId="3" fillId="0" fontId="6" numFmtId="166" pivotButton="0" quotePrefix="0" xfId="0">
      <alignment horizontal="general" vertical="bottom"/>
    </xf>
    <xf applyAlignment="1" borderId="0" fillId="0" fontId="14" numFmtId="164" pivotButton="0" quotePrefix="0" xfId="0">
      <alignment horizontal="general" vertical="bottom"/>
    </xf>
    <xf applyAlignment="1" borderId="3" fillId="0" fontId="6" numFmtId="164" pivotButton="0" quotePrefix="0" xfId="0">
      <alignment horizontal="general" vertical="bottom" wrapText="1"/>
    </xf>
    <xf applyAlignment="1" borderId="0" fillId="0" fontId="28" numFmtId="164" pivotButton="0" quotePrefix="0" xfId="0">
      <alignment horizontal="general" vertical="bottom"/>
    </xf>
    <xf applyAlignment="1" borderId="0" fillId="0" fontId="28" numFmtId="164" pivotButton="0" quotePrefix="0" xfId="0">
      <alignment horizontal="center" vertical="bottom"/>
    </xf>
    <xf applyAlignment="1" borderId="0" fillId="3" fontId="6" numFmtId="164" pivotButton="0" quotePrefix="0" xfId="0">
      <alignment horizontal="general" vertical="bottom"/>
    </xf>
    <xf applyAlignment="1" borderId="0" fillId="0" fontId="29" numFmtId="164" pivotButton="0" quotePrefix="0" xfId="0">
      <alignment horizontal="center" vertical="bottom" wrapText="1"/>
    </xf>
    <xf applyAlignment="1" borderId="0" fillId="11" fontId="29" numFmtId="164" pivotButton="0" quotePrefix="0" xfId="0">
      <alignment horizontal="center" vertical="bottom" wrapText="1"/>
    </xf>
    <xf applyAlignment="1" borderId="0" fillId="9" fontId="29" numFmtId="164" pivotButton="0" quotePrefix="0" xfId="0">
      <alignment horizontal="center" vertical="bottom" wrapText="1"/>
    </xf>
    <xf applyAlignment="1" borderId="0" fillId="12" fontId="29" numFmtId="164" pivotButton="0" quotePrefix="0" xfId="0">
      <alignment horizontal="center" vertical="bottom" wrapText="1"/>
    </xf>
    <xf applyAlignment="1" borderId="0" fillId="2" fontId="28" numFmtId="164" pivotButton="0" quotePrefix="0" xfId="0">
      <alignment horizontal="center" vertical="bottom" wrapText="1"/>
    </xf>
    <xf applyAlignment="1" borderId="0" fillId="13" fontId="28" numFmtId="164" pivotButton="0" quotePrefix="0" xfId="0">
      <alignment horizontal="center" vertical="bottom" wrapText="1"/>
    </xf>
    <xf applyAlignment="1" borderId="0" fillId="9" fontId="28" numFmtId="164" pivotButton="0" quotePrefix="0" xfId="0">
      <alignment horizontal="center" vertical="bottom" wrapText="1"/>
    </xf>
    <xf applyAlignment="1" borderId="0" fillId="0" fontId="12" numFmtId="164" pivotButton="0" quotePrefix="0" xfId="0">
      <alignment horizontal="general" vertical="bottom" wrapText="1"/>
    </xf>
    <xf applyAlignment="1" borderId="0" fillId="0" fontId="28" numFmtId="164" pivotButton="0" quotePrefix="0" xfId="0">
      <alignment horizontal="general" vertical="bottom" wrapText="1"/>
    </xf>
    <xf applyAlignment="1" borderId="0" fillId="0" fontId="6" numFmtId="168" pivotButton="0" quotePrefix="0" xfId="0">
      <alignment horizontal="general" vertical="bottom" wrapText="1"/>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dxfs count="2">
    <dxf>
      <fill>
        <patternFill>
          <bgColor rgb="FF00FF00"/>
        </patternFill>
      </fill>
      <border>
        <left/>
        <right/>
        <top/>
        <bottom/>
        <diagonal/>
      </border>
    </dxf>
    <dxf>
      <fill>
        <patternFill>
          <bgColor rgb="FFFF0000"/>
        </patternFill>
      </fill>
      <border>
        <left/>
        <right/>
        <top/>
        <bottom/>
        <diagonal/>
      </border>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sharedStrings.xml" Type="http://schemas.openxmlformats.org/officeDocument/2006/relationships/sharedStrings"/><Relationship Id="rId21" Target="styles.xml" Type="http://schemas.openxmlformats.org/officeDocument/2006/relationships/styles"/><Relationship Id="rId22" Target="theme/theme1.xml" Type="http://schemas.openxmlformats.org/officeDocument/2006/relationships/theme"/></Relationships>
</file>

<file path=xl/comments/comment1.xml><?xml version="1.0" encoding="utf-8"?>
<comments xmlns="http://schemas.openxmlformats.org/spreadsheetml/2006/main">
  <authors>
    <author>None</author>
  </authors>
  <commentList>
    <comment authorId="0" ref="A6" shapeId="0">
      <text>
        <t>"Proyecto cliente"</t>
      </text>
    </comment>
    <comment authorId="0" ref="C8" shapeId="0">
      <text>
        <t>Cuando el servicio sea ACF, poner la suma de comprobación (SHA256) del archivo que contiene el código entregado por el cliente.</t>
      </text>
    </comment>
  </commentList>
</comments>
</file>

<file path=xl/comments/comment2.xml><?xml version="1.0" encoding="utf-8"?>
<comments xmlns="http://schemas.openxmlformats.org/spreadsheetml/2006/main">
  <authors>
    <author>None</author>
  </authors>
  <commentList>
    <comment authorId="0" ref="A2" shapeId="0">
      <text>
        <t>Nombre del archivo</t>
      </text>
    </comment>
    <comment authorId="0" ref="B2" shapeId="0">
      <text>
        <t>Número de LoC por archivo</t>
      </text>
    </comment>
    <comment authorId="0" ref="C2" shapeId="0">
      <text>
        <t>Total de líneas verificadas</t>
      </text>
    </comment>
  </commentList>
</comments>
</file>

<file path=xl/comments/comment3.xml><?xml version="1.0" encoding="utf-8"?>
<comments xmlns="http://schemas.openxmlformats.org/spreadsheetml/2006/main">
  <authors>
    <author>None</author>
  </authors>
  <commentList>
    <comment authorId="0" ref="L2" shapeId="0">
      <text>
        <t>Se indica el archivo de solución, para facilidad de localización por parte del cliente.
Deben ser líneas del tipo:
soluciones.zip/nombreSolucion1.pdf
soluciones.zip/nombreSolucion2.pdf</t>
      </text>
    </comment>
    <comment authorId="0" ref="M2" shapeId="0">
      <text>
        <t>Para cuando se haga uso del nuevo criterio Fluid, sirve para llenar automáticamente la columna "Requisitos" con el formato ideal.</t>
      </text>
    </comment>
    <comment authorId="0" ref="N2" shapeId="0">
      <text>
        <t>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text>
    </comment>
    <comment authorId="0" ref="O2" shapeId="0">
      <text>
        <t>Probabilidad de &lt;acción que se puede realizar en el componente de Bancolombia + escenario&gt; debido a &lt;vulnerabilidad técnica y consecuencia técnica&gt; + lo que puede ocasionar &lt;impacto al negocio&gt;</t>
      </text>
    </comment>
  </commentList>
</comments>
</file>

<file path=xl/comments/comment4.xml><?xml version="1.0" encoding="utf-8"?>
<comments xmlns="http://schemas.openxmlformats.org/spreadsheetml/2006/main">
  <authors>
    <author>None</author>
  </authors>
  <commentList>
    <comment authorId="0" ref="J2" shapeId="0">
      <text>
        <t>DP: Diseño y Perfil
SP: Solo perfil
SD: Solo diseño</t>
      </text>
    </comment>
  </commentList>
</comments>
</file>

<file path=xl/comments/comment5.xml><?xml version="1.0" encoding="utf-8"?>
<comments xmlns="http://schemas.openxmlformats.org/spreadsheetml/2006/main">
  <authors>
    <author>None</author>
  </authors>
  <commentList>
    <comment authorId="0" ref="A2" shapeId="0">
      <text>
        <t>Es la ruta en Quality Center del PMO del proyecto. Consultar en Quality Center o al analista de Bancolombia</t>
      </text>
    </comment>
    <comment authorId="0" ref="B2" shapeId="0">
      <text>
        <t>Solicitar al banco.</t>
      </text>
    </comment>
    <comment authorId="0" ref="C2" shapeId="0">
      <text>
        <t>Solicitar al banco.</t>
      </text>
    </comment>
    <comment authorId="0" ref="D2" shapeId="0">
      <text>
        <t>Solicitar al banco.</t>
      </text>
    </comment>
    <comment authorId="0" ref="E2" shapeId="0">
      <text>
        <t>Cuando sean varias pruebas (pruebas integrales), poner la principal y luego detallar usando el campo comentario.</t>
      </text>
    </comment>
    <comment authorId="0" ref="G2" shapeId="0">
      <text>
        <t>Solicitar al banco.</t>
      </text>
    </comment>
    <comment authorId="0" ref="H2" shapeId="0">
      <text>
        <t>Se extrae de perfilamiento y/o documentos de arquitectura/seguridad corporativa</t>
      </text>
    </comment>
    <comment authorId="0" ref="I2" shapeId="0">
      <text>
        <t>Se extrae de perfilamiento y/o documentos de arquitectura/seguridad corporativa</t>
      </text>
    </comment>
    <comment authorId="0" ref="L2" shapeId="0">
      <text>
        <t>Es la ruta en Quality Center del ciclo del PMO del proyecto. Consultar en Quality Center o con el analista de Bancolombia. </t>
      </text>
    </comment>
    <comment authorId="0" ref="M2" shapeId="0">
      <text>
        <t>Cuando algún escenario no corresponda, poner el más aproximado y detallar en el campo "Comentarios"</t>
      </text>
    </comment>
    <comment authorId="0" ref="P2" shapeId="0">
      <text>
        <t>Se deben poner las ubicaciones completas en la hoja de hallazgos, no referencia a un archivo txt</t>
      </text>
    </comment>
    <comment authorId="0" ref="Q2" shapeId="0">
      <text>
        <t>Seleccionar el más adecuado de acuerdo con el hallazgo.</t>
      </text>
    </comment>
    <comment authorId="0" ref="R2" shapeId="0">
      <text>
        <t>Seleccionar el más adecuado de acuerdo con el hallazgo y el criterio de seguridad.</t>
      </text>
    </comment>
    <comment authorId="0" ref="S2" shapeId="0">
      <text>
        <t>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text>
    </comment>
    <comment authorId="0" ref="Z2" shapeId="0">
      <text>
        <t>25% Difícil de vulnerar
50% Posible de vulnerar
75% Fácil de vulnerar
100% Vulnerado anteriormente</t>
      </text>
    </comment>
    <comment authorId="0" ref="AA2" shapeId="0">
      <text>
        <t>1 Ninguno
2 Bajo
3 Moderado
4 Alto
5 Crítico</t>
      </text>
    </comment>
    <comment authorId="0" ref="AD2" shapeId="0">
      <text>
        <t>Probabilidad de &lt;acción que se puede realizar en el componente de Bancolombia + escenario&gt; debido a &lt;vulnerabilidad técnica y consecuencia técnica&gt; + lo que puede ocasionar &lt;impacto al negocio&gt;</t>
      </text>
    </comment>
    <comment authorId="0" ref="AE2" shapeId="0">
      <text>
        <t>Solicitar a Bancolombia</t>
      </text>
    </comment>
    <comment authorId="0" ref="AF2" shapeId="0">
      <text>
        <t>Cuando no se sepa, poner al mismo analista de Bancolombia</t>
      </text>
    </comment>
    <comment authorId="0" ref="AH2" shapeId="0">
      <text>
        <t>Elegir "Abierta" o "Corregida"</t>
      </text>
    </comment>
    <comment authorId="0" ref="AK2" shapeId="0">
      <text>
        <t>Fecha de entrega de informes a Bancolombia</t>
      </text>
    </comment>
    <comment authorId="0" ref="AN2" shapeId="0">
      <text>
        <t>Usuario de red de analista certificación</t>
      </text>
    </comment>
    <comment authorId="0" ref="AO2" shapeId="0">
      <text>
        <t>Nombre del archivo</t>
      </text>
    </comment>
    <comment authorId="0" ref="AQ2" shapeId="0">
      <text>
        <t>Nombre del archivo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5.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7.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8.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19.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sheet1.xml><?xml version="1.0" encoding="utf-8"?>
<worksheet xmlns="http://schemas.openxmlformats.org/spreadsheetml/2006/main">
  <sheetPr filterMode="0">
    <tabColor rgb="FFFFFF00"/>
    <outlinePr summaryBelow="1" summaryRight="1"/>
    <pageSetUpPr fitToPage="0"/>
  </sheetPr>
  <dimension ref="A19:A23"/>
  <sheetViews>
    <sheetView colorId="64" defaultGridColor="1" rightToLeft="0" showFormulas="0" showGridLine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5" min="1" width="13.6326530612245"/>
    <col customWidth="1" max="6" min="6" width="35.3673469387755"/>
    <col customWidth="1" max="1025" min="7" width="13.6326530612245"/>
  </cols>
  <sheetData>
    <row customHeight="1" s="134" r="19" ht="15.75" spans="1:1">
      <c s="1" r="A19">
        <f>"Documentación " &amp; Inicio!B7 &amp;  " " &amp; "- " &amp; Inicio!B6</f>
        <v/>
      </c>
    </row>
    <row customHeight="1" s="134" r="20" ht="15.75" spans="1:1">
      <c s="2" r="A20">
        <f>"Información para uso exclusivo de " &amp;Inicio!B2</f>
        <v/>
      </c>
    </row>
    <row customHeight="1" s="134" r="22" ht="15.75" spans="1:1">
      <c s="83" r="A22">
        <f>"Copyright © " &amp; YEAR(TODAY()) &amp; " FLUID"</f>
        <v/>
      </c>
    </row>
    <row customHeight="1" s="134" r="23" ht="15.75" spans="1:1">
      <c s="87" r="A23" t="s">
        <v>0</v>
      </c>
    </row>
  </sheetData>
  <mergeCells count="4">
    <mergeCell ref="A19:F19"/>
    <mergeCell ref="A20:F20"/>
    <mergeCell ref="A22:F22"/>
    <mergeCell ref="A23:F23"/>
  </mergeCell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C25"/>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2" xSplit="0" ySplit="1"/>
      <selection activeCell="A1" activeCellId="0" pane="topLeft" sqref="A1"/>
      <selection activeCell="B3" activeCellId="0" pane="bottomLeft" sqref="B3"/>
    </sheetView>
  </sheetViews>
  <sheetFormatPr baseColWidth="8" defaultRowHeight="15.75" outlineLevelCol="0"/>
  <cols>
    <col customWidth="1" max="1" min="1" width="26.7295918367347"/>
    <col customWidth="1" max="3" min="2" width="51.5663265306123"/>
    <col customWidth="1" max="1025" min="4" width="13.6326530612245"/>
  </cols>
  <sheetData>
    <row customHeight="1" s="134" r="1" ht="15.75" spans="1:3">
      <c s="5" r="A1" t="s">
        <v>1</v>
      </c>
      <c s="5" r="B1" t="s">
        <v>2</v>
      </c>
      <c s="5" r="C1" t="s">
        <v>3</v>
      </c>
    </row>
    <row customHeight="1" s="134" r="2" ht="15.75" spans="1:3">
      <c s="6" r="A2" t="s">
        <v>4</v>
      </c>
      <c s="7" r="B2" t="s">
        <v>5</v>
      </c>
      <c s="7" r="C2" t="n"/>
    </row>
    <row customHeight="1" s="134" r="3" ht="15.75" spans="1:3">
      <c s="6" r="A3" t="s">
        <v>6</v>
      </c>
      <c s="7" r="B3" t="n"/>
      <c s="7" r="C3" t="n"/>
    </row>
    <row customHeight="1" s="134" r="4" ht="15.75" spans="1:3">
      <c s="6" r="A4" t="s">
        <v>7</v>
      </c>
      <c s="7" r="B4" t="n"/>
      <c s="7" r="C4" t="n"/>
    </row>
    <row customHeight="1" s="134" r="5" ht="15.75" spans="1:3">
      <c s="6" r="A5" t="s">
        <v>8</v>
      </c>
      <c s="7" r="B5" t="n"/>
      <c s="7" r="C5" t="n"/>
    </row>
    <row customHeight="1" s="134" r="6" ht="15.75" spans="1:3">
      <c s="6" r="A6" t="s">
        <v>9</v>
      </c>
      <c s="7" r="B6" t="n"/>
      <c s="7" r="C6" t="n"/>
    </row>
    <row customHeight="1" s="134" r="7" ht="15.75" spans="1:3">
      <c s="6" r="A7" t="s">
        <v>10</v>
      </c>
      <c s="7" r="B7" t="s">
        <v>11</v>
      </c>
      <c s="7" r="C7" t="n"/>
    </row>
    <row customHeight="1" s="134" r="8" ht="15.75" spans="1:3">
      <c s="6" r="A8" t="s">
        <v>12</v>
      </c>
      <c s="8" r="B8">
        <f>ToE!E19</f>
        <v/>
      </c>
      <c s="7" r="C8">
        <f>IF(B7="Análisis de código fuente [ACF]","Firma SHA256: ","")</f>
        <v/>
      </c>
    </row>
    <row customHeight="1" s="134" r="9" ht="15.75" spans="1:3">
      <c s="6" r="A9" t="s">
        <v>13</v>
      </c>
      <c s="8" r="B9" t="s">
        <v>14</v>
      </c>
      <c s="7" r="C9" t="n"/>
    </row>
    <row customHeight="1" s="134" r="10" ht="15.75" spans="1:3">
      <c s="6" r="A10" t="s">
        <v>15</v>
      </c>
      <c s="8" r="B10" t="n"/>
      <c s="7" r="C10" t="n"/>
    </row>
    <row customHeight="1" s="134" r="11" ht="15.75" spans="1:3">
      <c s="6" r="A11" t="s">
        <v>16</v>
      </c>
      <c s="9" r="B11" t="n"/>
      <c s="7" r="C11" t="n"/>
    </row>
    <row customHeight="1" s="134" r="12" ht="15.75" spans="1:3">
      <c s="6" r="A12" t="s">
        <v>17</v>
      </c>
      <c s="9" r="B12" t="n"/>
      <c s="7" r="C12" t="n"/>
    </row>
    <row customHeight="1" s="134" r="13" ht="15.75" spans="1:3">
      <c s="6" r="A13" t="s">
        <v>18</v>
      </c>
      <c s="9" r="B13">
        <f>IF(B10&lt;5,B14-1,B14-3)</f>
        <v/>
      </c>
      <c s="7" r="C13" t="n"/>
    </row>
    <row customHeight="1" s="134" r="14" ht="15.75" spans="1:3">
      <c s="6" r="A14" t="s">
        <v>19</v>
      </c>
      <c s="9" r="B14">
        <f>WORKDAY(B11,B10-1,B23:B25)</f>
        <v/>
      </c>
      <c s="7" r="C14" t="n"/>
    </row>
    <row customHeight="1" s="134" r="15" ht="15.75" spans="1:3">
      <c s="6" r="A15" t="s">
        <v>20</v>
      </c>
      <c s="9" r="B15" t="n"/>
      <c s="7" r="C15" t="n"/>
    </row>
    <row customHeight="1" s="134" r="16" ht="15.75" spans="1:3">
      <c s="6" r="A16" t="s">
        <v>21</v>
      </c>
      <c s="9" r="B16">
        <f>WORKDAY(B14,1,B23:B25)</f>
        <v/>
      </c>
      <c s="7" r="C16" t="n"/>
    </row>
    <row customHeight="1" s="134" r="17" spans="1:3" hidden="1" ht="15.75">
      <c s="6" r="A17" t="s">
        <v>22</v>
      </c>
      <c s="8" r="B17">
        <f>ROUNDUP(B10*0.6,0)</f>
        <v/>
      </c>
      <c s="7" r="C17" t="n"/>
    </row>
    <row customHeight="1" s="134" r="18" spans="1:3" hidden="1" ht="15.75">
      <c s="6" r="A18" t="s">
        <v>23</v>
      </c>
      <c s="8" r="B18">
        <f>B10-B17</f>
        <v/>
      </c>
      <c s="7" r="C18" t="n"/>
    </row>
    <row customHeight="1" s="134" r="19" ht="15.75" spans="1:3">
      <c s="6" r="A19" t="s">
        <v>24</v>
      </c>
      <c s="8" r="B19" t="s">
        <v>25</v>
      </c>
      <c s="7" r="C19" t="n"/>
    </row>
    <row customHeight="1" s="134" r="20" ht="15.75" spans="1:3">
      <c s="6" r="A20" t="s">
        <v>26</v>
      </c>
      <c s="8" r="B20" t="n"/>
      <c s="7" r="C20" t="n"/>
    </row>
    <row customHeight="1" s="134" r="21" spans="1:3" hidden="1" ht="15.75">
      <c s="6" r="A21" t="s">
        <v>27</v>
      </c>
      <c s="8" r="B21" t="n"/>
      <c s="7" r="C21" t="n"/>
    </row>
    <row customHeight="1" s="134" r="22" spans="1:3" hidden="1" ht="15.75">
      <c s="6" r="A22" t="s">
        <v>28</v>
      </c>
      <c s="8" r="B22" t="s">
        <v>29</v>
      </c>
      <c s="7" r="C22" t="n"/>
    </row>
    <row customHeight="1" s="134" r="23" ht="15.75" spans="1:3">
      <c s="10" r="A23" t="s">
        <v>30</v>
      </c>
      <c s="9" r="B23" t="s">
        <v>31</v>
      </c>
      <c s="11" r="C23" t="n"/>
    </row>
    <row customHeight="1" s="134" r="24" ht="15.75" spans="1:3">
      <c s="9" r="B24" t="s">
        <v>31</v>
      </c>
      <c s="12" r="C24" t="n"/>
    </row>
    <row customHeight="1" s="134" r="25" ht="15.75" spans="1:3">
      <c s="9" r="B25" t="s">
        <v>31</v>
      </c>
      <c s="13" r="C25" t="n"/>
    </row>
  </sheetData>
  <mergeCells count="1">
    <mergeCell ref="A23:A25"/>
  </mergeCells>
  <dataValidations count="2">
    <dataValidation allowBlank="0" operator="between" showDropDown="0" showErrorMessage="1" showInputMessage="0" sqref="B7" type="list">
      <formula1>"Pruebas de seguridad de infraestructura [PSI],Pruebas de seguridad de aplicación [PSA],Análisis de código fuente [ACF],Pruebas Integrales [PI],Análisis de vulnerabilidades [AV]"</formula1>
      <formula2>0</formula2>
    </dataValidation>
    <dataValidation allowBlank="0" operator="between" prompt="Haz clic e introduce un valor de la lista de elementos" showDropDown="0" showErrorMessage="0" showInputMessage="1" sqref="B22"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3.xml><?xml version="1.0" encoding="utf-8"?>
<worksheet xmlns="http://schemas.openxmlformats.org/spreadsheetml/2006/main">
  <sheetPr filterMode="0">
    <outlinePr summaryBelow="1" summaryRight="1"/>
    <pageSetUpPr fitToPage="0"/>
  </sheetPr>
  <dimension ref="A1:C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24.8367346938776"/>
    <col customWidth="1" max="2" min="2" width="34.9642857142857"/>
    <col customWidth="1" max="3" min="3" width="27.6734693877551"/>
    <col customWidth="1" max="1025" min="4" width="13.6326530612245"/>
  </cols>
  <sheetData>
    <row customHeight="1" s="134" r="1" ht="15.75" spans="1:3">
      <c s="14" r="A1" t="s">
        <v>32</v>
      </c>
    </row>
    <row customHeight="1" s="134" r="2" ht="15.75" spans="1:3">
      <c s="15" r="A2" t="s">
        <v>33</v>
      </c>
      <c s="15" r="B2" t="s">
        <v>34</v>
      </c>
      <c s="15" r="C2" t="s">
        <v>35</v>
      </c>
    </row>
    <row customHeight="1" s="134" r="3" ht="15.75" spans="1:3">
      <c s="76" r="A3" t="s">
        <v>36</v>
      </c>
      <c s="76" r="B3" t="s">
        <v>37</v>
      </c>
      <c s="76" r="C3" t="s">
        <v>29</v>
      </c>
    </row>
    <row customHeight="1" s="134" r="4" ht="15.75" spans="1:3">
      <c s="76" r="A4" t="s">
        <v>38</v>
      </c>
      <c s="76" r="B4" t="s">
        <v>37</v>
      </c>
      <c s="76" r="C4" t="s">
        <v>29</v>
      </c>
    </row>
    <row customHeight="1" s="134" r="5" ht="15.75" spans="1:3">
      <c s="76" r="A5" t="s">
        <v>39</v>
      </c>
      <c s="76" r="B5" t="s">
        <v>5</v>
      </c>
      <c s="76" r="C5" t="s">
        <v>29</v>
      </c>
    </row>
    <row customHeight="1" s="134" r="6" ht="15.75" spans="1:3">
      <c s="76" r="A6" t="s">
        <v>40</v>
      </c>
      <c s="76" r="B6" t="s">
        <v>5</v>
      </c>
      <c s="76" r="C6" t="s">
        <v>29</v>
      </c>
    </row>
    <row customHeight="1" s="134" r="7" ht="15.75" spans="1:3">
      <c s="76" r="A7" t="s">
        <v>41</v>
      </c>
      <c s="76" r="B7" t="s">
        <v>5</v>
      </c>
      <c s="76" r="C7" t="s">
        <v>29</v>
      </c>
    </row>
    <row customHeight="1" s="134" r="8" ht="15.75" spans="1:3">
      <c s="76" r="A8" t="s">
        <v>42</v>
      </c>
      <c s="76" r="B8" t="s">
        <v>5</v>
      </c>
      <c s="76" r="C8" t="s">
        <v>29</v>
      </c>
    </row>
    <row customHeight="1" s="134" r="9" ht="15.75" spans="1:3">
      <c s="76" r="A9" t="s">
        <v>28</v>
      </c>
      <c s="76" r="B9" t="s">
        <v>5</v>
      </c>
      <c s="76" r="C9" t="s">
        <v>29</v>
      </c>
    </row>
  </sheetData>
  <mergeCells count="1">
    <mergeCell ref="A1:C1"/>
  </mergeCells>
  <dataValidations count="2">
    <dataValidation allowBlank="0" operator="between" showDropDown="0" showErrorMessage="1" showInputMessage="0" sqref="B3:B9" type="list">
      <formula1>"FLUID,Bancolombia"</formula1>
      <formula2>0</formula2>
    </dataValidation>
    <dataValidation allowBlank="0" operator="between" prompt="Haz clic e introduce un valor de intervalo Recursos!D2:D3" showDropDown="0" showErrorMessage="0" showInputMessage="1" sqref="C3:C9" type="list">
      <formula1>"No disponible,Disponible,-"</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4.xml><?xml version="1.0" encoding="utf-8"?>
<worksheet xmlns="http://schemas.openxmlformats.org/spreadsheetml/2006/main">
  <sheetPr filterMode="0">
    <outlinePr summaryBelow="1" summaryRight="1"/>
    <pageSetUpPr fitToPage="0"/>
  </sheetPr>
  <dimension ref="A1:E20"/>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29.8316326530612"/>
    <col customWidth="1" max="2" min="2" width="33.3418367346939"/>
    <col customWidth="1" max="3" min="3" width="12.2857142857143"/>
    <col customWidth="1" max="4" min="4" width="15.5255102040816"/>
    <col customWidth="1" max="5" min="5" width="53.7244897959184"/>
    <col customWidth="1" max="1025" min="6" width="13.6326530612245"/>
  </cols>
  <sheetData>
    <row customHeight="1" s="134" r="1" ht="15.75" spans="1:5">
      <c s="17" r="A1" t="s">
        <v>43</v>
      </c>
    </row>
    <row customHeight="1" s="134" r="2" ht="15.75" spans="1:5">
      <c s="15" r="A2" t="s">
        <v>44</v>
      </c>
      <c s="15" r="B2" t="s">
        <v>45</v>
      </c>
      <c s="15" r="C2" t="s">
        <v>46</v>
      </c>
      <c s="15" r="D2" t="s">
        <v>47</v>
      </c>
      <c s="15" r="E2" t="s">
        <v>48</v>
      </c>
    </row>
    <row customHeight="1" s="134" r="3" ht="15.75" spans="1:5">
      <c s="18" r="A3" t="n"/>
      <c s="18" r="B3" t="n"/>
      <c s="19" r="C3" t="s">
        <v>29</v>
      </c>
      <c s="19" r="D3" t="s">
        <v>29</v>
      </c>
      <c s="18" r="E3" t="n"/>
    </row>
    <row customHeight="1" s="134" r="4" ht="15.75" spans="1:5">
      <c s="18" r="A4" t="n"/>
      <c s="18" r="B4" t="n"/>
      <c s="19" r="C4" t="s">
        <v>29</v>
      </c>
      <c s="19" r="D4" t="s">
        <v>29</v>
      </c>
      <c s="18" r="E4" t="n"/>
    </row>
    <row customHeight="1" s="134" r="5" ht="15.75" spans="1:5">
      <c s="18" r="A5" t="n"/>
      <c s="18" r="B5" t="n"/>
      <c s="19" r="C5" t="s">
        <v>29</v>
      </c>
      <c s="19" r="D5" t="s">
        <v>29</v>
      </c>
      <c s="18" r="E5" t="n"/>
    </row>
    <row customHeight="1" s="134" r="6" ht="15.75" spans="1:5">
      <c s="18" r="A6" t="n"/>
      <c s="18" r="B6" t="n"/>
      <c s="19" r="C6" t="s">
        <v>29</v>
      </c>
      <c s="19" r="D6" t="s">
        <v>29</v>
      </c>
      <c s="18" r="E6" t="n"/>
    </row>
    <row customHeight="1" s="134" r="7" ht="15.75" spans="1:5">
      <c s="18" r="A7" t="n"/>
      <c s="18" r="B7" t="n"/>
      <c s="19" r="C7" t="s">
        <v>29</v>
      </c>
      <c s="19" r="D7" t="s">
        <v>29</v>
      </c>
      <c s="18" r="E7" t="n"/>
    </row>
    <row customHeight="1" s="134" r="8" ht="15.75" spans="1:5">
      <c s="18" r="A8" t="n"/>
      <c s="18" r="B8" t="n"/>
      <c s="19" r="C8" t="s">
        <v>29</v>
      </c>
      <c s="19" r="D8" t="s">
        <v>29</v>
      </c>
      <c s="18" r="E8" t="n"/>
    </row>
    <row customHeight="1" s="134" r="9" ht="15.75" spans="1:5">
      <c s="18" r="A9" t="n"/>
      <c s="18" r="B9" t="n"/>
      <c s="19" r="C9" t="s">
        <v>29</v>
      </c>
      <c s="19" r="D9" t="s">
        <v>29</v>
      </c>
      <c s="18" r="E9" t="n"/>
    </row>
    <row customHeight="1" s="134" r="10" ht="15.75" spans="1:5">
      <c s="18" r="A10" t="n"/>
      <c s="18" r="B10" t="n"/>
      <c s="19" r="C10" t="s">
        <v>29</v>
      </c>
      <c s="19" r="D10" t="s">
        <v>29</v>
      </c>
      <c s="18" r="E10" t="n"/>
    </row>
    <row customHeight="1" s="134" r="11" ht="15.75" spans="1:5">
      <c s="18" r="A11" t="n"/>
      <c s="18" r="B11" t="n"/>
      <c s="19" r="C11" t="s">
        <v>29</v>
      </c>
      <c s="19" r="D11" t="s">
        <v>29</v>
      </c>
      <c s="18" r="E11" t="n"/>
    </row>
    <row customHeight="1" s="134" r="12" ht="15.75" spans="1:5">
      <c s="18" r="A12" t="n"/>
      <c s="18" r="B12" t="n"/>
      <c s="19" r="C12" t="s">
        <v>29</v>
      </c>
      <c s="19" r="D12" t="s">
        <v>29</v>
      </c>
      <c s="18" r="E12" t="n"/>
    </row>
    <row customHeight="1" s="134" r="13" ht="15.75" spans="1:5">
      <c s="18" r="A13" t="n"/>
      <c s="18" r="B13" t="n"/>
      <c s="19" r="C13" t="s">
        <v>29</v>
      </c>
      <c s="19" r="D13" t="s">
        <v>29</v>
      </c>
      <c s="18" r="E13" t="n"/>
    </row>
    <row customHeight="1" s="134" r="14" ht="15.75" spans="1:5">
      <c s="18" r="A14" t="n"/>
      <c s="18" r="B14" t="n"/>
      <c s="19" r="C14" t="s">
        <v>29</v>
      </c>
      <c s="19" r="D14" t="s">
        <v>29</v>
      </c>
      <c s="18" r="E14" t="n"/>
    </row>
    <row customHeight="1" s="134" r="15" ht="15.75" spans="1:5">
      <c s="18" r="A15" t="n"/>
      <c s="18" r="B15" t="n"/>
      <c s="19" r="C15" t="s">
        <v>29</v>
      </c>
      <c s="19" r="D15" t="s">
        <v>29</v>
      </c>
      <c s="18" r="E15" t="n"/>
    </row>
    <row customHeight="1" s="134" r="16" ht="15.75" spans="1:5">
      <c s="18" r="A16" t="n"/>
      <c s="18" r="B16" t="n"/>
      <c s="19" r="C16" t="s">
        <v>29</v>
      </c>
      <c s="19" r="D16" t="s">
        <v>29</v>
      </c>
      <c s="18" r="E16" t="n"/>
    </row>
    <row customHeight="1" s="134" r="17" ht="15.75" spans="1:5">
      <c s="18" r="A17" t="n"/>
      <c s="18" r="B17" t="n"/>
      <c s="19" r="C17" t="s">
        <v>29</v>
      </c>
      <c s="19" r="D17" t="s">
        <v>29</v>
      </c>
      <c s="18" r="E17" t="n"/>
    </row>
    <row customHeight="1" s="134" r="18" ht="15.75" spans="1:5">
      <c s="20" r="A18" t="n"/>
      <c s="20" r="B18" t="n"/>
      <c s="20" r="C18" t="n"/>
      <c s="20" r="D18" t="n"/>
      <c s="20" r="E18" t="n"/>
    </row>
    <row customHeight="1" s="134" r="19" ht="15.75" spans="1:5">
      <c s="21" r="A19" t="n"/>
      <c s="22" r="B19" t="s">
        <v>49</v>
      </c>
      <c s="22" r="C19" t="s">
        <v>50</v>
      </c>
      <c s="22" r="D19" t="s">
        <v>51</v>
      </c>
      <c s="22" r="E19" t="s">
        <v>52</v>
      </c>
    </row>
    <row customHeight="1" s="134" r="20" ht="15.75" spans="1:5">
      <c s="23" r="A20" t="s">
        <v>53</v>
      </c>
      <c s="24" r="B20">
        <f>C20/E20</f>
        <v/>
      </c>
      <c s="25" r="C20">
        <f>COUNTIF(C3:C17,"Sí")</f>
        <v/>
      </c>
      <c s="25" r="D20">
        <f>COUNTIF(C3:C17,"No")</f>
        <v/>
      </c>
      <c s="25" r="E20">
        <f>COUNTA(B3:B17)</f>
        <v/>
      </c>
    </row>
  </sheetData>
  <mergeCells count="1">
    <mergeCell ref="A1:E1"/>
  </mergeCells>
  <conditionalFormatting sqref="D3:D17">
    <cfRule aboveAverage="0" bottom="0" dxfId="0" equalAverage="0" percent="0" priority="2" rank="0" text="No" type="containsText"/>
    <cfRule aboveAverage="0" bottom="0" dxfId="1" equalAverage="0" percent="0" priority="5" rank="0" text="Sí" type="containsText"/>
  </conditionalFormatting>
  <conditionalFormatting sqref="C3:C17">
    <cfRule aboveAverage="0" bottom="0" dxfId="0" equalAverage="0" percent="0" priority="3" rank="0" text="Sí" type="containsText"/>
    <cfRule aboveAverage="0" bottom="0" dxfId="1" equalAverage="0" percent="0" priority="4" rank="0" text="No" type="containsText"/>
  </conditionalFormatting>
  <dataValidations count="1">
    <dataValidation allowBlank="0" operator="between" prompt="Click and enter a value from range Blanco!E18:E20" showDropDown="0" showErrorMessage="0" showInputMessage="1" sqref="C3:C17 D3:D17"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5.xml><?xml version="1.0" encoding="utf-8"?>
<worksheet xmlns="http://schemas.openxmlformats.org/spreadsheetml/2006/main">
  <sheetPr filterMode="0">
    <outlinePr summaryBelow="1" summaryRight="1"/>
    <pageSetUpPr fitToPage="0"/>
  </sheetPr>
  <dimension ref="A1:E20"/>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73.03061224489799"/>
    <col customWidth="1" max="2" min="2" width="10.6632653061225"/>
    <col customWidth="1" max="3" min="3" width="14.5816326530612"/>
    <col customWidth="1" max="4" min="4" width="15.5255102040816"/>
    <col customWidth="1" max="5" min="5" width="53.7244897959184"/>
    <col customWidth="1" max="1025" min="6" width="13.6326530612245"/>
  </cols>
  <sheetData>
    <row customHeight="1" s="134" r="1" ht="15.75" spans="1:5">
      <c s="17" r="A1" t="s">
        <v>43</v>
      </c>
    </row>
    <row customHeight="1" s="134" r="2" ht="15.75" spans="1:5">
      <c s="15" r="A2" t="s">
        <v>44</v>
      </c>
      <c s="15" r="B2" t="s">
        <v>54</v>
      </c>
      <c s="15" r="C2" t="s">
        <v>55</v>
      </c>
      <c s="15" r="D2" t="s">
        <v>47</v>
      </c>
      <c s="15" r="E2" t="s">
        <v>48</v>
      </c>
    </row>
    <row customHeight="1" s="134" r="3" ht="15.75" spans="1:5">
      <c s="18" r="A3" t="n"/>
      <c s="18" r="B3" t="n"/>
      <c s="26" r="C3" t="n"/>
      <c s="19" r="D3" t="s">
        <v>29</v>
      </c>
      <c s="18" r="E3" t="n"/>
    </row>
    <row customHeight="1" s="134" r="4" ht="15.75" spans="1:5">
      <c s="18" r="A4" t="n"/>
      <c s="18" r="B4" t="n"/>
      <c s="26" r="C4" t="n"/>
      <c s="19" r="D4" t="s">
        <v>29</v>
      </c>
      <c s="18" r="E4" t="n"/>
    </row>
    <row customHeight="1" s="134" r="5" ht="15.75" spans="1:5">
      <c s="18" r="A5" t="n"/>
      <c s="18" r="B5" t="n"/>
      <c s="26" r="C5" t="n"/>
      <c s="19" r="D5" t="s">
        <v>29</v>
      </c>
      <c s="18" r="E5" t="n"/>
    </row>
    <row customHeight="1" s="134" r="6" ht="15.75" spans="1:5">
      <c s="18" r="A6" t="n"/>
      <c s="18" r="B6" t="n"/>
      <c s="26" r="C6" t="n"/>
      <c s="19" r="D6" t="s">
        <v>29</v>
      </c>
      <c s="18" r="E6" t="n"/>
    </row>
    <row customHeight="1" s="134" r="7" ht="15.75" spans="1:5">
      <c s="18" r="A7" t="n"/>
      <c s="18" r="B7" t="n"/>
      <c s="26" r="C7" t="n"/>
      <c s="19" r="D7" t="s">
        <v>29</v>
      </c>
      <c s="18" r="E7" t="n"/>
    </row>
    <row customHeight="1" s="134" r="8" ht="15.75" spans="1:5">
      <c s="18" r="A8" t="n"/>
      <c s="18" r="B8" t="n"/>
      <c s="26" r="C8" t="n"/>
      <c s="19" r="D8" t="s">
        <v>29</v>
      </c>
      <c s="18" r="E8" t="n"/>
    </row>
    <row customHeight="1" s="134" r="9" ht="15.75" spans="1:5">
      <c s="18" r="A9" t="n"/>
      <c s="18" r="B9" t="n"/>
      <c s="26" r="C9" t="n"/>
      <c s="19" r="D9" t="s">
        <v>29</v>
      </c>
      <c s="18" r="E9" t="n"/>
    </row>
    <row customHeight="1" s="134" r="10" ht="15.75" spans="1:5">
      <c s="18" r="A10" t="n"/>
      <c s="18" r="B10" t="n"/>
      <c s="26" r="C10" t="n"/>
      <c s="19" r="D10" t="s">
        <v>29</v>
      </c>
      <c s="18" r="E10" t="n"/>
    </row>
    <row customHeight="1" s="134" r="11" ht="15.75" spans="1:5">
      <c s="18" r="A11" t="n"/>
      <c s="18" r="B11" t="n"/>
      <c s="26" r="C11" t="n"/>
      <c s="19" r="D11" t="s">
        <v>29</v>
      </c>
      <c s="18" r="E11" t="n"/>
    </row>
    <row customHeight="1" s="134" r="12" ht="15.75" spans="1:5">
      <c s="18" r="A12" t="n"/>
      <c s="18" r="B12" t="n"/>
      <c s="26" r="C12" t="n"/>
      <c s="19" r="D12" t="s">
        <v>29</v>
      </c>
      <c s="18" r="E12" t="n"/>
    </row>
    <row customHeight="1" s="134" r="13" ht="15.75" spans="1:5">
      <c s="18" r="A13" t="n"/>
      <c s="18" r="B13" t="n"/>
      <c s="26" r="C13" t="n"/>
      <c s="19" r="D13" t="s">
        <v>29</v>
      </c>
      <c s="18" r="E13" t="n"/>
    </row>
    <row customHeight="1" s="134" r="14" ht="15.75" spans="1:5">
      <c s="18" r="A14" t="n"/>
      <c s="18" r="B14" t="n"/>
      <c s="26" r="C14" t="n"/>
      <c s="19" r="D14" t="s">
        <v>29</v>
      </c>
      <c s="18" r="E14" t="n"/>
    </row>
    <row customHeight="1" s="134" r="15" ht="15.75" spans="1:5">
      <c s="18" r="A15" t="n"/>
      <c s="18" r="B15" t="n"/>
      <c s="26" r="C15" t="n"/>
      <c s="19" r="D15" t="s">
        <v>29</v>
      </c>
      <c s="18" r="E15" t="n"/>
    </row>
    <row customHeight="1" s="134" r="16" ht="15.75" spans="1:5">
      <c s="18" r="A16" t="n"/>
      <c s="18" r="B16" t="n"/>
      <c s="26" r="C16" t="n"/>
      <c s="19" r="D16" t="s">
        <v>29</v>
      </c>
      <c s="18" r="E16" t="n"/>
    </row>
    <row customHeight="1" s="134" r="17" ht="15.75" spans="1:5">
      <c s="18" r="A17" t="n"/>
      <c s="18" r="B17" t="n"/>
      <c s="26" r="C17" t="n"/>
      <c s="19" r="D17" t="s">
        <v>29</v>
      </c>
      <c s="18" r="E17" t="n"/>
    </row>
    <row customHeight="1" s="134" r="18" ht="15.75" spans="1:5">
      <c s="20" r="A18" t="n"/>
      <c s="20" r="B18" t="n"/>
      <c s="20" r="C18" t="n"/>
      <c s="20" r="D18" t="n"/>
      <c s="20" r="E18" t="n"/>
    </row>
    <row customHeight="1" s="134" r="19" ht="15.75" spans="1:5">
      <c s="21" r="A19" t="n"/>
      <c s="22" r="B19" t="s">
        <v>49</v>
      </c>
      <c s="22" r="C19" t="s">
        <v>50</v>
      </c>
      <c s="22" r="D19" t="s">
        <v>51</v>
      </c>
      <c s="22" r="E19" t="s">
        <v>52</v>
      </c>
    </row>
    <row customHeight="1" s="134" r="20" ht="15.75" spans="1:5">
      <c s="23" r="A20" t="s">
        <v>53</v>
      </c>
      <c s="24" r="B20">
        <f>C20/E20</f>
        <v/>
      </c>
      <c s="27" r="C20">
        <f>SUM(C3:C17)</f>
        <v/>
      </c>
      <c s="27" r="D20">
        <f>E20-C20</f>
        <v/>
      </c>
      <c s="25" r="E20">
        <f>SUM(B3:B17)</f>
        <v/>
      </c>
    </row>
  </sheetData>
  <mergeCells count="1">
    <mergeCell ref="A1:E1"/>
  </mergeCells>
  <conditionalFormatting sqref="D3:D17">
    <cfRule aboveAverage="0" bottom="0" dxfId="0" equalAverage="0" percent="0" priority="2" rank="0" text="No" type="containsText"/>
    <cfRule aboveAverage="0" bottom="0" dxfId="1" equalAverage="0" percent="0" priority="3" rank="0" text="Sí" type="containsText"/>
  </conditionalFormatting>
  <dataValidations count="1">
    <dataValidation allowBlank="0" operator="between" prompt="Click and enter a value from range Blanco!E18:E20" showDropDown="0" showErrorMessage="0" showInputMessage="1" sqref="D3:D17"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6.xml><?xml version="1.0" encoding="utf-8"?>
<worksheet xmlns="http://schemas.openxmlformats.org/spreadsheetml/2006/main">
  <sheetPr filterMode="0">
    <tabColor rgb="FF0000FF"/>
    <outlinePr summaryBelow="1" summaryRight="1"/>
    <pageSetUpPr fitToPage="0"/>
  </sheetPr>
  <dimension ref="A1:K301"/>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9.178571428571431"/>
    <col customWidth="1" max="2" min="2" width="78.9693877551021"/>
    <col customWidth="1" max="3" min="3" width="16.1989795918367"/>
    <col customWidth="1" max="4" min="4" width="20.1122448979592"/>
    <col customWidth="1" max="5" min="5" width="17.0102040816327"/>
    <col customWidth="1" max="6" min="6" width="11.0714285714286"/>
    <col customWidth="1" max="7" min="7" width="14.1734693877551"/>
    <col customWidth="1" max="8" min="8" width="7.83163265306122"/>
    <col customWidth="1" max="9" min="9" width="10.8010204081633"/>
    <col customWidth="1" max="10" min="10" width="27.8061224489796"/>
    <col customWidth="1" hidden="1" max="11" min="11"/>
    <col customWidth="1" max="1025" min="12" width="13.6326530612245"/>
  </cols>
  <sheetData>
    <row customHeight="1" s="134" r="1" ht="15.75" spans="1:11">
      <c s="28" r="A1" t="s">
        <v>56</v>
      </c>
      <c s="29" r="H1" t="n"/>
      <c s="29" r="I1" t="n"/>
      <c s="29" r="J1" t="n"/>
      <c s="30" r="K1" t="n"/>
    </row>
    <row customHeight="1" s="134" r="2" ht="15.75" spans="1:11">
      <c s="31" r="A2" t="s">
        <v>57</v>
      </c>
      <c s="32" r="B2" t="s">
        <v>58</v>
      </c>
      <c s="32" r="C2" t="s">
        <v>59</v>
      </c>
      <c s="32" r="D2" t="s">
        <v>60</v>
      </c>
      <c s="32" r="E2" t="s">
        <v>61</v>
      </c>
      <c s="32" r="F2" t="s">
        <v>62</v>
      </c>
      <c s="33" r="G2" t="s">
        <v>27</v>
      </c>
      <c s="33" r="H2" t="s">
        <v>63</v>
      </c>
      <c s="33" r="I2" t="s">
        <v>46</v>
      </c>
      <c s="33" r="J2" t="s">
        <v>48</v>
      </c>
      <c s="29" r="K2" t="n"/>
    </row>
    <row customHeight="1" s="134" r="3" ht="15.75" spans="1:11">
      <c s="34" r="A3" t="s">
        <v>64</v>
      </c>
      <c s="35" r="B3" t="s">
        <v>65</v>
      </c>
      <c s="36" r="C3" t="s">
        <v>66</v>
      </c>
      <c s="36" r="D3" t="s">
        <v>67</v>
      </c>
      <c s="36" r="E3" t="s">
        <v>68</v>
      </c>
      <c s="36" r="F3" t="s">
        <v>69</v>
      </c>
      <c s="36" r="G3" t="s">
        <v>29</v>
      </c>
      <c s="36" r="H3" t="s">
        <v>29</v>
      </c>
      <c s="36" r="I3" t="s">
        <v>29</v>
      </c>
      <c s="37" r="J3">
        <f>IF(IFERROR(K3,7)=7,"",RIGHT(K3,LEN(K3)-2)&amp;".")</f>
        <v/>
      </c>
      <c s="36" r="K3">
        <f>IFERROR(__xludf.dummyfunction("CONCATENATE(ArrayFormula(""; ""&amp;QUERY(Hallazgos!A:E,""SELECT B WHERE E CONTAINS '""&amp;B3&amp;""' LABEL B ''"")))"),"; Vulnerabilidad 1")</f>
        <v/>
      </c>
    </row>
    <row customHeight="1" s="134" r="4" ht="15.75" spans="1:11">
      <c s="34" r="A4" t="s">
        <v>70</v>
      </c>
      <c s="35" r="B4" t="s">
        <v>71</v>
      </c>
      <c s="36" r="C4" t="s">
        <v>66</v>
      </c>
      <c s="36" r="D4" t="s">
        <v>67</v>
      </c>
      <c s="36" r="E4" t="s">
        <v>68</v>
      </c>
      <c s="36" r="F4" t="s">
        <v>69</v>
      </c>
      <c s="36" r="G4" t="s">
        <v>29</v>
      </c>
      <c s="36" r="H4" t="s">
        <v>29</v>
      </c>
      <c s="36" r="I4" t="s">
        <v>29</v>
      </c>
      <c s="37" r="J4">
        <f>IF(IFERROR(K4,7)=7,"",RIGHT(K4,LEN(K4)-2)&amp;".")</f>
        <v/>
      </c>
      <c s="36" r="K4">
        <f>IFERROR(__xludf.dummyfunction("CONCATENATE(ArrayFormula(""; ""&amp;QUERY(Hallazgos!A:E,""SELECT B WHERE E CONTAINS '""&amp;B4&amp;""' LABEL B ''"")))"),"#N/A")</f>
        <v/>
      </c>
    </row>
    <row customHeight="1" s="134" r="5" ht="15.75" spans="1:11">
      <c s="34" r="A5" t="s">
        <v>72</v>
      </c>
      <c s="35" r="B5" t="s">
        <v>73</v>
      </c>
      <c s="36" r="C5" t="s">
        <v>66</v>
      </c>
      <c s="36" r="D5" t="s">
        <v>67</v>
      </c>
      <c s="36" r="E5" t="s">
        <v>68</v>
      </c>
      <c s="36" r="F5" t="s">
        <v>69</v>
      </c>
      <c s="36" r="G5" t="s">
        <v>29</v>
      </c>
      <c s="36" r="H5" t="s">
        <v>29</v>
      </c>
      <c s="36" r="I5" t="s">
        <v>29</v>
      </c>
      <c s="37" r="J5">
        <f>IF(IFERROR(K5,7)=7,"",RIGHT(K5,LEN(K5)-2)&amp;".")</f>
        <v/>
      </c>
      <c s="36" r="K5">
        <f>IFERROR(__xludf.dummyfunction("CONCATENATE(ArrayFormula(""; ""&amp;QUERY(Hallazgos!A:E,""SELECT B WHERE E CONTAINS '""&amp;B5&amp;""' LABEL B ''"")))"),"#N/A")</f>
        <v/>
      </c>
    </row>
    <row customHeight="1" s="134" r="6" ht="15.75" spans="1:11">
      <c s="34" r="A6" t="s">
        <v>74</v>
      </c>
      <c s="35" r="B6" t="s">
        <v>75</v>
      </c>
      <c s="36" r="C6" t="s">
        <v>66</v>
      </c>
      <c s="36" r="D6" t="s">
        <v>67</v>
      </c>
      <c s="36" r="E6" t="s">
        <v>68</v>
      </c>
      <c s="36" r="F6" t="s">
        <v>69</v>
      </c>
      <c s="36" r="G6" t="s">
        <v>29</v>
      </c>
      <c s="36" r="H6" t="s">
        <v>29</v>
      </c>
      <c s="36" r="I6" t="s">
        <v>29</v>
      </c>
      <c s="37" r="J6">
        <f>IF(IFERROR(K6,7)=7,"",RIGHT(K6,LEN(K6)-2)&amp;".")</f>
        <v/>
      </c>
      <c s="36" r="K6">
        <f>IFERROR(__xludf.dummyfunction("CONCATENATE(ArrayFormula(""; ""&amp;QUERY(Hallazgos!A:E,""SELECT B WHERE E CONTAINS '""&amp;B6&amp;""' LABEL B ''"")))"),"#N/A")</f>
        <v/>
      </c>
    </row>
    <row customHeight="1" s="134" r="7" ht="15.75" spans="1:11">
      <c s="34" r="A7" t="s">
        <v>76</v>
      </c>
      <c s="35" r="B7" t="s">
        <v>77</v>
      </c>
      <c s="36" r="C7" t="s">
        <v>66</v>
      </c>
      <c s="36" r="D7" t="s">
        <v>67</v>
      </c>
      <c s="36" r="E7" t="s">
        <v>68</v>
      </c>
      <c s="36" r="F7" t="s">
        <v>69</v>
      </c>
      <c s="36" r="G7" t="s">
        <v>29</v>
      </c>
      <c s="36" r="H7" t="s">
        <v>29</v>
      </c>
      <c s="36" r="I7" t="s">
        <v>29</v>
      </c>
      <c s="37" r="J7">
        <f>IF(IFERROR(K7,7)=7,"",RIGHT(K7,LEN(K7)-2)&amp;".")</f>
        <v/>
      </c>
      <c s="36" r="K7">
        <f>IFERROR(__xludf.dummyfunction("CONCATENATE(ArrayFormula(""; ""&amp;QUERY(Hallazgos!A:E,""SELECT B WHERE E CONTAINS '""&amp;B7&amp;""' LABEL B ''"")))"),"#N/A")</f>
        <v/>
      </c>
    </row>
    <row customHeight="1" s="134" r="8" ht="15.75" spans="1:11">
      <c s="34" r="A8" t="s">
        <v>78</v>
      </c>
      <c s="35" r="B8" t="s">
        <v>79</v>
      </c>
      <c s="36" r="C8" t="s">
        <v>66</v>
      </c>
      <c s="36" r="D8" t="s">
        <v>67</v>
      </c>
      <c s="36" r="E8" t="s">
        <v>68</v>
      </c>
      <c s="36" r="F8" t="s">
        <v>69</v>
      </c>
      <c s="36" r="G8" t="s">
        <v>29</v>
      </c>
      <c s="36" r="H8" t="s">
        <v>29</v>
      </c>
      <c s="36" r="I8" t="s">
        <v>29</v>
      </c>
      <c s="37" r="J8">
        <f>IF(IFERROR(K8,7)=7,"",RIGHT(K8,LEN(K8)-2)&amp;".")</f>
        <v/>
      </c>
      <c s="36" r="K8">
        <f>IFERROR(__xludf.dummyfunction("CONCATENATE(ArrayFormula(""; ""&amp;QUERY(Hallazgos!A:E,""SELECT B WHERE E CONTAINS '""&amp;B8&amp;""' LABEL B ''"")))"),"#N/A")</f>
        <v/>
      </c>
    </row>
    <row customHeight="1" s="134" r="9" ht="15.75" spans="1:11">
      <c s="34" r="A9" t="s">
        <v>80</v>
      </c>
      <c s="35" r="B9" t="s">
        <v>81</v>
      </c>
      <c s="36" r="C9" t="s">
        <v>66</v>
      </c>
      <c s="36" r="D9" t="s">
        <v>67</v>
      </c>
      <c s="36" r="E9" t="s">
        <v>68</v>
      </c>
      <c s="36" r="F9" t="s">
        <v>69</v>
      </c>
      <c s="36" r="G9" t="s">
        <v>29</v>
      </c>
      <c s="36" r="H9" t="s">
        <v>29</v>
      </c>
      <c s="36" r="I9" t="s">
        <v>29</v>
      </c>
      <c s="37" r="J9">
        <f>IF(IFERROR(K9,7)=7,"",RIGHT(K9,LEN(K9)-2)&amp;".")</f>
        <v/>
      </c>
      <c s="36" r="K9">
        <f>IFERROR(__xludf.dummyfunction("CONCATENATE(ArrayFormula(""; ""&amp;QUERY(Hallazgos!A:E,""SELECT B WHERE E CONTAINS '""&amp;B9&amp;""' LABEL B ''"")))"),"#N/A")</f>
        <v/>
      </c>
    </row>
    <row customHeight="1" s="134" r="10" ht="15.75" spans="1:11">
      <c s="34" r="A10" t="s">
        <v>82</v>
      </c>
      <c s="35" r="B10" t="s">
        <v>83</v>
      </c>
      <c s="36" r="C10" t="s">
        <v>84</v>
      </c>
      <c s="36" r="D10" t="s">
        <v>67</v>
      </c>
      <c s="36" r="E10" t="s">
        <v>68</v>
      </c>
      <c s="36" r="F10" t="s">
        <v>69</v>
      </c>
      <c s="36" r="G10" t="s">
        <v>29</v>
      </c>
      <c s="36" r="H10" t="s">
        <v>29</v>
      </c>
      <c s="36" r="I10" t="s">
        <v>29</v>
      </c>
      <c s="37" r="J10">
        <f>IF(IFERROR(K10,7)=7,"",RIGHT(K10,LEN(K10)-2)&amp;".")</f>
        <v/>
      </c>
      <c s="36" r="K10">
        <f>IFERROR(__xludf.dummyfunction("CONCATENATE(ArrayFormula(""; ""&amp;QUERY(Hallazgos!A:E,""SELECT B WHERE E CONTAINS '""&amp;B10&amp;""' LABEL B ''"")))"),"#N/A")</f>
        <v/>
      </c>
    </row>
    <row customHeight="1" s="134" r="11" ht="15.75" spans="1:11">
      <c s="34" r="A11" t="s">
        <v>85</v>
      </c>
      <c s="35" r="B11" t="s">
        <v>86</v>
      </c>
      <c s="36" r="C11" t="s">
        <v>87</v>
      </c>
      <c s="36" r="D11" t="s">
        <v>67</v>
      </c>
      <c s="36" r="E11" t="s">
        <v>68</v>
      </c>
      <c s="36" r="F11" t="s">
        <v>69</v>
      </c>
      <c s="36" r="G11" t="s">
        <v>29</v>
      </c>
      <c s="36" r="H11" t="s">
        <v>29</v>
      </c>
      <c s="36" r="I11" t="s">
        <v>29</v>
      </c>
      <c s="37" r="J11">
        <f>IF(IFERROR(K11,7)=7,"",RIGHT(K11,LEN(K11)-2)&amp;".")</f>
        <v/>
      </c>
      <c s="36" r="K11">
        <f>IFERROR(__xludf.dummyfunction("CONCATENATE(ArrayFormula(""; ""&amp;QUERY(Hallazgos!A:E,""SELECT B WHERE E CONTAINS '""&amp;B11&amp;""' LABEL B ''"")))"),"#N/A")</f>
        <v/>
      </c>
    </row>
    <row customHeight="1" s="134" r="12" ht="15.75" spans="1:11">
      <c s="34" r="A12" t="s">
        <v>88</v>
      </c>
      <c s="35" r="B12" t="s">
        <v>89</v>
      </c>
      <c s="36" r="C12" t="s">
        <v>84</v>
      </c>
      <c s="36" r="D12" t="s">
        <v>67</v>
      </c>
      <c s="36" r="E12" t="s">
        <v>68</v>
      </c>
      <c s="36" r="F12" t="s">
        <v>90</v>
      </c>
      <c s="36" r="G12" t="s">
        <v>29</v>
      </c>
      <c s="36" r="H12" t="s">
        <v>29</v>
      </c>
      <c s="36" r="I12" t="s">
        <v>29</v>
      </c>
      <c s="37" r="J12">
        <f>IF(IFERROR(K12,7)=7,"",RIGHT(K12,LEN(K12)-2)&amp;".")</f>
        <v/>
      </c>
      <c s="36" r="K12">
        <f>IFERROR(__xludf.dummyfunction("CONCATENATE(ArrayFormula(""; ""&amp;QUERY(Hallazgos!A:E,""SELECT B WHERE E CONTAINS '""&amp;B12&amp;""' LABEL B ''"")))"),"#N/A")</f>
        <v/>
      </c>
    </row>
    <row customHeight="1" s="134" r="13" ht="15.75" spans="1:11">
      <c s="34" r="A13" t="s">
        <v>91</v>
      </c>
      <c s="35" r="B13" t="s">
        <v>92</v>
      </c>
      <c s="36" r="C13" t="s">
        <v>66</v>
      </c>
      <c s="36" r="D13" t="s">
        <v>67</v>
      </c>
      <c s="36" r="E13" t="s">
        <v>68</v>
      </c>
      <c s="36" r="F13" t="s">
        <v>90</v>
      </c>
      <c s="36" r="G13" t="s">
        <v>29</v>
      </c>
      <c s="36" r="H13" t="s">
        <v>29</v>
      </c>
      <c s="36" r="I13" t="s">
        <v>29</v>
      </c>
      <c s="37" r="J13">
        <f>IF(IFERROR(K13,7)=7,"",RIGHT(K13,LEN(K13)-2)&amp;".")</f>
        <v/>
      </c>
      <c s="36" r="K13">
        <f>IFERROR(__xludf.dummyfunction("CONCATENATE(ArrayFormula(""; ""&amp;QUERY(Hallazgos!A:E,""SELECT B WHERE E CONTAINS '""&amp;B13&amp;""' LABEL B ''"")))"),"#N/A")</f>
        <v/>
      </c>
    </row>
    <row customHeight="1" s="134" r="14" ht="15.75" spans="1:11">
      <c s="34" r="A14" t="s">
        <v>93</v>
      </c>
      <c s="35" r="B14" t="s">
        <v>94</v>
      </c>
      <c s="36" r="C14" t="s">
        <v>66</v>
      </c>
      <c s="36" r="D14" t="s">
        <v>67</v>
      </c>
      <c s="36" r="E14" t="s">
        <v>68</v>
      </c>
      <c s="36" r="F14" t="s">
        <v>95</v>
      </c>
      <c s="36" r="G14" t="s">
        <v>29</v>
      </c>
      <c s="36" r="H14" t="s">
        <v>29</v>
      </c>
      <c s="36" r="I14" t="s">
        <v>29</v>
      </c>
      <c s="37" r="J14">
        <f>IF(IFERROR(K14,7)=7,"",RIGHT(K14,LEN(K14)-2)&amp;".")</f>
        <v/>
      </c>
      <c s="36" r="K14">
        <f>IFERROR(__xludf.dummyfunction("CONCATENATE(ArrayFormula(""; ""&amp;QUERY(Hallazgos!A:E,""SELECT B WHERE E CONTAINS '""&amp;B14&amp;""' LABEL B ''"")))"),"#N/A")</f>
        <v/>
      </c>
    </row>
    <row customHeight="1" s="134" r="15" ht="15.75" spans="1:11">
      <c s="34" r="A15" t="s">
        <v>96</v>
      </c>
      <c s="35" r="B15" t="s">
        <v>97</v>
      </c>
      <c s="36" r="C15" t="s">
        <v>66</v>
      </c>
      <c s="36" r="D15" t="s">
        <v>67</v>
      </c>
      <c s="36" r="E15" t="s">
        <v>68</v>
      </c>
      <c s="36" r="F15" t="s">
        <v>95</v>
      </c>
      <c s="36" r="G15" t="s">
        <v>29</v>
      </c>
      <c s="36" r="H15" t="s">
        <v>29</v>
      </c>
      <c s="36" r="I15" t="s">
        <v>29</v>
      </c>
      <c s="37" r="J15">
        <f>IF(IFERROR(K15,7)=7,"",RIGHT(K15,LEN(K15)-2)&amp;".")</f>
        <v/>
      </c>
      <c s="36" r="K15">
        <f>IFERROR(__xludf.dummyfunction("CONCATENATE(ArrayFormula(""; ""&amp;QUERY(Hallazgos!A:E,""SELECT B WHERE E CONTAINS '""&amp;B15&amp;""' LABEL B ''"")))"),"#N/A")</f>
        <v/>
      </c>
    </row>
    <row customHeight="1" s="134" r="16" ht="15.75" spans="1:11">
      <c s="34" r="A16" t="s">
        <v>98</v>
      </c>
      <c s="37" r="B16" t="s">
        <v>99</v>
      </c>
      <c s="36" r="C16" t="s">
        <v>84</v>
      </c>
      <c s="36" r="D16" t="s">
        <v>67</v>
      </c>
      <c s="36" r="E16" t="s">
        <v>100</v>
      </c>
      <c s="36" r="F16" t="s">
        <v>101</v>
      </c>
      <c s="36" r="G16" t="s">
        <v>29</v>
      </c>
      <c s="36" r="H16" t="s">
        <v>29</v>
      </c>
      <c s="36" r="I16" t="s">
        <v>29</v>
      </c>
      <c s="37" r="J16">
        <f>IF(IFERROR(K16,7)=7,"",RIGHT(K16,LEN(K16)-2)&amp;".")</f>
        <v/>
      </c>
      <c s="36" r="K16">
        <f>IFERROR(__xludf.dummyfunction("CONCATENATE(ArrayFormula(""; ""&amp;QUERY(Hallazgos!A:E,""SELECT B WHERE E CONTAINS '""&amp;B16&amp;""' LABEL B ''"")))"),"#N/A")</f>
        <v/>
      </c>
    </row>
    <row customHeight="1" s="134" r="17" ht="15.75" spans="1:11">
      <c s="34" r="A17" t="s">
        <v>102</v>
      </c>
      <c s="35" r="B17" t="s">
        <v>103</v>
      </c>
      <c s="36" r="C17" t="s">
        <v>84</v>
      </c>
      <c s="36" r="D17" t="s">
        <v>104</v>
      </c>
      <c s="36" r="E17" t="s">
        <v>68</v>
      </c>
      <c s="36" r="F17" t="s">
        <v>101</v>
      </c>
      <c s="36" r="G17" t="s">
        <v>29</v>
      </c>
      <c s="36" r="H17" t="s">
        <v>29</v>
      </c>
      <c s="36" r="I17" t="s">
        <v>29</v>
      </c>
      <c s="37" r="J17">
        <f>IF(IFERROR(K17,7)=7,"",RIGHT(K17,LEN(K17)-2)&amp;".")</f>
        <v/>
      </c>
      <c s="36" r="K17">
        <f>IFERROR(__xludf.dummyfunction("CONCATENATE(ArrayFormula(""; ""&amp;QUERY(Hallazgos!A:E,""SELECT B WHERE E CONTAINS '""&amp;B17&amp;""' LABEL B ''"")))"),"#N/A")</f>
        <v/>
      </c>
    </row>
    <row customHeight="1" s="134" r="18" ht="15.75" spans="1:11">
      <c s="34" r="A18" t="s">
        <v>105</v>
      </c>
      <c s="35" r="B18" t="s">
        <v>106</v>
      </c>
      <c s="36" r="C18" t="s">
        <v>84</v>
      </c>
      <c s="36" r="D18" t="s">
        <v>104</v>
      </c>
      <c s="36" r="E18" t="s">
        <v>68</v>
      </c>
      <c s="36" r="F18" t="s">
        <v>101</v>
      </c>
      <c s="36" r="G18" t="s">
        <v>29</v>
      </c>
      <c s="36" r="H18" t="s">
        <v>29</v>
      </c>
      <c s="36" r="I18" t="s">
        <v>29</v>
      </c>
      <c s="37" r="J18">
        <f>IF(IFERROR(K18,7)=7,"",RIGHT(K18,LEN(K18)-2)&amp;".")</f>
        <v/>
      </c>
      <c s="36" r="K18">
        <f>IFERROR(__xludf.dummyfunction("CONCATENATE(ArrayFormula(""; ""&amp;QUERY(Hallazgos!A:E,""SELECT B WHERE E CONTAINS '""&amp;B18&amp;""' LABEL B ''"")))"),"#N/A")</f>
        <v/>
      </c>
    </row>
    <row customHeight="1" s="134" r="19" ht="15.75" spans="1:11">
      <c s="34" r="A19" t="s">
        <v>107</v>
      </c>
      <c s="35" r="B19" t="s">
        <v>108</v>
      </c>
      <c s="36" r="C19" t="s">
        <v>84</v>
      </c>
      <c s="36" r="D19" t="s">
        <v>104</v>
      </c>
      <c s="36" r="E19" t="s">
        <v>68</v>
      </c>
      <c s="36" r="F19" t="s">
        <v>69</v>
      </c>
      <c s="36" r="G19" t="s">
        <v>29</v>
      </c>
      <c s="36" r="H19" t="s">
        <v>29</v>
      </c>
      <c s="36" r="I19" t="s">
        <v>29</v>
      </c>
      <c s="37" r="J19">
        <f>IF(IFERROR(K19,7)=7,"",RIGHT(K19,LEN(K19)-2)&amp;".")</f>
        <v/>
      </c>
      <c s="36" r="K19">
        <f>IFERROR(__xludf.dummyfunction("CONCATENATE(ArrayFormula(""; ""&amp;QUERY(Hallazgos!A:E,""SELECT B WHERE E CONTAINS '""&amp;B19&amp;""' LABEL B ''"")))"),"#N/A")</f>
        <v/>
      </c>
    </row>
    <row customHeight="1" s="134" r="20" ht="15.75" spans="1:11">
      <c s="34" r="A20" t="s">
        <v>109</v>
      </c>
      <c s="35" r="B20" t="s">
        <v>110</v>
      </c>
      <c s="36" r="C20" t="s">
        <v>84</v>
      </c>
      <c s="36" r="D20" t="s">
        <v>104</v>
      </c>
      <c s="36" r="E20" t="s">
        <v>68</v>
      </c>
      <c s="36" r="F20" t="s">
        <v>101</v>
      </c>
      <c s="36" r="G20" t="s">
        <v>29</v>
      </c>
      <c s="36" r="H20" t="s">
        <v>29</v>
      </c>
      <c s="36" r="I20" t="s">
        <v>29</v>
      </c>
      <c s="37" r="J20">
        <f>IF(IFERROR(K20,7)=7,"",RIGHT(K20,LEN(K20)-2)&amp;".")</f>
        <v/>
      </c>
      <c s="36" r="K20">
        <f>IFERROR(__xludf.dummyfunction("CONCATENATE(ArrayFormula(""; ""&amp;QUERY(Hallazgos!A:E,""SELECT B WHERE E CONTAINS '""&amp;B20&amp;""' LABEL B ''"")))"),"#N/A")</f>
        <v/>
      </c>
    </row>
    <row customHeight="1" s="134" r="21" ht="15.75" spans="1:11">
      <c s="34" r="A21" t="s">
        <v>111</v>
      </c>
      <c s="35" r="B21" t="s">
        <v>112</v>
      </c>
      <c s="36" r="C21" t="s">
        <v>84</v>
      </c>
      <c s="36" r="D21" t="s">
        <v>104</v>
      </c>
      <c s="36" r="E21" t="s">
        <v>68</v>
      </c>
      <c s="36" r="F21" t="s">
        <v>101</v>
      </c>
      <c s="36" r="G21" t="s">
        <v>29</v>
      </c>
      <c s="36" r="H21" t="s">
        <v>29</v>
      </c>
      <c s="36" r="I21" t="s">
        <v>29</v>
      </c>
      <c s="37" r="J21">
        <f>IF(IFERROR(K21,7)=7,"",RIGHT(K21,LEN(K21)-2)&amp;".")</f>
        <v/>
      </c>
      <c s="36" r="K21">
        <f>IFERROR(__xludf.dummyfunction("CONCATENATE(ArrayFormula(""; ""&amp;QUERY(Hallazgos!A:E,""SELECT B WHERE E CONTAINS '""&amp;B21&amp;""' LABEL B ''"")))"),"#N/A")</f>
        <v/>
      </c>
    </row>
    <row customHeight="1" s="134" r="22" ht="15.75" spans="1:11">
      <c s="34" r="A22" t="s">
        <v>113</v>
      </c>
      <c s="35" r="B22" t="s">
        <v>114</v>
      </c>
      <c s="36" r="C22" t="s">
        <v>87</v>
      </c>
      <c s="36" r="D22" t="s">
        <v>115</v>
      </c>
      <c s="36" r="E22" t="s">
        <v>68</v>
      </c>
      <c s="36" r="F22" t="s">
        <v>101</v>
      </c>
      <c s="36" r="G22" t="s">
        <v>29</v>
      </c>
      <c s="36" r="H22" t="s">
        <v>29</v>
      </c>
      <c s="36" r="I22" t="s">
        <v>29</v>
      </c>
      <c s="37" r="J22">
        <f>IF(IFERROR(K22,7)=7,"",RIGHT(K22,LEN(K22)-2)&amp;".")</f>
        <v/>
      </c>
      <c s="36" r="K22">
        <f>IFERROR(__xludf.dummyfunction("CONCATENATE(ArrayFormula(""; ""&amp;QUERY(Hallazgos!A:E,""SELECT B WHERE E CONTAINS '""&amp;B22&amp;""' LABEL B ''"")))"),"#N/A")</f>
        <v/>
      </c>
    </row>
    <row customHeight="1" s="134" r="23" ht="15.75" spans="1:11">
      <c s="34" r="A23" t="s">
        <v>116</v>
      </c>
      <c s="35" r="B23" t="s">
        <v>117</v>
      </c>
      <c s="36" r="C23" t="s">
        <v>87</v>
      </c>
      <c s="36" r="D23" t="s">
        <v>115</v>
      </c>
      <c s="36" r="E23" t="s">
        <v>118</v>
      </c>
      <c s="36" r="F23" t="s">
        <v>119</v>
      </c>
      <c s="36" r="G23" t="s">
        <v>29</v>
      </c>
      <c s="36" r="H23" t="s">
        <v>29</v>
      </c>
      <c s="36" r="I23" t="s">
        <v>29</v>
      </c>
      <c s="37" r="J23">
        <f>IF(IFERROR(K23,7)=7,"",RIGHT(K23,LEN(K23)-2)&amp;".")</f>
        <v/>
      </c>
      <c s="36" r="K23">
        <f>IFERROR(__xludf.dummyfunction("CONCATENATE(ArrayFormula(""; ""&amp;QUERY(Hallazgos!A:E,""SELECT B WHERE E CONTAINS '""&amp;B23&amp;""' LABEL B ''"")))"),"#N/A")</f>
        <v/>
      </c>
    </row>
    <row customHeight="1" s="134" r="24" ht="15.75" spans="1:11">
      <c s="34" r="A24" t="s">
        <v>120</v>
      </c>
      <c s="35" r="B24" t="s">
        <v>121</v>
      </c>
      <c s="36" r="C24" t="s">
        <v>87</v>
      </c>
      <c s="36" r="D24" t="s">
        <v>115</v>
      </c>
      <c s="36" r="E24" t="s">
        <v>122</v>
      </c>
      <c s="36" r="F24" t="s">
        <v>101</v>
      </c>
      <c s="36" r="G24" t="s">
        <v>29</v>
      </c>
      <c s="36" r="H24" t="s">
        <v>29</v>
      </c>
      <c s="36" r="I24" t="s">
        <v>29</v>
      </c>
      <c s="37" r="J24">
        <f>IF(IFERROR(K24,7)=7,"",RIGHT(K24,LEN(K24)-2)&amp;".")</f>
        <v/>
      </c>
      <c s="36" r="K24">
        <f>IFERROR(__xludf.dummyfunction("CONCATENATE(ArrayFormula(""; ""&amp;QUERY(Hallazgos!A:E,""SELECT B WHERE E CONTAINS '""&amp;B24&amp;""' LABEL B ''"")))"),"#N/A")</f>
        <v/>
      </c>
    </row>
    <row customHeight="1" s="134" r="25" ht="15.75" spans="1:11">
      <c s="34" r="A25" t="s">
        <v>123</v>
      </c>
      <c s="35" r="B25" t="s">
        <v>124</v>
      </c>
      <c s="36" r="C25" t="s">
        <v>87</v>
      </c>
      <c s="36" r="D25" t="s">
        <v>115</v>
      </c>
      <c s="36" r="E25" t="s">
        <v>122</v>
      </c>
      <c s="36" r="F25" t="s">
        <v>119</v>
      </c>
      <c s="36" r="G25" t="s">
        <v>29</v>
      </c>
      <c s="36" r="H25" t="s">
        <v>29</v>
      </c>
      <c s="36" r="I25" t="s">
        <v>29</v>
      </c>
      <c s="37" r="J25">
        <f>IF(IFERROR(K25,7)=7,"",RIGHT(K25,LEN(K25)-2)&amp;".")</f>
        <v/>
      </c>
      <c s="36" r="K25">
        <f>IFERROR(__xludf.dummyfunction("CONCATENATE(ArrayFormula(""; ""&amp;QUERY(Hallazgos!A:E,""SELECT B WHERE E CONTAINS '""&amp;B25&amp;""' LABEL B ''"")))"),"#N/A")</f>
        <v/>
      </c>
    </row>
    <row customHeight="1" s="134" r="26" ht="15.75" spans="1:11">
      <c s="34" r="A26" t="s">
        <v>125</v>
      </c>
      <c s="35" r="B26" t="s">
        <v>126</v>
      </c>
      <c s="36" r="C26" t="s">
        <v>87</v>
      </c>
      <c s="36" r="D26" t="s">
        <v>115</v>
      </c>
      <c s="36" r="E26" t="s">
        <v>127</v>
      </c>
      <c s="36" r="F26" t="s">
        <v>101</v>
      </c>
      <c s="36" r="G26" t="s">
        <v>29</v>
      </c>
      <c s="36" r="H26" t="s">
        <v>29</v>
      </c>
      <c s="36" r="I26" t="s">
        <v>29</v>
      </c>
      <c s="37" r="J26">
        <f>IF(IFERROR(K26,7)=7,"",RIGHT(K26,LEN(K26)-2)&amp;".")</f>
        <v/>
      </c>
      <c s="36" r="K26">
        <f>IFERROR(__xludf.dummyfunction("CONCATENATE(ArrayFormula(""; ""&amp;QUERY(Hallazgos!A:E,""SELECT B WHERE E CONTAINS '""&amp;B26&amp;""' LABEL B ''"")))"),"#N/A")</f>
        <v/>
      </c>
    </row>
    <row customHeight="1" s="134" r="27" ht="15.75" spans="1:11">
      <c s="34" r="A27" t="s">
        <v>128</v>
      </c>
      <c s="35" r="B27" t="s">
        <v>129</v>
      </c>
      <c s="36" r="C27" t="s">
        <v>87</v>
      </c>
      <c s="36" r="D27" t="s">
        <v>115</v>
      </c>
      <c s="36" r="E27" t="s">
        <v>127</v>
      </c>
      <c s="36" r="F27" t="s">
        <v>101</v>
      </c>
      <c s="36" r="G27" t="s">
        <v>29</v>
      </c>
      <c s="36" r="H27" t="s">
        <v>29</v>
      </c>
      <c s="36" r="I27" t="s">
        <v>29</v>
      </c>
      <c s="37" r="J27">
        <f>IF(IFERROR(K27,7)=7,"",RIGHT(K27,LEN(K27)-2)&amp;".")</f>
        <v/>
      </c>
      <c s="36" r="K27">
        <f>IFERROR(__xludf.dummyfunction("CONCATENATE(ArrayFormula(""; ""&amp;QUERY(Hallazgos!A:E,""SELECT B WHERE E CONTAINS '""&amp;B27&amp;""' LABEL B ''"")))"),"#N/A")</f>
        <v/>
      </c>
    </row>
    <row customHeight="1" s="134" r="28" ht="15.75" spans="1:11">
      <c s="34" r="A28" t="s">
        <v>130</v>
      </c>
      <c s="35" r="B28" t="s">
        <v>131</v>
      </c>
      <c s="36" r="C28" t="s">
        <v>87</v>
      </c>
      <c s="36" r="D28" t="s">
        <v>115</v>
      </c>
      <c s="36" r="E28" t="s">
        <v>127</v>
      </c>
      <c s="36" r="F28" t="s">
        <v>119</v>
      </c>
      <c s="36" r="G28" t="s">
        <v>29</v>
      </c>
      <c s="36" r="H28" t="s">
        <v>29</v>
      </c>
      <c s="36" r="I28" t="s">
        <v>29</v>
      </c>
      <c s="37" r="J28">
        <f>IF(IFERROR(K28,7)=7,"",RIGHT(K28,LEN(K28)-2)&amp;".")</f>
        <v/>
      </c>
      <c s="36" r="K28">
        <f>IFERROR(__xludf.dummyfunction("CONCATENATE(ArrayFormula(""; ""&amp;QUERY(Hallazgos!A:E,""SELECT B WHERE E CONTAINS '""&amp;B28&amp;""' LABEL B ''"")))"),"#N/A")</f>
        <v/>
      </c>
    </row>
    <row customHeight="1" s="134" r="29" ht="15.75" spans="1:11">
      <c s="34" r="A29" t="s">
        <v>132</v>
      </c>
      <c s="35" r="B29" t="s">
        <v>133</v>
      </c>
      <c s="36" r="C29" t="s">
        <v>87</v>
      </c>
      <c s="36" r="D29" t="s">
        <v>115</v>
      </c>
      <c s="36" r="E29" t="s">
        <v>134</v>
      </c>
      <c s="36" r="F29" t="s">
        <v>119</v>
      </c>
      <c s="36" r="G29" t="s">
        <v>29</v>
      </c>
      <c s="36" r="H29" t="s">
        <v>29</v>
      </c>
      <c s="36" r="I29" t="s">
        <v>29</v>
      </c>
      <c s="37" r="J29">
        <f>IF(IFERROR(K29,7)=7,"",RIGHT(K29,LEN(K29)-2)&amp;".")</f>
        <v/>
      </c>
      <c s="36" r="K29">
        <f>IFERROR(__xludf.dummyfunction("CONCATENATE(ArrayFormula(""; ""&amp;QUERY(Hallazgos!A:E,""SELECT B WHERE E CONTAINS '""&amp;B29&amp;""' LABEL B ''"")))"),"#N/A")</f>
        <v/>
      </c>
    </row>
    <row customHeight="1" s="134" r="30" ht="15.75" spans="1:11">
      <c s="34" r="A30" t="s">
        <v>135</v>
      </c>
      <c s="35" r="B30" t="s">
        <v>136</v>
      </c>
      <c s="36" r="C30" t="s">
        <v>87</v>
      </c>
      <c s="36" r="D30" t="s">
        <v>115</v>
      </c>
      <c s="36" r="E30" t="s">
        <v>127</v>
      </c>
      <c s="36" r="F30" t="s">
        <v>119</v>
      </c>
      <c s="36" r="G30" t="s">
        <v>29</v>
      </c>
      <c s="36" r="H30" t="s">
        <v>29</v>
      </c>
      <c s="36" r="I30" t="s">
        <v>29</v>
      </c>
      <c s="37" r="J30">
        <f>IF(IFERROR(K30,7)=7,"",RIGHT(K30,LEN(K30)-2)&amp;".")</f>
        <v/>
      </c>
      <c s="36" r="K30">
        <f>IFERROR(__xludf.dummyfunction("CONCATENATE(ArrayFormula(""; ""&amp;QUERY(Hallazgos!A:E,""SELECT B WHERE E CONTAINS '""&amp;B30&amp;""' LABEL B ''"")))"),"#N/A")</f>
        <v/>
      </c>
    </row>
    <row customHeight="1" s="134" r="31" ht="15.75" spans="1:11">
      <c s="34" r="A31" t="s">
        <v>137</v>
      </c>
      <c s="35" r="B31" t="s">
        <v>138</v>
      </c>
      <c s="36" r="C31" t="s">
        <v>87</v>
      </c>
      <c s="36" r="D31" t="s">
        <v>139</v>
      </c>
      <c s="36" r="E31" t="s">
        <v>127</v>
      </c>
      <c s="36" r="F31" t="s">
        <v>101</v>
      </c>
      <c s="36" r="G31" t="s">
        <v>29</v>
      </c>
      <c s="36" r="H31" t="s">
        <v>29</v>
      </c>
      <c s="36" r="I31" t="s">
        <v>29</v>
      </c>
      <c s="37" r="J31">
        <f>IF(IFERROR(K31,7)=7,"",RIGHT(K31,LEN(K31)-2)&amp;".")</f>
        <v/>
      </c>
      <c s="36" r="K31">
        <f>IFERROR(__xludf.dummyfunction("CONCATENATE(ArrayFormula(""; ""&amp;QUERY(Hallazgos!A:E,""SELECT B WHERE E CONTAINS '""&amp;B31&amp;""' LABEL B ''"")))"),"#N/A")</f>
        <v/>
      </c>
    </row>
    <row customHeight="1" s="134" r="32" ht="15.75" spans="1:11">
      <c s="34" r="A32" t="s">
        <v>140</v>
      </c>
      <c s="35" r="B32" t="s">
        <v>141</v>
      </c>
      <c s="36" r="C32" t="s">
        <v>87</v>
      </c>
      <c s="36" r="D32" t="s">
        <v>139</v>
      </c>
      <c s="36" r="E32" t="s">
        <v>142</v>
      </c>
      <c s="36" r="F32" t="s">
        <v>101</v>
      </c>
      <c s="36" r="G32" t="s">
        <v>29</v>
      </c>
      <c s="36" r="H32" t="s">
        <v>29</v>
      </c>
      <c s="36" r="I32" t="s">
        <v>29</v>
      </c>
      <c s="37" r="J32">
        <f>IF(IFERROR(K32,7)=7,"",RIGHT(K32,LEN(K32)-2)&amp;".")</f>
        <v/>
      </c>
      <c s="36" r="K32">
        <f>IFERROR(__xludf.dummyfunction("CONCATENATE(ArrayFormula(""; ""&amp;QUERY(Hallazgos!A:E,""SELECT B WHERE E CONTAINS '""&amp;B32&amp;""' LABEL B ''"")))"),"#N/A")</f>
        <v/>
      </c>
    </row>
    <row customHeight="1" s="134" r="33" ht="15.75" spans="1:11">
      <c s="34" r="A33" t="s">
        <v>143</v>
      </c>
      <c s="35" r="B33" t="s">
        <v>144</v>
      </c>
      <c s="36" r="C33" t="s">
        <v>87</v>
      </c>
      <c s="36" r="D33" t="s">
        <v>139</v>
      </c>
      <c s="36" r="E33" t="s">
        <v>142</v>
      </c>
      <c s="36" r="F33" t="s">
        <v>101</v>
      </c>
      <c s="36" r="G33" t="s">
        <v>29</v>
      </c>
      <c s="36" r="H33" t="s">
        <v>29</v>
      </c>
      <c s="36" r="I33" t="s">
        <v>29</v>
      </c>
      <c s="37" r="J33">
        <f>IF(IFERROR(K33,7)=7,"",RIGHT(K33,LEN(K33)-2)&amp;".")</f>
        <v/>
      </c>
      <c s="36" r="K33">
        <f>IFERROR(__xludf.dummyfunction("CONCATENATE(ArrayFormula(""; ""&amp;QUERY(Hallazgos!A:E,""SELECT B WHERE E CONTAINS '""&amp;B33&amp;""' LABEL B ''"")))"),"#N/A")</f>
        <v/>
      </c>
    </row>
    <row customHeight="1" s="134" r="34" ht="15.75" spans="1:11">
      <c s="34" r="A34" t="s">
        <v>145</v>
      </c>
      <c s="35" r="B34" t="s">
        <v>146</v>
      </c>
      <c s="36" r="C34" t="s">
        <v>87</v>
      </c>
      <c s="36" r="D34" t="s">
        <v>147</v>
      </c>
      <c s="36" r="E34" t="s">
        <v>127</v>
      </c>
      <c s="36" r="F34" t="s">
        <v>148</v>
      </c>
      <c s="36" r="G34" t="s">
        <v>29</v>
      </c>
      <c s="36" r="H34" t="s">
        <v>29</v>
      </c>
      <c s="36" r="I34" t="s">
        <v>29</v>
      </c>
      <c s="37" r="J34">
        <f>IF(IFERROR(K34,7)=7,"",RIGHT(K34,LEN(K34)-2)&amp;".")</f>
        <v/>
      </c>
      <c s="36" r="K34">
        <f>IFERROR(__xludf.dummyfunction("CONCATENATE(ArrayFormula(""; ""&amp;QUERY(Hallazgos!A:E,""SELECT B WHERE E CONTAINS '""&amp;B34&amp;""' LABEL B ''"")))"),"#N/A")</f>
        <v/>
      </c>
    </row>
    <row customHeight="1" s="134" r="35" ht="15.75" spans="1:11">
      <c s="34" r="A35" t="s">
        <v>149</v>
      </c>
      <c s="35" r="B35" t="s">
        <v>150</v>
      </c>
      <c s="36" r="C35" t="s">
        <v>87</v>
      </c>
      <c s="36" r="D35" t="s">
        <v>147</v>
      </c>
      <c s="36" r="E35" t="s">
        <v>127</v>
      </c>
      <c s="36" r="F35" t="s">
        <v>119</v>
      </c>
      <c s="36" r="G35" t="s">
        <v>29</v>
      </c>
      <c s="36" r="H35" t="s">
        <v>29</v>
      </c>
      <c s="36" r="I35" t="s">
        <v>29</v>
      </c>
      <c s="37" r="J35">
        <f>IF(IFERROR(K35,7)=7,"",RIGHT(K35,LEN(K35)-2)&amp;".")</f>
        <v/>
      </c>
      <c s="36" r="K35">
        <f>IFERROR(__xludf.dummyfunction("CONCATENATE(ArrayFormula(""; ""&amp;QUERY(Hallazgos!A:E,""SELECT B WHERE E CONTAINS '""&amp;B35&amp;""' LABEL B ''"")))"),"#N/A")</f>
        <v/>
      </c>
    </row>
    <row customHeight="1" s="134" r="36" ht="15.75" spans="1:11">
      <c s="34" r="A36" t="s">
        <v>151</v>
      </c>
      <c s="35" r="B36" t="s">
        <v>152</v>
      </c>
      <c s="36" r="C36" t="s">
        <v>87</v>
      </c>
      <c s="36" r="D36" t="s">
        <v>147</v>
      </c>
      <c s="36" r="E36" t="s">
        <v>122</v>
      </c>
      <c s="36" r="F36" t="s">
        <v>101</v>
      </c>
      <c s="36" r="G36" t="s">
        <v>29</v>
      </c>
      <c s="36" r="H36" t="s">
        <v>29</v>
      </c>
      <c s="36" r="I36" t="s">
        <v>29</v>
      </c>
      <c s="37" r="J36">
        <f>IF(IFERROR(K36,7)=7,"",RIGHT(K36,LEN(K36)-2)&amp;".")</f>
        <v/>
      </c>
      <c s="36" r="K36">
        <f>IFERROR(__xludf.dummyfunction("CONCATENATE(ArrayFormula(""; ""&amp;QUERY(Hallazgos!A:E,""SELECT B WHERE E CONTAINS '""&amp;B36&amp;""' LABEL B ''"")))"),"#N/A")</f>
        <v/>
      </c>
    </row>
    <row customHeight="1" s="134" r="37" ht="15.75" spans="1:11">
      <c s="34" r="A37" t="s">
        <v>153</v>
      </c>
      <c s="35" r="B37" t="s">
        <v>154</v>
      </c>
      <c s="36" r="C37" t="s">
        <v>87</v>
      </c>
      <c s="36" r="D37" t="s">
        <v>147</v>
      </c>
      <c s="36" r="E37" t="s">
        <v>155</v>
      </c>
      <c s="36" r="F37" t="s">
        <v>101</v>
      </c>
      <c s="36" r="G37" t="s">
        <v>29</v>
      </c>
      <c s="36" r="H37" t="s">
        <v>29</v>
      </c>
      <c s="36" r="I37" t="s">
        <v>29</v>
      </c>
      <c s="37" r="J37">
        <f>IF(IFERROR(K37,7)=7,"",RIGHT(K37,LEN(K37)-2)&amp;".")</f>
        <v/>
      </c>
      <c s="36" r="K37">
        <f>IFERROR(__xludf.dummyfunction("CONCATENATE(ArrayFormula(""; ""&amp;QUERY(Hallazgos!A:E,""SELECT B WHERE E CONTAINS '""&amp;B37&amp;""' LABEL B ''"")))"),"#N/A")</f>
        <v/>
      </c>
    </row>
    <row customHeight="1" s="134" r="38" ht="15.75" spans="1:11">
      <c s="34" r="A38" t="s">
        <v>156</v>
      </c>
      <c s="35" r="B38" t="s">
        <v>157</v>
      </c>
      <c s="36" r="C38" t="s">
        <v>87</v>
      </c>
      <c s="36" r="D38" t="s">
        <v>147</v>
      </c>
      <c s="36" r="E38" t="s">
        <v>122</v>
      </c>
      <c s="36" r="F38" t="s">
        <v>101</v>
      </c>
      <c s="36" r="G38" t="s">
        <v>29</v>
      </c>
      <c s="36" r="H38" t="s">
        <v>29</v>
      </c>
      <c s="36" r="I38" t="s">
        <v>29</v>
      </c>
      <c s="37" r="J38">
        <f>IF(IFERROR(K38,7)=7,"",RIGHT(K38,LEN(K38)-2)&amp;".")</f>
        <v/>
      </c>
      <c s="36" r="K38">
        <f>IFERROR(__xludf.dummyfunction("CONCATENATE(ArrayFormula(""; ""&amp;QUERY(Hallazgos!A:E,""SELECT B WHERE E CONTAINS '""&amp;B38&amp;""' LABEL B ''"")))"),"#N/A")</f>
        <v/>
      </c>
    </row>
    <row customHeight="1" s="134" r="39" ht="15.75" spans="1:11">
      <c s="34" r="A39" t="s">
        <v>158</v>
      </c>
      <c s="35" r="B39" t="s">
        <v>159</v>
      </c>
      <c s="36" r="C39" t="s">
        <v>87</v>
      </c>
      <c s="36" r="D39" t="s">
        <v>147</v>
      </c>
      <c s="36" r="E39" t="s">
        <v>160</v>
      </c>
      <c s="36" r="F39" t="s">
        <v>101</v>
      </c>
      <c s="36" r="G39" t="s">
        <v>29</v>
      </c>
      <c s="36" r="H39" t="s">
        <v>29</v>
      </c>
      <c s="36" r="I39" t="s">
        <v>29</v>
      </c>
      <c s="37" r="J39">
        <f>IF(IFERROR(K39,7)=7,"",RIGHT(K39,LEN(K39)-2)&amp;".")</f>
        <v/>
      </c>
      <c s="36" r="K39">
        <f>IFERROR(__xludf.dummyfunction("CONCATENATE(ArrayFormula(""; ""&amp;QUERY(Hallazgos!A:E,""SELECT B WHERE E CONTAINS '""&amp;B39&amp;""' LABEL B ''"")))"),"#N/A")</f>
        <v/>
      </c>
    </row>
    <row customHeight="1" s="134" r="40" ht="15.75" spans="1:11">
      <c s="34" r="A40" t="s">
        <v>161</v>
      </c>
      <c s="35" r="B40" t="s">
        <v>162</v>
      </c>
      <c s="36" r="C40" t="s">
        <v>87</v>
      </c>
      <c s="36" r="D40" t="s">
        <v>147</v>
      </c>
      <c s="36" r="E40" t="s">
        <v>122</v>
      </c>
      <c s="36" r="F40" t="s">
        <v>101</v>
      </c>
      <c s="36" r="G40" t="s">
        <v>29</v>
      </c>
      <c s="36" r="H40" t="s">
        <v>29</v>
      </c>
      <c s="36" r="I40" t="s">
        <v>29</v>
      </c>
      <c s="37" r="J40">
        <f>IF(IFERROR(K40,7)=7,"",RIGHT(K40,LEN(K40)-2)&amp;".")</f>
        <v/>
      </c>
      <c s="36" r="K40">
        <f>IFERROR(__xludf.dummyfunction("CONCATENATE(ArrayFormula(""; ""&amp;QUERY(Hallazgos!A:E,""SELECT B WHERE E CONTAINS '""&amp;B40&amp;""' LABEL B ''"")))"),"#N/A")</f>
        <v/>
      </c>
    </row>
    <row customHeight="1" s="134" r="41" ht="15.75" spans="1:11">
      <c s="34" r="A41" t="s">
        <v>163</v>
      </c>
      <c s="35" r="B41" t="s">
        <v>164</v>
      </c>
      <c s="36" r="C41" t="s">
        <v>87</v>
      </c>
      <c s="36" r="D41" t="s">
        <v>147</v>
      </c>
      <c s="36" r="E41" t="s">
        <v>160</v>
      </c>
      <c s="36" r="F41" t="s">
        <v>119</v>
      </c>
      <c s="36" r="G41" t="s">
        <v>29</v>
      </c>
      <c s="36" r="H41" t="s">
        <v>29</v>
      </c>
      <c s="36" r="I41" t="s">
        <v>29</v>
      </c>
      <c s="37" r="J41">
        <f>IF(IFERROR(K41,7)=7,"",RIGHT(K41,LEN(K41)-2)&amp;".")</f>
        <v/>
      </c>
      <c s="36" r="K41">
        <f>IFERROR(__xludf.dummyfunction("CONCATENATE(ArrayFormula(""; ""&amp;QUERY(Hallazgos!A:E,""SELECT B WHERE E CONTAINS '""&amp;B41&amp;""' LABEL B ''"")))"),"#N/A")</f>
        <v/>
      </c>
    </row>
    <row customHeight="1" s="134" r="42" ht="15.75" spans="1:11">
      <c s="34" r="A42" t="s">
        <v>165</v>
      </c>
      <c s="35" r="B42" t="s">
        <v>166</v>
      </c>
      <c s="36" r="C42" t="s">
        <v>87</v>
      </c>
      <c s="36" r="D42" t="s">
        <v>147</v>
      </c>
      <c s="36" r="E42" t="s">
        <v>160</v>
      </c>
      <c s="36" r="F42" t="s">
        <v>119</v>
      </c>
      <c s="36" r="G42" t="s">
        <v>29</v>
      </c>
      <c s="36" r="H42" t="s">
        <v>29</v>
      </c>
      <c s="36" r="I42" t="s">
        <v>29</v>
      </c>
      <c s="37" r="J42">
        <f>IF(IFERROR(K42,7)=7,"",RIGHT(K42,LEN(K42)-2)&amp;".")</f>
        <v/>
      </c>
      <c s="36" r="K42">
        <f>IFERROR(__xludf.dummyfunction("CONCATENATE(ArrayFormula(""; ""&amp;QUERY(Hallazgos!A:E,""SELECT B WHERE E CONTAINS '""&amp;B42&amp;""' LABEL B ''"")))"),"#N/A")</f>
        <v/>
      </c>
    </row>
    <row customHeight="1" s="134" r="43" ht="15.75" spans="1:11">
      <c s="34" r="A43" t="s">
        <v>167</v>
      </c>
      <c s="35" r="B43" t="s">
        <v>168</v>
      </c>
      <c s="36" r="C43" t="s">
        <v>66</v>
      </c>
      <c s="36" r="D43" t="s">
        <v>147</v>
      </c>
      <c s="36" r="E43" t="s">
        <v>127</v>
      </c>
      <c s="36" r="F43" t="s">
        <v>101</v>
      </c>
      <c s="36" r="G43" t="s">
        <v>29</v>
      </c>
      <c s="36" r="H43" t="s">
        <v>29</v>
      </c>
      <c s="36" r="I43" t="s">
        <v>29</v>
      </c>
      <c s="37" r="J43">
        <f>IF(IFERROR(K43,7)=7,"",RIGHT(K43,LEN(K43)-2)&amp;".")</f>
        <v/>
      </c>
      <c s="36" r="K43">
        <f>IFERROR(__xludf.dummyfunction("CONCATENATE(ArrayFormula(""; ""&amp;QUERY(Hallazgos!A:E,""SELECT B WHERE E CONTAINS '""&amp;B43&amp;""' LABEL B ''"")))"),"#N/A")</f>
        <v/>
      </c>
    </row>
    <row customHeight="1" s="134" r="44" ht="15.75" spans="1:11">
      <c s="34" r="A44" t="s">
        <v>169</v>
      </c>
      <c s="35" r="B44" t="s">
        <v>170</v>
      </c>
      <c s="36" r="C44" t="s">
        <v>87</v>
      </c>
      <c s="36" r="D44" t="s">
        <v>147</v>
      </c>
      <c s="36" r="E44" t="s">
        <v>122</v>
      </c>
      <c s="36" r="F44" t="s">
        <v>101</v>
      </c>
      <c s="36" r="G44" t="s">
        <v>29</v>
      </c>
      <c s="36" r="H44" t="s">
        <v>29</v>
      </c>
      <c s="36" r="I44" t="s">
        <v>29</v>
      </c>
      <c s="37" r="J44">
        <f>IF(IFERROR(K44,7)=7,"",RIGHT(K44,LEN(K44)-2)&amp;".")</f>
        <v/>
      </c>
      <c s="36" r="K44">
        <f>IFERROR(__xludf.dummyfunction("CONCATENATE(ArrayFormula(""; ""&amp;QUERY(Hallazgos!A:E,""SELECT B WHERE E CONTAINS '""&amp;B44&amp;""' LABEL B ''"")))"),"#N/A")</f>
        <v/>
      </c>
    </row>
    <row customHeight="1" s="134" r="45" ht="15.75" spans="1:11">
      <c s="34" r="A45" t="s">
        <v>171</v>
      </c>
      <c s="35" r="B45" t="s">
        <v>172</v>
      </c>
      <c s="36" r="C45" t="s">
        <v>87</v>
      </c>
      <c s="36" r="D45" t="s">
        <v>147</v>
      </c>
      <c s="36" r="E45" t="s">
        <v>122</v>
      </c>
      <c s="36" r="F45" t="s">
        <v>101</v>
      </c>
      <c s="36" r="G45" t="s">
        <v>29</v>
      </c>
      <c s="36" r="H45" t="s">
        <v>29</v>
      </c>
      <c s="36" r="I45" t="s">
        <v>29</v>
      </c>
      <c s="37" r="J45">
        <f>IF(IFERROR(K45,7)=7,"",RIGHT(K45,LEN(K45)-2)&amp;".")</f>
        <v/>
      </c>
      <c s="36" r="K45">
        <f>IFERROR(__xludf.dummyfunction("CONCATENATE(ArrayFormula(""; ""&amp;QUERY(Hallazgos!A:E,""SELECT B WHERE E CONTAINS '""&amp;B45&amp;""' LABEL B ''"")))"),"#N/A")</f>
        <v/>
      </c>
    </row>
    <row customHeight="1" s="134" r="46" ht="15.75" spans="1:11">
      <c s="34" r="A46" t="s">
        <v>173</v>
      </c>
      <c s="35" r="B46" t="s">
        <v>174</v>
      </c>
      <c s="36" r="C46" t="s">
        <v>87</v>
      </c>
      <c s="36" r="D46" t="s">
        <v>175</v>
      </c>
      <c s="36" r="E46" t="s">
        <v>176</v>
      </c>
      <c s="36" r="F46" t="s">
        <v>90</v>
      </c>
      <c s="36" r="G46" t="s">
        <v>29</v>
      </c>
      <c s="36" r="H46" t="s">
        <v>29</v>
      </c>
      <c s="36" r="I46" t="s">
        <v>29</v>
      </c>
      <c s="37" r="J46">
        <f>IF(IFERROR(K46,7)=7,"",RIGHT(K46,LEN(K46)-2)&amp;".")</f>
        <v/>
      </c>
      <c s="36" r="K46">
        <f>IFERROR(__xludf.dummyfunction("CONCATENATE(ArrayFormula(""; ""&amp;QUERY(Hallazgos!A:E,""SELECT B WHERE E CONTAINS '""&amp;B46&amp;""' LABEL B ''"")))"),"#N/A")</f>
        <v/>
      </c>
    </row>
    <row customHeight="1" s="134" r="47" ht="15.75" spans="1:11">
      <c s="34" r="A47" t="s">
        <v>177</v>
      </c>
      <c s="35" r="B47" t="s">
        <v>178</v>
      </c>
      <c s="36" r="C47" t="s">
        <v>87</v>
      </c>
      <c s="36" r="D47" t="s">
        <v>175</v>
      </c>
      <c s="36" r="E47" t="s">
        <v>176</v>
      </c>
      <c s="36" r="F47" t="s">
        <v>90</v>
      </c>
      <c s="36" r="G47" t="s">
        <v>29</v>
      </c>
      <c s="36" r="H47" t="s">
        <v>29</v>
      </c>
      <c s="36" r="I47" t="s">
        <v>29</v>
      </c>
      <c s="37" r="J47">
        <f>IF(IFERROR(K47,7)=7,"",RIGHT(K47,LEN(K47)-2)&amp;".")</f>
        <v/>
      </c>
      <c s="36" r="K47">
        <f>IFERROR(__xludf.dummyfunction("CONCATENATE(ArrayFormula(""; ""&amp;QUERY(Hallazgos!A:E,""SELECT B WHERE E CONTAINS '""&amp;B47&amp;""' LABEL B ''"")))"),"#N/A")</f>
        <v/>
      </c>
    </row>
    <row customHeight="1" s="134" r="48" ht="15.75" spans="1:11">
      <c s="34" r="A48" t="s">
        <v>179</v>
      </c>
      <c s="35" r="B48" t="s">
        <v>180</v>
      </c>
      <c s="36" r="C48" t="s">
        <v>84</v>
      </c>
      <c s="36" r="D48" t="s">
        <v>175</v>
      </c>
      <c s="36" r="E48" t="s">
        <v>122</v>
      </c>
      <c s="36" r="F48" t="s">
        <v>119</v>
      </c>
      <c s="36" r="G48" t="s">
        <v>29</v>
      </c>
      <c s="36" r="H48" t="s">
        <v>29</v>
      </c>
      <c s="36" r="I48" t="s">
        <v>29</v>
      </c>
      <c s="37" r="J48">
        <f>IF(IFERROR(K48,7)=7,"",RIGHT(K48,LEN(K48)-2)&amp;".")</f>
        <v/>
      </c>
      <c s="36" r="K48">
        <f>IFERROR(__xludf.dummyfunction("CONCATENATE(ArrayFormula(""; ""&amp;QUERY(Hallazgos!A:E,""SELECT B WHERE E CONTAINS '""&amp;B48&amp;""' LABEL B ''"")))"),"#N/A")</f>
        <v/>
      </c>
    </row>
    <row customHeight="1" s="134" r="49" ht="15.75" spans="1:11">
      <c s="34" r="A49" t="s">
        <v>181</v>
      </c>
      <c s="35" r="B49" t="s">
        <v>182</v>
      </c>
      <c s="36" r="C49" t="s">
        <v>84</v>
      </c>
      <c s="36" r="D49" t="s">
        <v>175</v>
      </c>
      <c s="36" r="E49" t="s">
        <v>127</v>
      </c>
      <c s="36" r="F49" t="s">
        <v>90</v>
      </c>
      <c s="36" r="G49" t="s">
        <v>29</v>
      </c>
      <c s="36" r="H49" t="s">
        <v>29</v>
      </c>
      <c s="36" r="I49" t="s">
        <v>29</v>
      </c>
      <c s="37" r="J49">
        <f>IF(IFERROR(K49,7)=7,"",RIGHT(K49,LEN(K49)-2)&amp;".")</f>
        <v/>
      </c>
      <c s="36" r="K49">
        <f>IFERROR(__xludf.dummyfunction("CONCATENATE(ArrayFormula(""; ""&amp;QUERY(Hallazgos!A:E,""SELECT B WHERE E CONTAINS '""&amp;B49&amp;""' LABEL B ''"")))"),"#N/A")</f>
        <v/>
      </c>
    </row>
    <row customHeight="1" s="134" r="50" ht="15.75" spans="1:11">
      <c s="34" r="A50" t="s">
        <v>183</v>
      </c>
      <c s="35" r="B50" t="s">
        <v>184</v>
      </c>
      <c s="36" r="C50" t="s">
        <v>84</v>
      </c>
      <c s="36" r="D50" t="s">
        <v>175</v>
      </c>
      <c s="36" r="E50" t="s">
        <v>68</v>
      </c>
      <c s="36" r="F50" t="s">
        <v>90</v>
      </c>
      <c s="36" r="G50" t="s">
        <v>29</v>
      </c>
      <c s="36" r="H50" t="s">
        <v>29</v>
      </c>
      <c s="36" r="I50" t="s">
        <v>29</v>
      </c>
      <c s="37" r="J50">
        <f>IF(IFERROR(K50,7)=7,"",RIGHT(K50,LEN(K50)-2)&amp;".")</f>
        <v/>
      </c>
      <c s="36" r="K50">
        <f>IFERROR(__xludf.dummyfunction("CONCATENATE(ArrayFormula(""; ""&amp;QUERY(Hallazgos!A:E,""SELECT B WHERE E CONTAINS '""&amp;B50&amp;""' LABEL B ''"")))"),"#N/A")</f>
        <v/>
      </c>
    </row>
    <row customHeight="1" s="134" r="51" ht="15.75" spans="1:11">
      <c s="34" r="A51" t="s">
        <v>185</v>
      </c>
      <c s="35" r="B51" t="s">
        <v>186</v>
      </c>
      <c s="36" r="C51" t="s">
        <v>84</v>
      </c>
      <c s="36" r="D51" t="s">
        <v>175</v>
      </c>
      <c s="36" r="E51" t="s">
        <v>68</v>
      </c>
      <c s="36" r="F51" t="s">
        <v>90</v>
      </c>
      <c s="36" r="G51" t="s">
        <v>29</v>
      </c>
      <c s="36" r="H51" t="s">
        <v>29</v>
      </c>
      <c s="36" r="I51" t="s">
        <v>29</v>
      </c>
      <c s="37" r="J51">
        <f>IF(IFERROR(K51,7)=7,"",RIGHT(K51,LEN(K51)-2)&amp;".")</f>
        <v/>
      </c>
      <c s="36" r="K51">
        <f>IFERROR(__xludf.dummyfunction("CONCATENATE(ArrayFormula(""; ""&amp;QUERY(Hallazgos!A:E,""SELECT B WHERE E CONTAINS '""&amp;B51&amp;""' LABEL B ''"")))"),"#N/A")</f>
        <v/>
      </c>
    </row>
    <row customHeight="1" s="134" r="52" ht="15.75" spans="1:11">
      <c s="34" r="A52" t="s">
        <v>187</v>
      </c>
      <c s="35" r="B52" t="s">
        <v>188</v>
      </c>
      <c s="36" r="C52" t="s">
        <v>84</v>
      </c>
      <c s="36" r="D52" t="s">
        <v>175</v>
      </c>
      <c s="36" r="E52" t="s">
        <v>68</v>
      </c>
      <c s="36" r="F52" t="s">
        <v>90</v>
      </c>
      <c s="36" r="G52" t="s">
        <v>29</v>
      </c>
      <c s="36" r="H52" t="s">
        <v>29</v>
      </c>
      <c s="36" r="I52" t="s">
        <v>29</v>
      </c>
      <c s="37" r="J52">
        <f>IF(IFERROR(K52,7)=7,"",RIGHT(K52,LEN(K52)-2)&amp;".")</f>
        <v/>
      </c>
      <c s="36" r="K52">
        <f>IFERROR(__xludf.dummyfunction("CONCATENATE(ArrayFormula(""; ""&amp;QUERY(Hallazgos!A:E,""SELECT B WHERE E CONTAINS '""&amp;B52&amp;""' LABEL B ''"")))"),"#N/A")</f>
        <v/>
      </c>
    </row>
    <row customHeight="1" s="134" r="53" ht="15.75" spans="1:11">
      <c s="34" r="A53" t="s">
        <v>189</v>
      </c>
      <c s="35" r="B53" t="s">
        <v>190</v>
      </c>
      <c s="36" r="C53" t="s">
        <v>84</v>
      </c>
      <c s="36" r="D53" t="s">
        <v>175</v>
      </c>
      <c s="36" r="E53" t="s">
        <v>68</v>
      </c>
      <c s="36" r="F53" t="s">
        <v>90</v>
      </c>
      <c s="36" r="G53" t="s">
        <v>29</v>
      </c>
      <c s="36" r="H53" t="s">
        <v>29</v>
      </c>
      <c s="36" r="I53" t="s">
        <v>29</v>
      </c>
      <c s="37" r="J53">
        <f>IF(IFERROR(K53,7)=7,"",RIGHT(K53,LEN(K53)-2)&amp;".")</f>
        <v/>
      </c>
      <c s="36" r="K53">
        <f>IFERROR(__xludf.dummyfunction("CONCATENATE(ArrayFormula(""; ""&amp;QUERY(Hallazgos!A:E,""SELECT B WHERE E CONTAINS '""&amp;B53&amp;""' LABEL B ''"")))"),"#N/A")</f>
        <v/>
      </c>
    </row>
    <row customHeight="1" s="134" r="54" ht="15.75" spans="1:11">
      <c s="34" r="A54" t="s">
        <v>191</v>
      </c>
      <c s="35" r="B54" t="s">
        <v>192</v>
      </c>
      <c s="36" r="C54" t="s">
        <v>84</v>
      </c>
      <c s="36" r="D54" t="s">
        <v>175</v>
      </c>
      <c s="36" r="E54" t="s">
        <v>68</v>
      </c>
      <c s="36" r="F54" t="s">
        <v>90</v>
      </c>
      <c s="36" r="G54" t="s">
        <v>29</v>
      </c>
      <c s="36" r="H54" t="s">
        <v>29</v>
      </c>
      <c s="36" r="I54" t="s">
        <v>29</v>
      </c>
      <c s="37" r="J54">
        <f>IF(IFERROR(K54,7)=7,"",RIGHT(K54,LEN(K54)-2)&amp;".")</f>
        <v/>
      </c>
      <c s="36" r="K54">
        <f>IFERROR(__xludf.dummyfunction("CONCATENATE(ArrayFormula(""; ""&amp;QUERY(Hallazgos!A:E,""SELECT B WHERE E CONTAINS '""&amp;B54&amp;""' LABEL B ''"")))"),"#N/A")</f>
        <v/>
      </c>
    </row>
    <row customHeight="1" s="134" r="55" ht="15.75" spans="1:11">
      <c s="34" r="A55" t="s">
        <v>193</v>
      </c>
      <c s="35" r="B55" t="s">
        <v>194</v>
      </c>
      <c s="36" r="C55" t="s">
        <v>84</v>
      </c>
      <c s="36" r="D55" t="s">
        <v>175</v>
      </c>
      <c s="36" r="E55" t="s">
        <v>68</v>
      </c>
      <c s="36" r="F55" t="s">
        <v>90</v>
      </c>
      <c s="36" r="G55" t="s">
        <v>29</v>
      </c>
      <c s="36" r="H55" t="s">
        <v>29</v>
      </c>
      <c s="36" r="I55" t="s">
        <v>29</v>
      </c>
      <c s="37" r="J55">
        <f>IF(IFERROR(K55,7)=7,"",RIGHT(K55,LEN(K55)-2)&amp;".")</f>
        <v/>
      </c>
      <c s="36" r="K55">
        <f>IFERROR(__xludf.dummyfunction("CONCATENATE(ArrayFormula(""; ""&amp;QUERY(Hallazgos!A:E,""SELECT B WHERE E CONTAINS '""&amp;B55&amp;""' LABEL B ''"")))"),"#N/A")</f>
        <v/>
      </c>
    </row>
    <row customHeight="1" s="134" r="56" ht="15.75" spans="1:11">
      <c s="34" r="A56" t="s">
        <v>195</v>
      </c>
      <c s="35" r="B56" t="s">
        <v>196</v>
      </c>
      <c s="36" r="C56" t="s">
        <v>84</v>
      </c>
      <c s="36" r="D56" t="s">
        <v>175</v>
      </c>
      <c s="36" r="E56" t="s">
        <v>68</v>
      </c>
      <c s="36" r="F56" t="s">
        <v>90</v>
      </c>
      <c s="36" r="G56" t="s">
        <v>29</v>
      </c>
      <c s="36" r="H56" t="s">
        <v>29</v>
      </c>
      <c s="36" r="I56" t="s">
        <v>29</v>
      </c>
      <c s="37" r="J56">
        <f>IF(IFERROR(K56,7)=7,"",RIGHT(K56,LEN(K56)-2)&amp;".")</f>
        <v/>
      </c>
      <c s="36" r="K56">
        <f>IFERROR(__xludf.dummyfunction("CONCATENATE(ArrayFormula(""; ""&amp;QUERY(Hallazgos!A:E,""SELECT B WHERE E CONTAINS '""&amp;B56&amp;""' LABEL B ''"")))"),"#N/A")</f>
        <v/>
      </c>
    </row>
    <row customHeight="1" s="134" r="57" ht="15.75" spans="1:11">
      <c s="34" r="A57" t="s">
        <v>197</v>
      </c>
      <c s="35" r="B57" t="s">
        <v>198</v>
      </c>
      <c s="36" r="C57" t="s">
        <v>84</v>
      </c>
      <c s="36" r="D57" t="s">
        <v>175</v>
      </c>
      <c s="36" r="E57" t="s">
        <v>68</v>
      </c>
      <c s="36" r="F57" t="s">
        <v>90</v>
      </c>
      <c s="36" r="G57" t="s">
        <v>29</v>
      </c>
      <c s="36" r="H57" t="s">
        <v>29</v>
      </c>
      <c s="36" r="I57" t="s">
        <v>29</v>
      </c>
      <c s="37" r="J57">
        <f>IF(IFERROR(K57,7)=7,"",RIGHT(K57,LEN(K57)-2)&amp;".")</f>
        <v/>
      </c>
      <c s="36" r="K57">
        <f>IFERROR(__xludf.dummyfunction("CONCATENATE(ArrayFormula(""; ""&amp;QUERY(Hallazgos!A:E,""SELECT B WHERE E CONTAINS '""&amp;B57&amp;""' LABEL B ''"")))"),"#N/A")</f>
        <v/>
      </c>
    </row>
    <row customHeight="1" s="134" r="58" ht="15.75" spans="1:11">
      <c s="34" r="A58" t="s">
        <v>199</v>
      </c>
      <c s="35" r="B58" t="s">
        <v>200</v>
      </c>
      <c s="36" r="C58" t="s">
        <v>84</v>
      </c>
      <c s="36" r="D58" t="s">
        <v>175</v>
      </c>
      <c s="36" r="E58" t="s">
        <v>176</v>
      </c>
      <c s="36" r="F58" t="s">
        <v>101</v>
      </c>
      <c s="36" r="G58" t="s">
        <v>29</v>
      </c>
      <c s="36" r="H58" t="s">
        <v>29</v>
      </c>
      <c s="36" r="I58" t="s">
        <v>29</v>
      </c>
      <c s="37" r="J58">
        <f>IF(IFERROR(K58,7)=7,"",RIGHT(K58,LEN(K58)-2)&amp;".")</f>
        <v/>
      </c>
      <c s="36" r="K58">
        <f>IFERROR(__xludf.dummyfunction("CONCATENATE(ArrayFormula(""; ""&amp;QUERY(Hallazgos!A:E,""SELECT B WHERE E CONTAINS '""&amp;B58&amp;""' LABEL B ''"")))"),"#N/A")</f>
        <v/>
      </c>
    </row>
    <row customHeight="1" s="134" r="59" ht="15.75" spans="1:11">
      <c s="34" r="A59" t="s">
        <v>201</v>
      </c>
      <c s="35" r="B59" t="s">
        <v>202</v>
      </c>
      <c s="36" r="C59" t="s">
        <v>84</v>
      </c>
      <c s="36" r="D59" t="s">
        <v>175</v>
      </c>
      <c s="36" r="E59" t="s">
        <v>68</v>
      </c>
      <c s="36" r="F59" t="s">
        <v>119</v>
      </c>
      <c s="36" r="G59" t="s">
        <v>29</v>
      </c>
      <c s="36" r="H59" t="s">
        <v>29</v>
      </c>
      <c s="36" r="I59" t="s">
        <v>29</v>
      </c>
      <c s="37" r="J59">
        <f>IF(IFERROR(K59,7)=7,"",RIGHT(K59,LEN(K59)-2)&amp;".")</f>
        <v/>
      </c>
      <c s="36" r="K59">
        <f>IFERROR(__xludf.dummyfunction("CONCATENATE(ArrayFormula(""; ""&amp;QUERY(Hallazgos!A:E,""SELECT B WHERE E CONTAINS '""&amp;B59&amp;""' LABEL B ''"")))"),"#N/A")</f>
        <v/>
      </c>
    </row>
    <row customHeight="1" s="134" r="60" ht="15.75" spans="1:11">
      <c s="34" r="A60" t="s">
        <v>203</v>
      </c>
      <c s="35" r="B60" t="s">
        <v>204</v>
      </c>
      <c s="36" r="C60" t="s">
        <v>84</v>
      </c>
      <c s="36" r="D60" t="s">
        <v>175</v>
      </c>
      <c s="36" r="E60" t="s">
        <v>68</v>
      </c>
      <c s="36" r="F60" t="s">
        <v>95</v>
      </c>
      <c s="36" r="G60" t="s">
        <v>29</v>
      </c>
      <c s="36" r="H60" t="s">
        <v>29</v>
      </c>
      <c s="36" r="I60" t="s">
        <v>29</v>
      </c>
      <c s="37" r="J60">
        <f>IF(IFERROR(K60,7)=7,"",RIGHT(K60,LEN(K60)-2)&amp;".")</f>
        <v/>
      </c>
      <c s="36" r="K60">
        <f>IFERROR(__xludf.dummyfunction("CONCATENATE(ArrayFormula(""; ""&amp;QUERY(Hallazgos!A:E,""SELECT B WHERE E CONTAINS '""&amp;B60&amp;""' LABEL B ''"")))"),"#N/A")</f>
        <v/>
      </c>
    </row>
    <row customHeight="1" s="134" r="61" ht="15.75" spans="1:11">
      <c s="34" r="A61" t="s">
        <v>205</v>
      </c>
      <c s="35" r="B61" t="s">
        <v>206</v>
      </c>
      <c s="36" r="C61" t="s">
        <v>84</v>
      </c>
      <c s="36" r="D61" t="s">
        <v>175</v>
      </c>
      <c s="36" r="E61" t="s">
        <v>68</v>
      </c>
      <c s="36" r="F61" t="s">
        <v>95</v>
      </c>
      <c s="36" r="G61" t="s">
        <v>29</v>
      </c>
      <c s="36" r="H61" t="s">
        <v>29</v>
      </c>
      <c s="36" r="I61" t="s">
        <v>29</v>
      </c>
      <c s="37" r="J61">
        <f>IF(IFERROR(K61,7)=7,"",RIGHT(K61,LEN(K61)-2)&amp;".")</f>
        <v/>
      </c>
      <c s="36" r="K61">
        <f>IFERROR(__xludf.dummyfunction("CONCATENATE(ArrayFormula(""; ""&amp;QUERY(Hallazgos!A:E,""SELECT B WHERE E CONTAINS '""&amp;B61&amp;""' LABEL B ''"")))"),"#N/A")</f>
        <v/>
      </c>
    </row>
    <row customHeight="1" s="134" r="62" ht="15.75" spans="1:11">
      <c s="34" r="A62" t="s">
        <v>207</v>
      </c>
      <c s="35" r="B62" t="s">
        <v>208</v>
      </c>
      <c s="36" r="C62" t="s">
        <v>84</v>
      </c>
      <c s="36" r="D62" t="s">
        <v>175</v>
      </c>
      <c s="36" r="E62" t="s">
        <v>68</v>
      </c>
      <c s="36" r="F62" t="s">
        <v>95</v>
      </c>
      <c s="36" r="G62" t="s">
        <v>29</v>
      </c>
      <c s="36" r="H62" t="s">
        <v>29</v>
      </c>
      <c s="36" r="I62" t="s">
        <v>29</v>
      </c>
      <c s="37" r="J62">
        <f>IF(IFERROR(K62,7)=7,"",RIGHT(K62,LEN(K62)-2)&amp;".")</f>
        <v/>
      </c>
      <c s="36" r="K62">
        <f>IFERROR(__xludf.dummyfunction("CONCATENATE(ArrayFormula(""; ""&amp;QUERY(Hallazgos!A:E,""SELECT B WHERE E CONTAINS '""&amp;B62&amp;""' LABEL B ''"")))"),"#N/A")</f>
        <v/>
      </c>
    </row>
    <row customHeight="1" s="134" r="63" ht="15.75" spans="1:11">
      <c s="34" r="A63" t="s">
        <v>209</v>
      </c>
      <c s="35" r="B63" t="s">
        <v>210</v>
      </c>
      <c s="36" r="C63" t="s">
        <v>84</v>
      </c>
      <c s="36" r="D63" t="s">
        <v>175</v>
      </c>
      <c s="36" r="E63" t="s">
        <v>68</v>
      </c>
      <c s="36" r="F63" t="s">
        <v>95</v>
      </c>
      <c s="36" r="G63" t="s">
        <v>29</v>
      </c>
      <c s="36" r="H63" t="s">
        <v>29</v>
      </c>
      <c s="36" r="I63" t="s">
        <v>29</v>
      </c>
      <c s="37" r="J63">
        <f>IF(IFERROR(K63,7)=7,"",RIGHT(K63,LEN(K63)-2)&amp;".")</f>
        <v/>
      </c>
      <c s="36" r="K63">
        <f>IFERROR(__xludf.dummyfunction("CONCATENATE(ArrayFormula(""; ""&amp;QUERY(Hallazgos!A:E,""SELECT B WHERE E CONTAINS '""&amp;B63&amp;""' LABEL B ''"")))"),"#N/A")</f>
        <v/>
      </c>
    </row>
    <row customHeight="1" s="134" r="64" ht="15.75" spans="1:11">
      <c s="34" r="A64" t="s">
        <v>211</v>
      </c>
      <c s="35" r="B64" t="s">
        <v>212</v>
      </c>
      <c s="36" r="C64" t="s">
        <v>84</v>
      </c>
      <c s="36" r="D64" t="s">
        <v>175</v>
      </c>
      <c s="36" r="E64" t="s">
        <v>68</v>
      </c>
      <c s="36" r="F64" t="s">
        <v>95</v>
      </c>
      <c s="36" r="G64" t="s">
        <v>29</v>
      </c>
      <c s="36" r="H64" t="s">
        <v>29</v>
      </c>
      <c s="36" r="I64" t="s">
        <v>29</v>
      </c>
      <c s="37" r="J64">
        <f>IF(IFERROR(K64,7)=7,"",RIGHT(K64,LEN(K64)-2)&amp;".")</f>
        <v/>
      </c>
      <c s="36" r="K64">
        <f>IFERROR(__xludf.dummyfunction("CONCATENATE(ArrayFormula(""; ""&amp;QUERY(Hallazgos!A:E,""SELECT B WHERE E CONTAINS '""&amp;B64&amp;""' LABEL B ''"")))"),"#N/A")</f>
        <v/>
      </c>
    </row>
    <row customHeight="1" s="134" r="65" ht="15.75" spans="1:11">
      <c s="34" r="A65" t="s">
        <v>213</v>
      </c>
      <c s="35" r="B65" t="s">
        <v>214</v>
      </c>
      <c s="36" r="C65" t="s">
        <v>84</v>
      </c>
      <c s="36" r="D65" t="s">
        <v>175</v>
      </c>
      <c s="36" r="E65" t="s">
        <v>68</v>
      </c>
      <c s="36" r="F65" t="s">
        <v>95</v>
      </c>
      <c s="36" r="G65" t="s">
        <v>29</v>
      </c>
      <c s="36" r="H65" t="s">
        <v>29</v>
      </c>
      <c s="36" r="I65" t="s">
        <v>29</v>
      </c>
      <c s="37" r="J65">
        <f>IF(IFERROR(K65,7)=7,"",RIGHT(K65,LEN(K65)-2)&amp;".")</f>
        <v/>
      </c>
      <c s="36" r="K65">
        <f>IFERROR(__xludf.dummyfunction("CONCATENATE(ArrayFormula(""; ""&amp;QUERY(Hallazgos!A:E,""SELECT B WHERE E CONTAINS '""&amp;B65&amp;""' LABEL B ''"")))"),"#N/A")</f>
        <v/>
      </c>
    </row>
    <row customHeight="1" s="134" r="66" ht="15.75" spans="1:11">
      <c s="34" r="A66" t="s">
        <v>215</v>
      </c>
      <c s="35" r="B66" t="s">
        <v>216</v>
      </c>
      <c s="36" r="C66" t="s">
        <v>84</v>
      </c>
      <c s="36" r="D66" t="s">
        <v>175</v>
      </c>
      <c s="36" r="E66" t="s">
        <v>100</v>
      </c>
      <c s="36" r="F66" t="s">
        <v>95</v>
      </c>
      <c s="36" r="G66" t="s">
        <v>29</v>
      </c>
      <c s="36" r="H66" t="s">
        <v>29</v>
      </c>
      <c s="36" r="I66" t="s">
        <v>29</v>
      </c>
      <c s="37" r="J66">
        <f>IF(IFERROR(K66,7)=7,"",RIGHT(K66,LEN(K66)-2)&amp;".")</f>
        <v/>
      </c>
      <c s="36" r="K66">
        <f>IFERROR(__xludf.dummyfunction("CONCATENATE(ArrayFormula(""; ""&amp;QUERY(Hallazgos!A:E,""SELECT B WHERE E CONTAINS '""&amp;B66&amp;""' LABEL B ''"")))"),"#N/A")</f>
        <v/>
      </c>
    </row>
    <row customHeight="1" s="134" r="67" ht="15.75" spans="1:11">
      <c s="34" r="A67" t="s">
        <v>217</v>
      </c>
      <c s="35" r="B67" t="s">
        <v>218</v>
      </c>
      <c s="36" r="C67" t="s">
        <v>84</v>
      </c>
      <c s="36" r="D67" t="s">
        <v>175</v>
      </c>
      <c s="36" r="E67" t="s">
        <v>68</v>
      </c>
      <c s="36" r="F67" t="s">
        <v>95</v>
      </c>
      <c s="36" r="G67" t="s">
        <v>29</v>
      </c>
      <c s="36" r="H67" t="s">
        <v>29</v>
      </c>
      <c s="36" r="I67" t="s">
        <v>29</v>
      </c>
      <c s="37" r="J67">
        <f>IF(IFERROR(K67,7)=7,"",RIGHT(K67,LEN(K67)-2)&amp;".")</f>
        <v/>
      </c>
      <c s="36" r="K67">
        <f>IFERROR(__xludf.dummyfunction("CONCATENATE(ArrayFormula(""; ""&amp;QUERY(Hallazgos!A:E,""SELECT B WHERE E CONTAINS '""&amp;B67&amp;""' LABEL B ''"")))"),"#N/A")</f>
        <v/>
      </c>
    </row>
    <row customHeight="1" s="134" r="68" ht="15.75" spans="1:11">
      <c s="34" r="A68" t="s">
        <v>219</v>
      </c>
      <c s="35" r="B68" t="s">
        <v>220</v>
      </c>
      <c s="36" r="C68" t="s">
        <v>84</v>
      </c>
      <c s="36" r="D68" t="s">
        <v>175</v>
      </c>
      <c s="36" r="E68" t="s">
        <v>176</v>
      </c>
      <c s="36" r="F68" t="s">
        <v>95</v>
      </c>
      <c s="36" r="G68" t="s">
        <v>29</v>
      </c>
      <c s="36" r="H68" t="s">
        <v>29</v>
      </c>
      <c s="36" r="I68" t="s">
        <v>29</v>
      </c>
      <c s="37" r="J68">
        <f>IF(IFERROR(K68,7)=7,"",RIGHT(K68,LEN(K68)-2)&amp;".")</f>
        <v/>
      </c>
      <c s="36" r="K68">
        <f>IFERROR(__xludf.dummyfunction("CONCATENATE(ArrayFormula(""; ""&amp;QUERY(Hallazgos!A:E,""SELECT B WHERE E CONTAINS '""&amp;B68&amp;""' LABEL B ''"")))"),"#N/A")</f>
        <v/>
      </c>
    </row>
    <row customHeight="1" s="134" r="69" ht="15.75" spans="1:11">
      <c s="34" r="A69" t="s">
        <v>221</v>
      </c>
      <c s="37" r="B69" t="s">
        <v>222</v>
      </c>
      <c s="36" r="C69" t="s">
        <v>87</v>
      </c>
      <c s="36" r="D69" t="s">
        <v>175</v>
      </c>
      <c s="36" r="E69" t="s">
        <v>223</v>
      </c>
      <c s="36" r="F69" t="s">
        <v>90</v>
      </c>
      <c s="36" r="G69" t="s">
        <v>29</v>
      </c>
      <c s="36" r="H69" t="s">
        <v>29</v>
      </c>
      <c s="36" r="I69" t="s">
        <v>29</v>
      </c>
      <c s="37" r="J69">
        <f>IF(IFERROR(K69,7)=7,"",RIGHT(K69,LEN(K69)-2)&amp;".")</f>
        <v/>
      </c>
      <c s="36" r="K69">
        <f>IFERROR(__xludf.dummyfunction("CONCATENATE(ArrayFormula(""; ""&amp;QUERY(Hallazgos!A:E,""SELECT B WHERE E CONTAINS '""&amp;B69&amp;""' LABEL B ''"")))"),"#N/A")</f>
        <v/>
      </c>
    </row>
    <row customHeight="1" s="134" r="70" ht="15.75" spans="1:11">
      <c s="34" r="A70" t="s">
        <v>224</v>
      </c>
      <c s="37" r="B70" t="s">
        <v>225</v>
      </c>
      <c s="36" r="C70" t="s">
        <v>87</v>
      </c>
      <c s="36" r="D70" t="s">
        <v>175</v>
      </c>
      <c s="36" r="E70" t="s">
        <v>226</v>
      </c>
      <c s="36" r="F70" t="s">
        <v>90</v>
      </c>
      <c s="36" r="G70" t="s">
        <v>29</v>
      </c>
      <c s="36" r="H70" t="s">
        <v>29</v>
      </c>
      <c s="36" r="I70" t="s">
        <v>29</v>
      </c>
      <c s="37" r="J70">
        <f>IF(IFERROR(K70,7)=7,"",RIGHT(K70,LEN(K70)-2)&amp;".")</f>
        <v/>
      </c>
      <c s="36" r="K70">
        <f>IFERROR(__xludf.dummyfunction("CONCATENATE(ArrayFormula(""; ""&amp;QUERY(Hallazgos!A:E,""SELECT B WHERE E CONTAINS '""&amp;B70&amp;""' LABEL B ''"")))"),"#N/A")</f>
        <v/>
      </c>
    </row>
    <row customHeight="1" s="134" r="71" ht="15.75" spans="1:11">
      <c s="34" r="A71" t="s">
        <v>227</v>
      </c>
      <c s="35" r="B71" t="s">
        <v>228</v>
      </c>
      <c s="36" r="C71" t="s">
        <v>84</v>
      </c>
      <c s="36" r="D71" t="s">
        <v>175</v>
      </c>
      <c s="36" r="E71" t="s">
        <v>155</v>
      </c>
      <c s="36" r="F71" t="s">
        <v>101</v>
      </c>
      <c s="36" r="G71" t="s">
        <v>29</v>
      </c>
      <c s="36" r="H71" t="s">
        <v>29</v>
      </c>
      <c s="36" r="I71" t="s">
        <v>29</v>
      </c>
      <c s="37" r="J71">
        <f>IF(IFERROR(K71,7)=7,"",RIGHT(K71,LEN(K71)-2)&amp;".")</f>
        <v/>
      </c>
      <c s="36" r="K71">
        <f>IFERROR(__xludf.dummyfunction("CONCATENATE(ArrayFormula(""; ""&amp;QUERY(Hallazgos!A:E,""SELECT B WHERE E CONTAINS '""&amp;B71&amp;""' LABEL B ''"")))"),"#N/A")</f>
        <v/>
      </c>
    </row>
    <row customHeight="1" s="134" r="72" ht="15.75" spans="1:11">
      <c s="34" r="A72" t="s">
        <v>229</v>
      </c>
      <c s="35" r="B72" t="s">
        <v>230</v>
      </c>
      <c s="36" r="C72" t="s">
        <v>87</v>
      </c>
      <c s="36" r="D72" t="s">
        <v>231</v>
      </c>
      <c s="36" r="E72" t="s">
        <v>100</v>
      </c>
      <c s="36" r="F72" t="s">
        <v>101</v>
      </c>
      <c s="36" r="G72" t="s">
        <v>29</v>
      </c>
      <c s="36" r="H72" t="s">
        <v>29</v>
      </c>
      <c s="36" r="I72" t="s">
        <v>29</v>
      </c>
      <c s="37" r="J72">
        <f>IF(IFERROR(K72,7)=7,"",RIGHT(K72,LEN(K72)-2)&amp;".")</f>
        <v/>
      </c>
      <c s="36" r="K72">
        <f>IFERROR(__xludf.dummyfunction("CONCATENATE(ArrayFormula(""; ""&amp;QUERY(Hallazgos!A:E,""SELECT B WHERE E CONTAINS '""&amp;B72&amp;""' LABEL B ''"")))"),"#N/A")</f>
        <v/>
      </c>
    </row>
    <row customHeight="1" s="134" r="73" ht="15.75" spans="1:11">
      <c s="34" r="A73" t="s">
        <v>232</v>
      </c>
      <c s="35" r="B73" t="s">
        <v>233</v>
      </c>
      <c s="36" r="C73" t="s">
        <v>87</v>
      </c>
      <c s="36" r="D73" t="s">
        <v>231</v>
      </c>
      <c s="36" r="E73" t="s">
        <v>234</v>
      </c>
      <c s="36" r="F73" t="s">
        <v>101</v>
      </c>
      <c s="36" r="G73" t="s">
        <v>29</v>
      </c>
      <c s="36" r="H73" t="s">
        <v>29</v>
      </c>
      <c s="36" r="I73" t="s">
        <v>29</v>
      </c>
      <c s="37" r="J73">
        <f>IF(IFERROR(K73,7)=7,"",RIGHT(K73,LEN(K73)-2)&amp;".")</f>
        <v/>
      </c>
      <c s="36" r="K73">
        <f>IFERROR(__xludf.dummyfunction("CONCATENATE(ArrayFormula(""; ""&amp;QUERY(Hallazgos!A:E,""SELECT B WHERE E CONTAINS '""&amp;B73&amp;""' LABEL B ''"")))"),"#N/A")</f>
        <v/>
      </c>
    </row>
    <row customHeight="1" s="134" r="74" ht="15.75" spans="1:11">
      <c s="34" r="A74" t="s">
        <v>235</v>
      </c>
      <c s="35" r="B74" t="s">
        <v>236</v>
      </c>
      <c s="36" r="C74" t="s">
        <v>87</v>
      </c>
      <c s="36" r="D74" t="s">
        <v>231</v>
      </c>
      <c s="36" r="E74" t="s">
        <v>127</v>
      </c>
      <c s="36" r="F74" t="s">
        <v>101</v>
      </c>
      <c s="36" r="G74" t="s">
        <v>29</v>
      </c>
      <c s="36" r="H74" t="s">
        <v>29</v>
      </c>
      <c s="36" r="I74" t="s">
        <v>29</v>
      </c>
      <c s="37" r="J74">
        <f>IF(IFERROR(K74,7)=7,"",RIGHT(K74,LEN(K74)-2)&amp;".")</f>
        <v/>
      </c>
      <c s="36" r="K74">
        <f>IFERROR(__xludf.dummyfunction("CONCATENATE(ArrayFormula(""; ""&amp;QUERY(Hallazgos!A:E,""SELECT B WHERE E CONTAINS '""&amp;B74&amp;""' LABEL B ''"")))"),"; Vulnerabilidad 2")</f>
        <v/>
      </c>
    </row>
    <row customHeight="1" s="134" r="75" ht="15.75" spans="1:11">
      <c s="34" r="A75" t="s">
        <v>237</v>
      </c>
      <c s="35" r="B75" t="s">
        <v>238</v>
      </c>
      <c s="36" r="C75" t="s">
        <v>87</v>
      </c>
      <c s="36" r="D75" t="s">
        <v>231</v>
      </c>
      <c s="36" r="E75" t="s">
        <v>100</v>
      </c>
      <c s="36" r="F75" t="s">
        <v>101</v>
      </c>
      <c s="36" r="G75" t="s">
        <v>29</v>
      </c>
      <c s="36" r="H75" t="s">
        <v>29</v>
      </c>
      <c s="36" r="I75" t="s">
        <v>29</v>
      </c>
      <c s="37" r="J75">
        <f>IF(IFERROR(K75,7)=7,"",RIGHT(K75,LEN(K75)-2)&amp;".")</f>
        <v/>
      </c>
      <c s="36" r="K75">
        <f>IFERROR(__xludf.dummyfunction("CONCATENATE(ArrayFormula(""; ""&amp;QUERY(Hallazgos!A:E,""SELECT B WHERE E CONTAINS '""&amp;B75&amp;""' LABEL B ''"")))"),"#N/A")</f>
        <v/>
      </c>
    </row>
    <row customHeight="1" s="134" r="76" ht="15.75" spans="1:11">
      <c s="34" r="A76" t="s">
        <v>239</v>
      </c>
      <c s="35" r="B76" t="s">
        <v>240</v>
      </c>
      <c s="36" r="C76" t="s">
        <v>87</v>
      </c>
      <c s="36" r="D76" t="s">
        <v>231</v>
      </c>
      <c s="36" r="E76" t="s">
        <v>122</v>
      </c>
      <c s="36" r="F76" t="s">
        <v>101</v>
      </c>
      <c s="36" r="G76" t="s">
        <v>29</v>
      </c>
      <c s="36" r="H76" t="s">
        <v>29</v>
      </c>
      <c s="36" r="I76" t="s">
        <v>29</v>
      </c>
      <c s="37" r="J76">
        <f>IF(IFERROR(K76,7)=7,"",RIGHT(K76,LEN(K76)-2)&amp;".")</f>
        <v/>
      </c>
      <c s="36" r="K76">
        <f>IFERROR(__xludf.dummyfunction("CONCATENATE(ArrayFormula(""; ""&amp;QUERY(Hallazgos!A:E,""SELECT B WHERE E CONTAINS '""&amp;B76&amp;""' LABEL B ''"")))"),"#N/A")</f>
        <v/>
      </c>
    </row>
    <row customHeight="1" s="134" r="77" ht="15.75" spans="1:11">
      <c s="34" r="A77" t="s">
        <v>241</v>
      </c>
      <c s="35" r="B77" t="s">
        <v>242</v>
      </c>
      <c s="36" r="C77" t="s">
        <v>84</v>
      </c>
      <c s="36" r="D77" t="s">
        <v>231</v>
      </c>
      <c s="36" r="E77" t="s">
        <v>100</v>
      </c>
      <c s="36" r="F77" t="s">
        <v>101</v>
      </c>
      <c s="36" r="G77" t="s">
        <v>29</v>
      </c>
      <c s="36" r="H77" t="s">
        <v>29</v>
      </c>
      <c s="36" r="I77" t="s">
        <v>29</v>
      </c>
      <c s="37" r="J77">
        <f>IF(IFERROR(K77,7)=7,"",RIGHT(K77,LEN(K77)-2)&amp;".")</f>
        <v/>
      </c>
      <c s="36" r="K77">
        <f>IFERROR(__xludf.dummyfunction("CONCATENATE(ArrayFormula(""; ""&amp;QUERY(Hallazgos!A:E,""SELECT B WHERE E CONTAINS '""&amp;B77&amp;""' LABEL B ''"")))"),"#N/A")</f>
        <v/>
      </c>
    </row>
    <row customHeight="1" s="134" r="78" ht="15.75" spans="1:11">
      <c s="34" r="A78" t="s">
        <v>243</v>
      </c>
      <c s="35" r="B78" t="s">
        <v>244</v>
      </c>
      <c s="36" r="C78" t="s">
        <v>87</v>
      </c>
      <c s="36" r="D78" t="s">
        <v>231</v>
      </c>
      <c s="36" r="E78" t="s">
        <v>122</v>
      </c>
      <c s="36" r="F78" t="s">
        <v>101</v>
      </c>
      <c s="36" r="G78" t="s">
        <v>29</v>
      </c>
      <c s="36" r="H78" t="s">
        <v>29</v>
      </c>
      <c s="36" r="I78" t="s">
        <v>29</v>
      </c>
      <c s="37" r="J78">
        <f>IF(IFERROR(K78,7)=7,"",RIGHT(K78,LEN(K78)-2)&amp;".")</f>
        <v/>
      </c>
      <c s="36" r="K78">
        <f>IFERROR(__xludf.dummyfunction("CONCATENATE(ArrayFormula(""; ""&amp;QUERY(Hallazgos!A:E,""SELECT B WHERE E CONTAINS '""&amp;B78&amp;""' LABEL B ''"")))"),"#N/A")</f>
        <v/>
      </c>
    </row>
    <row customHeight="1" s="134" r="79" ht="15.75" spans="1:11">
      <c s="34" r="A79" t="s">
        <v>245</v>
      </c>
      <c s="35" r="B79" t="s">
        <v>246</v>
      </c>
      <c s="36" r="C79" t="s">
        <v>87</v>
      </c>
      <c s="36" r="D79" t="s">
        <v>231</v>
      </c>
      <c s="36" r="E79" t="s">
        <v>127</v>
      </c>
      <c s="36" r="F79" t="s">
        <v>101</v>
      </c>
      <c s="36" r="G79" t="s">
        <v>29</v>
      </c>
      <c s="36" r="H79" t="s">
        <v>29</v>
      </c>
      <c s="36" r="I79" t="s">
        <v>29</v>
      </c>
      <c s="37" r="J79">
        <f>IF(IFERROR(K79,7)=7,"",RIGHT(K79,LEN(K79)-2)&amp;".")</f>
        <v/>
      </c>
      <c s="36" r="K79">
        <f>IFERROR(__xludf.dummyfunction("CONCATENATE(ArrayFormula(""; ""&amp;QUERY(Hallazgos!A:E,""SELECT B WHERE E CONTAINS '""&amp;B79&amp;""' LABEL B ''"")))"),"#N/A")</f>
        <v/>
      </c>
    </row>
    <row customHeight="1" s="134" r="80" ht="15.75" spans="1:11">
      <c s="34" r="A80" t="s">
        <v>247</v>
      </c>
      <c s="35" r="B80" t="s">
        <v>248</v>
      </c>
      <c s="36" r="C80" t="s">
        <v>87</v>
      </c>
      <c s="36" r="D80" t="s">
        <v>231</v>
      </c>
      <c s="36" r="E80" t="s">
        <v>100</v>
      </c>
      <c s="36" r="F80" t="s">
        <v>101</v>
      </c>
      <c s="36" r="G80" t="s">
        <v>29</v>
      </c>
      <c s="36" r="H80" t="s">
        <v>29</v>
      </c>
      <c s="36" r="I80" t="s">
        <v>29</v>
      </c>
      <c s="37" r="J80">
        <f>IF(IFERROR(K80,7)=7,"",RIGHT(K80,LEN(K80)-2)&amp;".")</f>
        <v/>
      </c>
      <c s="36" r="K80">
        <f>IFERROR(__xludf.dummyfunction("CONCATENATE(ArrayFormula(""; ""&amp;QUERY(Hallazgos!A:E,""SELECT B WHERE E CONTAINS '""&amp;B80&amp;""' LABEL B ''"")))"),"#N/A")</f>
        <v/>
      </c>
    </row>
    <row customHeight="1" s="134" r="81" ht="15.75" spans="1:11">
      <c s="34" r="A81" t="s">
        <v>249</v>
      </c>
      <c s="35" r="B81" t="s">
        <v>250</v>
      </c>
      <c s="36" r="C81" t="s">
        <v>87</v>
      </c>
      <c s="36" r="D81" t="s">
        <v>231</v>
      </c>
      <c s="36" r="E81" t="s">
        <v>100</v>
      </c>
      <c s="36" r="F81" t="s">
        <v>101</v>
      </c>
      <c s="36" r="G81" t="s">
        <v>29</v>
      </c>
      <c s="36" r="H81" t="s">
        <v>29</v>
      </c>
      <c s="36" r="I81" t="s">
        <v>29</v>
      </c>
      <c s="37" r="J81">
        <f>IF(IFERROR(K81,7)=7,"",RIGHT(K81,LEN(K81)-2)&amp;".")</f>
        <v/>
      </c>
      <c s="36" r="K81">
        <f>IFERROR(__xludf.dummyfunction("CONCATENATE(ArrayFormula(""; ""&amp;QUERY(Hallazgos!A:E,""SELECT B WHERE E CONTAINS '""&amp;B81&amp;""' LABEL B ''"")))"),"#N/A")</f>
        <v/>
      </c>
    </row>
    <row customHeight="1" s="134" r="82" ht="15.75" spans="1:11">
      <c s="34" r="A82" t="s">
        <v>251</v>
      </c>
      <c s="35" r="B82" t="s">
        <v>252</v>
      </c>
      <c s="36" r="C82" t="s">
        <v>87</v>
      </c>
      <c s="36" r="D82" t="s">
        <v>231</v>
      </c>
      <c s="36" r="E82" t="s">
        <v>100</v>
      </c>
      <c s="36" r="F82" t="s">
        <v>101</v>
      </c>
      <c s="36" r="G82" t="s">
        <v>29</v>
      </c>
      <c s="36" r="H82" t="s">
        <v>29</v>
      </c>
      <c s="36" r="I82" t="s">
        <v>29</v>
      </c>
      <c s="37" r="J82">
        <f>IF(IFERROR(K82,7)=7,"",RIGHT(K82,LEN(K82)-2)&amp;".")</f>
        <v/>
      </c>
      <c s="36" r="K82">
        <f>IFERROR(__xludf.dummyfunction("CONCATENATE(ArrayFormula(""; ""&amp;QUERY(Hallazgos!A:E,""SELECT B WHERE E CONTAINS '""&amp;B82&amp;""' LABEL B ''"")))"),"#N/A")</f>
        <v/>
      </c>
    </row>
    <row customHeight="1" s="134" r="83" ht="15.75" spans="1:11">
      <c s="34" r="A83" t="s">
        <v>253</v>
      </c>
      <c s="37" r="B83" t="s">
        <v>254</v>
      </c>
      <c s="36" r="C83" t="s">
        <v>84</v>
      </c>
      <c s="36" r="D83" t="s">
        <v>231</v>
      </c>
      <c s="36" r="E83" t="s">
        <v>100</v>
      </c>
      <c s="36" r="F83" t="s">
        <v>101</v>
      </c>
      <c s="36" r="G83" t="s">
        <v>29</v>
      </c>
      <c s="36" r="H83" t="s">
        <v>29</v>
      </c>
      <c s="36" r="I83" t="s">
        <v>29</v>
      </c>
      <c s="37" r="J83">
        <f>IF(IFERROR(K83,7)=7,"",RIGHT(K83,LEN(K83)-2)&amp;".")</f>
        <v/>
      </c>
      <c s="36" r="K83">
        <f>IFERROR(__xludf.dummyfunction("CONCATENATE(ArrayFormula(""; ""&amp;QUERY(Hallazgos!A:E,""SELECT B WHERE E CONTAINS '""&amp;B83&amp;""' LABEL B ''"")))"),"#N/A")</f>
        <v/>
      </c>
    </row>
    <row customHeight="1" s="134" r="84" ht="15.75" spans="1:11">
      <c s="34" r="A84" t="s">
        <v>255</v>
      </c>
      <c s="35" r="B84" t="s">
        <v>256</v>
      </c>
      <c s="36" r="C84" t="s">
        <v>87</v>
      </c>
      <c s="36" r="D84" t="s">
        <v>257</v>
      </c>
      <c s="36" r="E84" t="s">
        <v>134</v>
      </c>
      <c s="36" r="F84" t="s">
        <v>101</v>
      </c>
      <c s="36" r="G84" t="s">
        <v>29</v>
      </c>
      <c s="36" r="H84" t="s">
        <v>29</v>
      </c>
      <c s="36" r="I84" t="s">
        <v>29</v>
      </c>
      <c s="37" r="J84">
        <f>IF(IFERROR(K84,7)=7,"",RIGHT(K84,LEN(K84)-2)&amp;".")</f>
        <v/>
      </c>
      <c s="36" r="K84">
        <f>IFERROR(__xludf.dummyfunction("CONCATENATE(ArrayFormula(""; ""&amp;QUERY(Hallazgos!A:E,""SELECT B WHERE E CONTAINS '""&amp;B84&amp;""' LABEL B ''"")))"),"#N/A")</f>
        <v/>
      </c>
    </row>
    <row customHeight="1" s="134" r="85" ht="15.75" spans="1:11">
      <c s="34" r="A85" t="s">
        <v>258</v>
      </c>
      <c s="35" r="B85" t="s">
        <v>259</v>
      </c>
      <c s="36" r="C85" t="s">
        <v>84</v>
      </c>
      <c s="36" r="D85" t="s">
        <v>257</v>
      </c>
      <c s="36" r="E85" t="s">
        <v>127</v>
      </c>
      <c s="36" r="F85" t="s">
        <v>101</v>
      </c>
      <c s="36" r="G85" t="s">
        <v>29</v>
      </c>
      <c s="36" r="H85" t="s">
        <v>29</v>
      </c>
      <c s="36" r="I85" t="s">
        <v>29</v>
      </c>
      <c s="37" r="J85">
        <f>IF(IFERROR(K85,7)=7,"",RIGHT(K85,LEN(K85)-2)&amp;".")</f>
        <v/>
      </c>
      <c s="36" r="K85">
        <f>IFERROR(__xludf.dummyfunction("CONCATENATE(ArrayFormula(""; ""&amp;QUERY(Hallazgos!A:E,""SELECT B WHERE E CONTAINS '""&amp;B85&amp;""' LABEL B ''"")))"),"#N/A")</f>
        <v/>
      </c>
    </row>
    <row customHeight="1" s="134" r="86" ht="15.75" spans="1:11">
      <c s="34" r="A86" t="s">
        <v>260</v>
      </c>
      <c s="35" r="B86" t="s">
        <v>261</v>
      </c>
      <c s="36" r="C86" t="s">
        <v>87</v>
      </c>
      <c s="36" r="D86" t="s">
        <v>257</v>
      </c>
      <c s="36" r="E86" t="s">
        <v>134</v>
      </c>
      <c s="36" r="F86" t="s">
        <v>101</v>
      </c>
      <c s="36" r="G86" t="s">
        <v>29</v>
      </c>
      <c s="36" r="H86" t="s">
        <v>29</v>
      </c>
      <c s="36" r="I86" t="s">
        <v>29</v>
      </c>
      <c s="37" r="J86">
        <f>IF(IFERROR(K86,7)=7,"",RIGHT(K86,LEN(K86)-2)&amp;".")</f>
        <v/>
      </c>
      <c s="36" r="K86">
        <f>IFERROR(__xludf.dummyfunction("CONCATENATE(ArrayFormula(""; ""&amp;QUERY(Hallazgos!A:E,""SELECT B WHERE E CONTAINS '""&amp;B86&amp;""' LABEL B ''"")))"),"#N/A")</f>
        <v/>
      </c>
    </row>
    <row customHeight="1" s="134" r="87" ht="15.75" spans="1:11">
      <c s="34" r="A87" t="s">
        <v>262</v>
      </c>
      <c s="35" r="B87" t="s">
        <v>263</v>
      </c>
      <c s="36" r="C87" t="s">
        <v>87</v>
      </c>
      <c s="36" r="D87" t="s">
        <v>257</v>
      </c>
      <c s="36" r="E87" t="s">
        <v>134</v>
      </c>
      <c s="36" r="F87" t="s">
        <v>101</v>
      </c>
      <c s="36" r="G87" t="s">
        <v>29</v>
      </c>
      <c s="36" r="H87" t="s">
        <v>29</v>
      </c>
      <c s="36" r="I87" t="s">
        <v>29</v>
      </c>
      <c s="37" r="J87">
        <f>IF(IFERROR(K87,7)=7,"",RIGHT(K87,LEN(K87)-2)&amp;".")</f>
        <v/>
      </c>
      <c s="36" r="K87">
        <f>IFERROR(__xludf.dummyfunction("CONCATENATE(ArrayFormula(""; ""&amp;QUERY(Hallazgos!A:E,""SELECT B WHERE E CONTAINS '""&amp;B87&amp;""' LABEL B ''"")))"),"#N/A")</f>
        <v/>
      </c>
    </row>
    <row customHeight="1" s="134" r="88" ht="15.75" spans="1:11">
      <c s="34" r="A88" t="s">
        <v>264</v>
      </c>
      <c s="35" r="B88" t="s">
        <v>265</v>
      </c>
      <c s="36" r="C88" t="s">
        <v>87</v>
      </c>
      <c s="36" r="D88" t="s">
        <v>257</v>
      </c>
      <c s="36" r="E88" t="s">
        <v>134</v>
      </c>
      <c s="36" r="F88" t="s">
        <v>101</v>
      </c>
      <c s="36" r="G88" t="s">
        <v>29</v>
      </c>
      <c s="36" r="H88" t="s">
        <v>29</v>
      </c>
      <c s="36" r="I88" t="s">
        <v>29</v>
      </c>
      <c s="37" r="J88">
        <f>IF(IFERROR(K88,7)=7,"",RIGHT(K88,LEN(K88)-2)&amp;".")</f>
        <v/>
      </c>
      <c s="36" r="K88">
        <f>IFERROR(__xludf.dummyfunction("CONCATENATE(ArrayFormula(""; ""&amp;QUERY(Hallazgos!A:E,""SELECT B WHERE E CONTAINS '""&amp;B88&amp;""' LABEL B ''"")))"),"#N/A")</f>
        <v/>
      </c>
    </row>
    <row customHeight="1" s="134" r="89" ht="15.75" spans="1:11">
      <c s="34" r="A89" t="s">
        <v>266</v>
      </c>
      <c s="35" r="B89" t="s">
        <v>267</v>
      </c>
      <c s="36" r="C89" t="s">
        <v>87</v>
      </c>
      <c s="36" r="D89" t="s">
        <v>257</v>
      </c>
      <c s="36" r="E89" t="s">
        <v>134</v>
      </c>
      <c s="36" r="F89" t="s">
        <v>101</v>
      </c>
      <c s="36" r="G89" t="s">
        <v>29</v>
      </c>
      <c s="36" r="H89" t="s">
        <v>29</v>
      </c>
      <c s="36" r="I89" t="s">
        <v>29</v>
      </c>
      <c s="37" r="J89">
        <f>IF(IFERROR(K89,7)=7,"",RIGHT(K89,LEN(K89)-2)&amp;".")</f>
        <v/>
      </c>
      <c s="36" r="K89">
        <f>IFERROR(__xludf.dummyfunction("CONCATENATE(ArrayFormula(""; ""&amp;QUERY(Hallazgos!A:E,""SELECT B WHERE E CONTAINS '""&amp;B89&amp;""' LABEL B ''"")))"),"#N/A")</f>
        <v/>
      </c>
    </row>
    <row customHeight="1" s="134" r="90" ht="15.75" spans="1:11">
      <c s="34" r="A90" t="s">
        <v>268</v>
      </c>
      <c s="35" r="B90" t="s">
        <v>269</v>
      </c>
      <c s="36" r="C90" t="s">
        <v>87</v>
      </c>
      <c s="36" r="D90" t="s">
        <v>270</v>
      </c>
      <c s="36" r="E90" t="s">
        <v>142</v>
      </c>
      <c s="36" r="F90" t="s">
        <v>101</v>
      </c>
      <c s="36" r="G90" t="s">
        <v>29</v>
      </c>
      <c s="36" r="H90" t="s">
        <v>29</v>
      </c>
      <c s="36" r="I90" t="s">
        <v>29</v>
      </c>
      <c s="37" r="J90">
        <f>IF(IFERROR(K90,7)=7,"",RIGHT(K90,LEN(K90)-2)&amp;".")</f>
        <v/>
      </c>
      <c s="36" r="K90">
        <f>IFERROR(__xludf.dummyfunction("CONCATENATE(ArrayFormula(""; ""&amp;QUERY(Hallazgos!A:E,""SELECT B WHERE E CONTAINS '""&amp;B90&amp;""' LABEL B ''"")))"),"#N/A")</f>
        <v/>
      </c>
    </row>
    <row customHeight="1" s="134" r="91" ht="15.75" spans="1:11">
      <c s="34" r="A91" t="s">
        <v>271</v>
      </c>
      <c s="35" r="B91" t="s">
        <v>272</v>
      </c>
      <c s="36" r="C91" t="s">
        <v>84</v>
      </c>
      <c s="36" r="D91" t="s">
        <v>270</v>
      </c>
      <c s="36" r="E91" t="s">
        <v>134</v>
      </c>
      <c s="36" r="F91" t="s">
        <v>90</v>
      </c>
      <c s="36" r="G91" t="s">
        <v>29</v>
      </c>
      <c s="36" r="H91" t="s">
        <v>29</v>
      </c>
      <c s="36" r="I91" t="s">
        <v>29</v>
      </c>
      <c s="37" r="J91">
        <f>IF(IFERROR(K91,7)=7,"",RIGHT(K91,LEN(K91)-2)&amp;".")</f>
        <v/>
      </c>
      <c s="36" r="K91">
        <f>IFERROR(__xludf.dummyfunction("CONCATENATE(ArrayFormula(""; ""&amp;QUERY(Hallazgos!A:E,""SELECT B WHERE E CONTAINS '""&amp;B91&amp;""' LABEL B ''"")))"),"#N/A")</f>
        <v/>
      </c>
    </row>
    <row customHeight="1" s="134" r="92" ht="15.75" spans="1:11">
      <c s="34" r="A92" t="s">
        <v>273</v>
      </c>
      <c s="35" r="B92" t="s">
        <v>274</v>
      </c>
      <c s="36" r="C92" t="s">
        <v>84</v>
      </c>
      <c s="36" r="D92" t="s">
        <v>270</v>
      </c>
      <c s="36" r="E92" t="s">
        <v>142</v>
      </c>
      <c s="36" r="F92" t="s">
        <v>90</v>
      </c>
      <c s="36" r="G92" t="s">
        <v>29</v>
      </c>
      <c s="36" r="H92" t="s">
        <v>29</v>
      </c>
      <c s="36" r="I92" t="s">
        <v>29</v>
      </c>
      <c s="37" r="J92">
        <f>IF(IFERROR(K92,7)=7,"",RIGHT(K92,LEN(K92)-2)&amp;".")</f>
        <v/>
      </c>
      <c s="36" r="K92">
        <f>IFERROR(__xludf.dummyfunction("CONCATENATE(ArrayFormula(""; ""&amp;QUERY(Hallazgos!A:E,""SELECT B WHERE E CONTAINS '""&amp;B92&amp;""' LABEL B ''"")))"),"#N/A")</f>
        <v/>
      </c>
    </row>
    <row customHeight="1" s="134" r="93" ht="15.75" spans="1:11">
      <c s="34" r="A93" t="s">
        <v>275</v>
      </c>
      <c s="35" r="B93" t="s">
        <v>276</v>
      </c>
      <c s="36" r="C93" t="s">
        <v>66</v>
      </c>
      <c s="36" r="D93" t="s">
        <v>270</v>
      </c>
      <c s="36" r="E93" t="s">
        <v>68</v>
      </c>
      <c s="36" r="F93" t="s">
        <v>90</v>
      </c>
      <c s="36" r="G93" t="s">
        <v>29</v>
      </c>
      <c s="36" r="H93" t="s">
        <v>29</v>
      </c>
      <c s="36" r="I93" t="s">
        <v>29</v>
      </c>
      <c s="37" r="J93">
        <f>IF(IFERROR(K93,7)=7,"",RIGHT(K93,LEN(K93)-2)&amp;".")</f>
        <v/>
      </c>
      <c s="36" r="K93">
        <f>IFERROR(__xludf.dummyfunction("CONCATENATE(ArrayFormula(""; ""&amp;QUERY(Hallazgos!A:E,""SELECT B WHERE E CONTAINS '""&amp;B93&amp;""' LABEL B ''"")))"),"#N/A")</f>
        <v/>
      </c>
    </row>
    <row customHeight="1" s="134" r="94" ht="15.75" spans="1:11">
      <c s="34" r="A94" t="s">
        <v>277</v>
      </c>
      <c s="37" r="B94" t="s">
        <v>278</v>
      </c>
      <c s="36" r="C94" t="s">
        <v>279</v>
      </c>
      <c s="36" r="D94" t="s">
        <v>270</v>
      </c>
      <c s="36" r="E94" t="s">
        <v>142</v>
      </c>
      <c s="36" r="F94" t="s">
        <v>101</v>
      </c>
      <c s="36" r="G94" t="s">
        <v>29</v>
      </c>
      <c s="36" r="H94" t="s">
        <v>29</v>
      </c>
      <c s="36" r="I94" t="s">
        <v>29</v>
      </c>
      <c s="37" r="J94">
        <f>IF(IFERROR(K94,7)=7,"",RIGHT(K94,LEN(K94)-2)&amp;".")</f>
        <v/>
      </c>
      <c s="36" r="K94">
        <f>IFERROR(__xludf.dummyfunction("CONCATENATE(ArrayFormula(""; ""&amp;QUERY(Hallazgos!A:E,""SELECT B WHERE E CONTAINS '""&amp;B94&amp;""' LABEL B ''"")))"),"#N/A")</f>
        <v/>
      </c>
    </row>
    <row customHeight="1" s="134" r="95" ht="15.75" spans="1:11">
      <c s="34" r="A95" t="s">
        <v>280</v>
      </c>
      <c s="37" r="B95" t="s">
        <v>281</v>
      </c>
      <c s="36" r="C95" t="s">
        <v>279</v>
      </c>
      <c s="36" r="D95" t="s">
        <v>270</v>
      </c>
      <c s="36" r="E95" t="s">
        <v>134</v>
      </c>
      <c s="36" r="F95" t="s">
        <v>101</v>
      </c>
      <c s="36" r="G95" t="s">
        <v>29</v>
      </c>
      <c s="36" r="H95" t="s">
        <v>29</v>
      </c>
      <c s="36" r="I95" t="s">
        <v>29</v>
      </c>
      <c s="37" r="J95">
        <f>IF(IFERROR(K95,7)=7,"",RIGHT(K95,LEN(K95)-2)&amp;".")</f>
        <v/>
      </c>
      <c s="36" r="K95">
        <f>IFERROR(__xludf.dummyfunction("CONCATENATE(ArrayFormula(""; ""&amp;QUERY(Hallazgos!A:E,""SELECT B WHERE E CONTAINS '""&amp;B95&amp;""' LABEL B ''"")))"),"#N/A")</f>
        <v/>
      </c>
    </row>
    <row customHeight="1" s="134" r="96" ht="15.75" spans="1:11">
      <c s="34" r="A96" t="s">
        <v>282</v>
      </c>
      <c s="37" r="B96" t="s">
        <v>283</v>
      </c>
      <c s="36" r="C96" t="s">
        <v>279</v>
      </c>
      <c s="36" r="D96" t="s">
        <v>270</v>
      </c>
      <c s="36" r="E96" t="s">
        <v>142</v>
      </c>
      <c s="36" r="F96" t="s">
        <v>101</v>
      </c>
      <c s="36" r="G96" t="s">
        <v>29</v>
      </c>
      <c s="36" r="H96" t="s">
        <v>29</v>
      </c>
      <c s="36" r="I96" t="s">
        <v>29</v>
      </c>
      <c s="37" r="J96">
        <f>IF(IFERROR(K96,7)=7,"",RIGHT(K96,LEN(K96)-2)&amp;".")</f>
        <v/>
      </c>
      <c s="36" r="K96">
        <f>IFERROR(__xludf.dummyfunction("CONCATENATE(ArrayFormula(""; ""&amp;QUERY(Hallazgos!A:E,""SELECT B WHERE E CONTAINS '""&amp;B96&amp;""' LABEL B ''"")))"),"#N/A")</f>
        <v/>
      </c>
    </row>
    <row customHeight="1" s="134" r="97" ht="15.75" spans="1:11">
      <c s="34" r="A97" t="s">
        <v>284</v>
      </c>
      <c s="37" r="B97" t="s">
        <v>285</v>
      </c>
      <c s="36" r="C97" t="s">
        <v>84</v>
      </c>
      <c s="36" r="D97" t="s">
        <v>270</v>
      </c>
      <c s="36" r="E97" t="s">
        <v>134</v>
      </c>
      <c s="36" r="F97" t="s">
        <v>101</v>
      </c>
      <c s="36" r="G97" t="s">
        <v>29</v>
      </c>
      <c s="36" r="H97" t="s">
        <v>29</v>
      </c>
      <c s="36" r="I97" t="s">
        <v>29</v>
      </c>
      <c s="37" r="J97">
        <f>IF(IFERROR(K97,7)=7,"",RIGHT(K97,LEN(K97)-2)&amp;".")</f>
        <v/>
      </c>
      <c s="36" r="K97">
        <f>IFERROR(__xludf.dummyfunction("CONCATENATE(ArrayFormula(""; ""&amp;QUERY(Hallazgos!A:E,""SELECT B WHERE E CONTAINS '""&amp;B97&amp;""' LABEL B ''"")))"),"#N/A")</f>
        <v/>
      </c>
    </row>
    <row customHeight="1" s="134" r="98" ht="15.75" spans="1:11">
      <c s="34" r="A98" t="s">
        <v>286</v>
      </c>
      <c s="37" r="B98" t="s">
        <v>287</v>
      </c>
      <c s="36" r="C98" t="s">
        <v>84</v>
      </c>
      <c s="36" r="D98" t="s">
        <v>270</v>
      </c>
      <c s="36" r="E98" t="s">
        <v>100</v>
      </c>
      <c s="36" r="F98" t="s">
        <v>101</v>
      </c>
      <c s="36" r="G98" t="s">
        <v>29</v>
      </c>
      <c s="36" r="H98" t="s">
        <v>29</v>
      </c>
      <c s="36" r="I98" t="s">
        <v>29</v>
      </c>
      <c s="37" r="J98">
        <f>IF(IFERROR(K98,7)=7,"",RIGHT(K98,LEN(K98)-2)&amp;".")</f>
        <v/>
      </c>
      <c s="36" r="K98">
        <f>IFERROR(__xludf.dummyfunction("CONCATENATE(ArrayFormula(""; ""&amp;QUERY(Hallazgos!A:E,""SELECT B WHERE E CONTAINS '""&amp;B98&amp;""' LABEL B ''"")))"),"#N/A")</f>
        <v/>
      </c>
    </row>
    <row customHeight="1" s="134" r="99" ht="15.75" spans="1:11">
      <c s="34" r="A99" t="s">
        <v>288</v>
      </c>
      <c s="37" r="B99" t="s">
        <v>289</v>
      </c>
      <c s="36" r="C99" t="s">
        <v>84</v>
      </c>
      <c s="36" r="D99" t="s">
        <v>270</v>
      </c>
      <c s="36" r="E99" t="s">
        <v>142</v>
      </c>
      <c s="36" r="F99" t="s">
        <v>101</v>
      </c>
      <c s="36" r="G99" t="s">
        <v>29</v>
      </c>
      <c s="36" r="H99" t="s">
        <v>29</v>
      </c>
      <c s="36" r="I99" t="s">
        <v>29</v>
      </c>
      <c s="37" r="J99">
        <f>IF(IFERROR(K99,7)=7,"",RIGHT(K99,LEN(K99)-2)&amp;".")</f>
        <v/>
      </c>
      <c s="36" r="K99">
        <f>IFERROR(__xludf.dummyfunction("CONCATENATE(ArrayFormula(""; ""&amp;QUERY(Hallazgos!A:E,""SELECT B WHERE E CONTAINS '""&amp;B99&amp;""' LABEL B ''"")))"),"#N/A")</f>
        <v/>
      </c>
    </row>
    <row customHeight="1" s="134" r="100" ht="15.75" spans="1:11">
      <c s="34" r="A100" t="s">
        <v>290</v>
      </c>
      <c s="37" r="B100" t="s">
        <v>291</v>
      </c>
      <c s="36" r="C100" t="s">
        <v>84</v>
      </c>
      <c s="36" r="D100" t="s">
        <v>270</v>
      </c>
      <c s="36" r="E100" t="s">
        <v>68</v>
      </c>
      <c s="36" r="F100" t="s">
        <v>101</v>
      </c>
      <c s="36" r="G100" t="s">
        <v>29</v>
      </c>
      <c s="36" r="H100" t="s">
        <v>29</v>
      </c>
      <c s="36" r="I100" t="s">
        <v>29</v>
      </c>
      <c s="37" r="J100">
        <f>IF(IFERROR(K100,7)=7,"",RIGHT(K100,LEN(K100)-2)&amp;".")</f>
        <v/>
      </c>
      <c s="36" r="K100">
        <f>IFERROR(__xludf.dummyfunction("CONCATENATE(ArrayFormula(""; ""&amp;QUERY(Hallazgos!A:E,""SELECT B WHERE E CONTAINS '""&amp;B100&amp;""' LABEL B ''"")))"),"#N/A")</f>
        <v/>
      </c>
    </row>
    <row customHeight="1" s="134" r="101" ht="15.75" spans="1:11">
      <c s="34" r="A101" t="s">
        <v>292</v>
      </c>
      <c s="37" r="B101" t="s">
        <v>293</v>
      </c>
      <c s="36" r="C101" t="s">
        <v>84</v>
      </c>
      <c s="36" r="D101" t="s">
        <v>270</v>
      </c>
      <c s="36" r="E101" t="s">
        <v>226</v>
      </c>
      <c s="36" r="F101" t="s">
        <v>101</v>
      </c>
      <c s="36" r="G101" t="s">
        <v>29</v>
      </c>
      <c s="36" r="H101" t="s">
        <v>29</v>
      </c>
      <c s="36" r="I101" t="s">
        <v>29</v>
      </c>
      <c s="37" r="J101">
        <f>IF(IFERROR(K101,7)=7,"",RIGHT(K101,LEN(K101)-2)&amp;".")</f>
        <v/>
      </c>
      <c s="36" r="K101">
        <f>IFERROR(__xludf.dummyfunction("CONCATENATE(ArrayFormula(""; ""&amp;QUERY(Hallazgos!A:E,""SELECT B WHERE E CONTAINS '""&amp;B101&amp;""' LABEL B ''"")))"),"#N/A")</f>
        <v/>
      </c>
    </row>
    <row customHeight="1" s="134" r="102" ht="15.75" spans="1:11">
      <c s="34" r="A102" t="s">
        <v>294</v>
      </c>
      <c s="37" r="B102" t="s">
        <v>295</v>
      </c>
      <c s="36" r="C102" t="s">
        <v>279</v>
      </c>
      <c s="36" r="D102" t="s">
        <v>270</v>
      </c>
      <c s="36" r="E102" t="s">
        <v>134</v>
      </c>
      <c s="36" r="F102" t="s">
        <v>101</v>
      </c>
      <c s="36" r="G102" t="s">
        <v>29</v>
      </c>
      <c s="36" r="H102" t="s">
        <v>29</v>
      </c>
      <c s="36" r="I102" t="s">
        <v>29</v>
      </c>
      <c s="37" r="J102">
        <f>IF(IFERROR(K102,7)=7,"",RIGHT(K102,LEN(K102)-2)&amp;".")</f>
        <v/>
      </c>
      <c s="36" r="K102">
        <f>IFERROR(__xludf.dummyfunction("CONCATENATE(ArrayFormula(""; ""&amp;QUERY(Hallazgos!A:E,""SELECT B WHERE E CONTAINS '""&amp;B102&amp;""' LABEL B ''"")))"),"#N/A")</f>
        <v/>
      </c>
    </row>
    <row customHeight="1" s="134" r="103" ht="15.75" spans="1:11">
      <c s="34" r="A103" t="s">
        <v>296</v>
      </c>
      <c s="37" r="B103" t="s">
        <v>297</v>
      </c>
      <c s="36" r="C103" t="s">
        <v>84</v>
      </c>
      <c s="36" r="D103" t="s">
        <v>270</v>
      </c>
      <c s="36" r="E103" t="s">
        <v>226</v>
      </c>
      <c s="36" r="F103" t="s">
        <v>101</v>
      </c>
      <c s="36" r="G103" t="s">
        <v>29</v>
      </c>
      <c s="36" r="H103" t="s">
        <v>29</v>
      </c>
      <c s="36" r="I103" t="s">
        <v>29</v>
      </c>
      <c s="37" r="J103">
        <f>IF(IFERROR(K103,7)=7,"",RIGHT(K103,LEN(K103)-2)&amp;".")</f>
        <v/>
      </c>
      <c s="36" r="K103">
        <f>IFERROR(__xludf.dummyfunction("CONCATENATE(ArrayFormula(""; ""&amp;QUERY(Hallazgos!A:E,""SELECT B WHERE E CONTAINS '""&amp;B103&amp;""' LABEL B ''"")))"),"#N/A")</f>
        <v/>
      </c>
    </row>
    <row customHeight="1" s="134" r="104" ht="15.75" spans="1:11">
      <c s="34" r="A104" t="s">
        <v>298</v>
      </c>
      <c s="37" r="B104" t="s">
        <v>299</v>
      </c>
      <c s="36" r="C104" t="s">
        <v>279</v>
      </c>
      <c s="36" r="D104" t="s">
        <v>270</v>
      </c>
      <c s="36" r="E104" t="s">
        <v>226</v>
      </c>
      <c s="36" r="F104" t="s">
        <v>101</v>
      </c>
      <c s="36" r="G104" t="s">
        <v>29</v>
      </c>
      <c s="36" r="H104" t="s">
        <v>29</v>
      </c>
      <c s="36" r="I104" t="s">
        <v>29</v>
      </c>
      <c s="37" r="J104">
        <f>IF(IFERROR(K104,7)=7,"",RIGHT(K104,LEN(K104)-2)&amp;".")</f>
        <v/>
      </c>
      <c s="36" r="K104">
        <f>IFERROR(__xludf.dummyfunction("CONCATENATE(ArrayFormula(""; ""&amp;QUERY(Hallazgos!A:E,""SELECT B WHERE E CONTAINS '""&amp;B104&amp;""' LABEL B ''"")))"),"#N/A")</f>
        <v/>
      </c>
    </row>
    <row customHeight="1" s="134" r="105" ht="15.75" spans="1:11">
      <c s="34" r="A105" t="s">
        <v>300</v>
      </c>
      <c s="37" r="B105" t="s">
        <v>301</v>
      </c>
      <c s="36" r="C105" t="s">
        <v>279</v>
      </c>
      <c s="36" r="D105" t="s">
        <v>270</v>
      </c>
      <c s="36" r="E105" t="s">
        <v>100</v>
      </c>
      <c s="36" r="F105" t="s">
        <v>101</v>
      </c>
      <c s="36" r="G105" t="s">
        <v>29</v>
      </c>
      <c s="36" r="H105" t="s">
        <v>29</v>
      </c>
      <c s="36" r="I105" t="s">
        <v>29</v>
      </c>
      <c s="37" r="J105">
        <f>IF(IFERROR(K105,7)=7,"",RIGHT(K105,LEN(K105)-2)&amp;".")</f>
        <v/>
      </c>
      <c s="36" r="K105">
        <f>IFERROR(__xludf.dummyfunction("CONCATENATE(ArrayFormula(""; ""&amp;QUERY(Hallazgos!A:E,""SELECT B WHERE E CONTAINS '""&amp;B105&amp;""' LABEL B ''"")))"),"#N/A")</f>
        <v/>
      </c>
    </row>
    <row customHeight="1" s="134" r="106" ht="15.75" spans="1:11">
      <c s="34" r="A106" t="s">
        <v>302</v>
      </c>
      <c s="37" r="B106" t="s">
        <v>303</v>
      </c>
      <c s="36" r="C106" t="s">
        <v>279</v>
      </c>
      <c s="36" r="D106" t="s">
        <v>270</v>
      </c>
      <c s="36" r="E106" t="s">
        <v>142</v>
      </c>
      <c s="36" r="F106" t="s">
        <v>101</v>
      </c>
      <c s="36" r="G106" t="s">
        <v>29</v>
      </c>
      <c s="36" r="H106" t="s">
        <v>29</v>
      </c>
      <c s="36" r="I106" t="s">
        <v>29</v>
      </c>
      <c s="37" r="J106">
        <f>IF(IFERROR(K106,7)=7,"",RIGHT(K106,LEN(K106)-2)&amp;".")</f>
        <v/>
      </c>
      <c s="36" r="K106">
        <f>IFERROR(__xludf.dummyfunction("CONCATENATE(ArrayFormula(""; ""&amp;QUERY(Hallazgos!A:E,""SELECT B WHERE E CONTAINS '""&amp;B106&amp;""' LABEL B ''"")))"),"#N/A")</f>
        <v/>
      </c>
    </row>
    <row customHeight="1" s="134" r="107" ht="15.75" spans="1:11">
      <c s="34" r="A107" t="s">
        <v>304</v>
      </c>
      <c s="37" r="B107" t="s">
        <v>305</v>
      </c>
      <c s="36" r="C107" t="s">
        <v>279</v>
      </c>
      <c s="36" r="D107" t="s">
        <v>270</v>
      </c>
      <c s="36" r="E107" t="s">
        <v>142</v>
      </c>
      <c s="36" r="F107" t="s">
        <v>101</v>
      </c>
      <c s="36" r="G107" t="s">
        <v>29</v>
      </c>
      <c s="36" r="H107" t="s">
        <v>29</v>
      </c>
      <c s="36" r="I107" t="s">
        <v>29</v>
      </c>
      <c s="37" r="J107">
        <f>IF(IFERROR(K107,7)=7,"",RIGHT(K107,LEN(K107)-2)&amp;".")</f>
        <v/>
      </c>
      <c s="36" r="K107">
        <f>IFERROR(__xludf.dummyfunction("CONCATENATE(ArrayFormula(""; ""&amp;QUERY(Hallazgos!A:E,""SELECT B WHERE E CONTAINS '""&amp;B107&amp;""' LABEL B ''"")))"),"#N/A")</f>
        <v/>
      </c>
    </row>
    <row customHeight="1" s="134" r="108" ht="15.75" spans="1:11">
      <c s="34" r="A108" t="s">
        <v>306</v>
      </c>
      <c s="37" r="B108" t="s">
        <v>307</v>
      </c>
      <c s="36" r="C108" t="s">
        <v>279</v>
      </c>
      <c s="36" r="D108" t="s">
        <v>270</v>
      </c>
      <c s="36" r="E108" t="s">
        <v>122</v>
      </c>
      <c s="36" r="F108" t="s">
        <v>101</v>
      </c>
      <c s="36" r="G108" t="s">
        <v>29</v>
      </c>
      <c s="36" r="H108" t="s">
        <v>29</v>
      </c>
      <c s="36" r="I108" t="s">
        <v>29</v>
      </c>
      <c s="37" r="J108">
        <f>IF(IFERROR(K108,7)=7,"",RIGHT(K108,LEN(K108)-2)&amp;".")</f>
        <v/>
      </c>
      <c s="36" r="K108">
        <f>IFERROR(__xludf.dummyfunction("CONCATENATE(ArrayFormula(""; ""&amp;QUERY(Hallazgos!A:E,""SELECT B WHERE E CONTAINS '""&amp;B108&amp;""' LABEL B ''"")))"),"#N/A")</f>
        <v/>
      </c>
    </row>
    <row customHeight="1" s="134" r="109" ht="15.75" spans="1:11">
      <c s="34" r="A109" t="s">
        <v>308</v>
      </c>
      <c s="37" r="B109" t="s">
        <v>309</v>
      </c>
      <c s="36" r="C109" t="s">
        <v>279</v>
      </c>
      <c s="36" r="D109" t="s">
        <v>270</v>
      </c>
      <c s="36" r="E109" t="s">
        <v>142</v>
      </c>
      <c s="36" r="F109" t="s">
        <v>101</v>
      </c>
      <c s="36" r="G109" t="s">
        <v>29</v>
      </c>
      <c s="36" r="H109" t="s">
        <v>29</v>
      </c>
      <c s="36" r="I109" t="s">
        <v>29</v>
      </c>
      <c s="37" r="J109">
        <f>IF(IFERROR(K109,7)=7,"",RIGHT(K109,LEN(K109)-2)&amp;".")</f>
        <v/>
      </c>
      <c s="36" r="K109">
        <f>IFERROR(__xludf.dummyfunction("CONCATENATE(ArrayFormula(""; ""&amp;QUERY(Hallazgos!A:E,""SELECT B WHERE E CONTAINS '""&amp;B109&amp;""' LABEL B ''"")))"),"#N/A")</f>
        <v/>
      </c>
    </row>
    <row customHeight="1" s="134" r="110" ht="15.75" spans="1:11">
      <c s="34" r="A110" t="s">
        <v>310</v>
      </c>
      <c s="35" r="B110" t="s">
        <v>311</v>
      </c>
      <c s="36" r="C110" t="s">
        <v>66</v>
      </c>
      <c s="36" r="D110" t="s">
        <v>312</v>
      </c>
      <c s="36" r="E110" t="s">
        <v>160</v>
      </c>
      <c s="36" r="F110" t="s">
        <v>101</v>
      </c>
      <c s="36" r="G110" t="s">
        <v>29</v>
      </c>
      <c s="36" r="H110" t="s">
        <v>29</v>
      </c>
      <c s="36" r="I110" t="s">
        <v>29</v>
      </c>
      <c s="37" r="J110">
        <f>IF(IFERROR(K110,7)=7,"",RIGHT(K110,LEN(K110)-2)&amp;".")</f>
        <v/>
      </c>
      <c s="36" r="K110">
        <f>IFERROR(__xludf.dummyfunction("CONCATENATE(ArrayFormula(""; ""&amp;QUERY(Hallazgos!A:E,""SELECT B WHERE E CONTAINS '""&amp;B110&amp;""' LABEL B ''"")))"),"#N/A")</f>
        <v/>
      </c>
    </row>
    <row customHeight="1" s="134" r="111" ht="15.75" spans="1:11">
      <c s="34" r="A111" t="s">
        <v>313</v>
      </c>
      <c s="35" r="B111" t="s">
        <v>314</v>
      </c>
      <c s="36" r="C111" t="s">
        <v>66</v>
      </c>
      <c s="36" r="D111" t="s">
        <v>312</v>
      </c>
      <c s="36" r="E111" t="s">
        <v>160</v>
      </c>
      <c s="36" r="F111" t="s">
        <v>101</v>
      </c>
      <c s="36" r="G111" t="s">
        <v>29</v>
      </c>
      <c s="36" r="H111" t="s">
        <v>29</v>
      </c>
      <c s="36" r="I111" t="s">
        <v>29</v>
      </c>
      <c s="37" r="J111">
        <f>IF(IFERROR(K111,7)=7,"",RIGHT(K111,LEN(K111)-2)&amp;".")</f>
        <v/>
      </c>
      <c s="36" r="K111">
        <f>IFERROR(__xludf.dummyfunction("CONCATENATE(ArrayFormula(""; ""&amp;QUERY(Hallazgos!A:E,""SELECT B WHERE E CONTAINS '""&amp;B111&amp;""' LABEL B ''"")))"),"#N/A")</f>
        <v/>
      </c>
    </row>
    <row customHeight="1" s="134" r="112" ht="15.75" spans="1:11">
      <c s="34" r="A112" t="s">
        <v>315</v>
      </c>
      <c s="35" r="B112" t="s">
        <v>316</v>
      </c>
      <c s="36" r="C112" t="s">
        <v>66</v>
      </c>
      <c s="36" r="D112" t="s">
        <v>312</v>
      </c>
      <c s="36" r="E112" t="s">
        <v>160</v>
      </c>
      <c s="36" r="F112" t="s">
        <v>101</v>
      </c>
      <c s="36" r="G112" t="s">
        <v>29</v>
      </c>
      <c s="36" r="H112" t="s">
        <v>29</v>
      </c>
      <c s="36" r="I112" t="s">
        <v>29</v>
      </c>
      <c s="37" r="J112">
        <f>IF(IFERROR(K112,7)=7,"",RIGHT(K112,LEN(K112)-2)&amp;".")</f>
        <v/>
      </c>
      <c s="36" r="K112">
        <f>IFERROR(__xludf.dummyfunction("CONCATENATE(ArrayFormula(""; ""&amp;QUERY(Hallazgos!A:E,""SELECT B WHERE E CONTAINS '""&amp;B112&amp;""' LABEL B ''"")))"),"#N/A")</f>
        <v/>
      </c>
    </row>
    <row customHeight="1" s="134" r="113" ht="15.75" spans="1:11">
      <c s="34" r="A113" t="s">
        <v>317</v>
      </c>
      <c s="35" r="B113" t="s">
        <v>318</v>
      </c>
      <c s="36" r="C113" t="s">
        <v>66</v>
      </c>
      <c s="36" r="D113" t="s">
        <v>312</v>
      </c>
      <c s="36" r="E113" t="s">
        <v>160</v>
      </c>
      <c s="36" r="F113" t="s">
        <v>101</v>
      </c>
      <c s="36" r="G113" t="s">
        <v>29</v>
      </c>
      <c s="36" r="H113" t="s">
        <v>29</v>
      </c>
      <c s="36" r="I113" t="s">
        <v>29</v>
      </c>
      <c s="37" r="J113">
        <f>IF(IFERROR(K113,7)=7,"",RIGHT(K113,LEN(K113)-2)&amp;".")</f>
        <v/>
      </c>
      <c s="36" r="K113">
        <f>IFERROR(__xludf.dummyfunction("CONCATENATE(ArrayFormula(""; ""&amp;QUERY(Hallazgos!A:E,""SELECT B WHERE E CONTAINS '""&amp;B113&amp;""' LABEL B ''"")))"),"#N/A")</f>
        <v/>
      </c>
    </row>
    <row customHeight="1" s="134" r="114" ht="15.75" spans="1:11">
      <c s="34" r="A114" t="s">
        <v>319</v>
      </c>
      <c s="35" r="B114" t="s">
        <v>320</v>
      </c>
      <c s="36" r="C114" t="s">
        <v>87</v>
      </c>
      <c s="36" r="D114" t="s">
        <v>312</v>
      </c>
      <c s="36" r="E114" t="s">
        <v>127</v>
      </c>
      <c s="36" r="F114" t="s">
        <v>101</v>
      </c>
      <c s="36" r="G114" t="s">
        <v>29</v>
      </c>
      <c s="36" r="H114" t="s">
        <v>29</v>
      </c>
      <c s="36" r="I114" t="s">
        <v>29</v>
      </c>
      <c s="37" r="J114">
        <f>IF(IFERROR(K114,7)=7,"",RIGHT(K114,LEN(K114)-2)&amp;".")</f>
        <v/>
      </c>
      <c s="36" r="K114">
        <f>IFERROR(__xludf.dummyfunction("CONCATENATE(ArrayFormula(""; ""&amp;QUERY(Hallazgos!A:E,""SELECT B WHERE E CONTAINS '""&amp;B114&amp;""' LABEL B ''"")))"),"#N/A")</f>
        <v/>
      </c>
    </row>
    <row customHeight="1" s="134" r="115" ht="15.75" spans="1:11">
      <c s="34" r="A115" t="s">
        <v>321</v>
      </c>
      <c s="35" r="B115" t="s">
        <v>322</v>
      </c>
      <c s="36" r="C115" t="s">
        <v>87</v>
      </c>
      <c s="36" r="D115" t="s">
        <v>312</v>
      </c>
      <c s="36" r="E115" t="s">
        <v>323</v>
      </c>
      <c s="36" r="F115" t="s">
        <v>101</v>
      </c>
      <c s="36" r="G115" t="s">
        <v>29</v>
      </c>
      <c s="36" r="H115" t="s">
        <v>29</v>
      </c>
      <c s="36" r="I115" t="s">
        <v>29</v>
      </c>
      <c s="37" r="J115">
        <f>IF(IFERROR(K115,7)=7,"",RIGHT(K115,LEN(K115)-2)&amp;".")</f>
        <v/>
      </c>
      <c s="36" r="K115">
        <f>IFERROR(__xludf.dummyfunction("CONCATENATE(ArrayFormula(""; ""&amp;QUERY(Hallazgos!A:E,""SELECT B WHERE E CONTAINS '""&amp;B115&amp;""' LABEL B ''"")))"),"#N/A")</f>
        <v/>
      </c>
    </row>
    <row customHeight="1" s="134" r="116" ht="15.75" spans="1:11">
      <c s="34" r="A116" t="s">
        <v>324</v>
      </c>
      <c s="35" r="B116" t="s">
        <v>325</v>
      </c>
      <c s="36" r="C116" t="s">
        <v>87</v>
      </c>
      <c s="36" r="D116" t="s">
        <v>312</v>
      </c>
      <c s="36" r="E116" t="s">
        <v>122</v>
      </c>
      <c s="36" r="F116" t="s">
        <v>119</v>
      </c>
      <c s="36" r="G116" t="s">
        <v>29</v>
      </c>
      <c s="36" r="H116" t="s">
        <v>29</v>
      </c>
      <c s="36" r="I116" t="s">
        <v>29</v>
      </c>
      <c s="37" r="J116">
        <f>IF(IFERROR(K116,7)=7,"",RIGHT(K116,LEN(K116)-2)&amp;".")</f>
        <v/>
      </c>
      <c s="36" r="K116">
        <f>IFERROR(__xludf.dummyfunction("CONCATENATE(ArrayFormula(""; ""&amp;QUERY(Hallazgos!A:E,""SELECT B WHERE E CONTAINS '""&amp;B116&amp;""' LABEL B ''"")))"),"#N/A")</f>
        <v/>
      </c>
    </row>
    <row customHeight="1" s="134" r="117" ht="15.75" spans="1:11">
      <c s="34" r="A117" t="s">
        <v>326</v>
      </c>
      <c s="35" r="B117" t="s">
        <v>327</v>
      </c>
      <c s="36" r="C117" t="s">
        <v>87</v>
      </c>
      <c s="36" r="D117" t="s">
        <v>312</v>
      </c>
      <c s="36" r="E117" t="s">
        <v>100</v>
      </c>
      <c s="36" r="F117" t="s">
        <v>101</v>
      </c>
      <c s="36" r="G117" t="s">
        <v>29</v>
      </c>
      <c s="36" r="H117" t="s">
        <v>29</v>
      </c>
      <c s="36" r="I117" t="s">
        <v>29</v>
      </c>
      <c s="37" r="J117">
        <f>IF(IFERROR(K117,7)=7,"",RIGHT(K117,LEN(K117)-2)&amp;".")</f>
        <v/>
      </c>
      <c s="36" r="K117">
        <f>IFERROR(__xludf.dummyfunction("CONCATENATE(ArrayFormula(""; ""&amp;QUERY(Hallazgos!A:E,""SELECT B WHERE E CONTAINS '""&amp;B117&amp;""' LABEL B ''"")))"),"#N/A")</f>
        <v/>
      </c>
    </row>
    <row customHeight="1" s="134" r="118" ht="15.75" spans="1:11">
      <c s="34" r="A118" t="s">
        <v>328</v>
      </c>
      <c s="35" r="B118" t="s">
        <v>329</v>
      </c>
      <c s="36" r="C118" t="s">
        <v>87</v>
      </c>
      <c s="36" r="D118" t="s">
        <v>312</v>
      </c>
      <c s="36" r="E118" t="s">
        <v>134</v>
      </c>
      <c s="36" r="F118" t="s">
        <v>101</v>
      </c>
      <c s="36" r="G118" t="s">
        <v>29</v>
      </c>
      <c s="36" r="H118" t="s">
        <v>29</v>
      </c>
      <c s="36" r="I118" t="s">
        <v>29</v>
      </c>
      <c s="37" r="J118">
        <f>IF(IFERROR(K118,7)=7,"",RIGHT(K118,LEN(K118)-2)&amp;".")</f>
        <v/>
      </c>
      <c s="36" r="K118">
        <f>IFERROR(__xludf.dummyfunction("CONCATENATE(ArrayFormula(""; ""&amp;QUERY(Hallazgos!A:E,""SELECT B WHERE E CONTAINS '""&amp;B118&amp;""' LABEL B ''"")))"),"#N/A")</f>
        <v/>
      </c>
    </row>
    <row customHeight="1" s="134" r="119" ht="15.75" spans="1:11">
      <c s="34" r="A119" t="s">
        <v>330</v>
      </c>
      <c s="35" r="B119" t="s">
        <v>331</v>
      </c>
      <c s="36" r="C119" t="s">
        <v>87</v>
      </c>
      <c s="36" r="D119" t="s">
        <v>332</v>
      </c>
      <c s="36" r="E119" t="s">
        <v>155</v>
      </c>
      <c s="36" r="F119" t="s">
        <v>101</v>
      </c>
      <c s="36" r="G119" t="s">
        <v>29</v>
      </c>
      <c s="36" r="H119" t="s">
        <v>29</v>
      </c>
      <c s="36" r="I119" t="s">
        <v>29</v>
      </c>
      <c s="37" r="J119">
        <f>IF(IFERROR(K119,7)=7,"",RIGHT(K119,LEN(K119)-2)&amp;".")</f>
        <v/>
      </c>
      <c s="36" r="K119">
        <f>IFERROR(__xludf.dummyfunction("CONCATENATE(ArrayFormula(""; ""&amp;QUERY(Hallazgos!A:E,""SELECT B WHERE E CONTAINS '""&amp;B119&amp;""' LABEL B ''"")))"),"#N/A")</f>
        <v/>
      </c>
    </row>
    <row customHeight="1" s="134" r="120" ht="15.75" spans="1:11">
      <c s="34" r="A120" t="s">
        <v>333</v>
      </c>
      <c s="35" r="B120" t="s">
        <v>334</v>
      </c>
      <c s="36" r="C120" t="s">
        <v>87</v>
      </c>
      <c s="36" r="D120" t="s">
        <v>332</v>
      </c>
      <c s="36" r="E120" t="s">
        <v>155</v>
      </c>
      <c s="36" r="F120" t="s">
        <v>101</v>
      </c>
      <c s="36" r="G120" t="s">
        <v>29</v>
      </c>
      <c s="36" r="H120" t="s">
        <v>29</v>
      </c>
      <c s="36" r="I120" t="s">
        <v>29</v>
      </c>
      <c s="37" r="J120">
        <f>IF(IFERROR(K120,7)=7,"",RIGHT(K120,LEN(K120)-2)&amp;".")</f>
        <v/>
      </c>
      <c s="36" r="K120">
        <f>IFERROR(__xludf.dummyfunction("CONCATENATE(ArrayFormula(""; ""&amp;QUERY(Hallazgos!A:E,""SELECT B WHERE E CONTAINS '""&amp;B120&amp;""' LABEL B ''"")))"),"#N/A")</f>
        <v/>
      </c>
    </row>
    <row customHeight="1" s="134" r="121" ht="15.75" spans="1:11">
      <c s="34" r="A121" t="s">
        <v>335</v>
      </c>
      <c s="35" r="B121" t="s">
        <v>336</v>
      </c>
      <c s="36" r="C121" t="s">
        <v>87</v>
      </c>
      <c s="36" r="D121" t="s">
        <v>332</v>
      </c>
      <c s="36" r="E121" t="s">
        <v>155</v>
      </c>
      <c s="36" r="F121" t="s">
        <v>101</v>
      </c>
      <c s="36" r="G121" t="s">
        <v>29</v>
      </c>
      <c s="36" r="H121" t="s">
        <v>29</v>
      </c>
      <c s="36" r="I121" t="s">
        <v>29</v>
      </c>
      <c s="37" r="J121">
        <f>IF(IFERROR(K121,7)=7,"",RIGHT(K121,LEN(K121)-2)&amp;".")</f>
        <v/>
      </c>
      <c s="36" r="K121">
        <f>IFERROR(__xludf.dummyfunction("CONCATENATE(ArrayFormula(""; ""&amp;QUERY(Hallazgos!A:E,""SELECT B WHERE E CONTAINS '""&amp;B121&amp;""' LABEL B ''"")))"),"#N/A")</f>
        <v/>
      </c>
    </row>
    <row customHeight="1" s="134" r="122" ht="15.75" spans="1:11">
      <c s="34" r="A122" t="s">
        <v>337</v>
      </c>
      <c s="35" r="B122" t="s">
        <v>338</v>
      </c>
      <c s="36" r="C122" t="s">
        <v>66</v>
      </c>
      <c s="36" r="D122" t="s">
        <v>332</v>
      </c>
      <c s="36" r="E122" t="s">
        <v>127</v>
      </c>
      <c s="36" r="F122" t="s">
        <v>101</v>
      </c>
      <c s="36" r="G122" t="s">
        <v>29</v>
      </c>
      <c s="36" r="H122" t="s">
        <v>29</v>
      </c>
      <c s="36" r="I122" t="s">
        <v>29</v>
      </c>
      <c s="37" r="J122">
        <f>IF(IFERROR(K122,7)=7,"",RIGHT(K122,LEN(K122)-2)&amp;".")</f>
        <v/>
      </c>
      <c s="36" r="K122">
        <f>IFERROR(__xludf.dummyfunction("CONCATENATE(ArrayFormula(""; ""&amp;QUERY(Hallazgos!A:E,""SELECT B WHERE E CONTAINS '""&amp;B122&amp;""' LABEL B ''"")))"),"#N/A")</f>
        <v/>
      </c>
    </row>
    <row customHeight="1" s="134" r="123" ht="15.75" spans="1:11">
      <c s="34" r="A123" t="s">
        <v>339</v>
      </c>
      <c s="35" r="B123" t="s">
        <v>340</v>
      </c>
      <c s="36" r="C123" t="s">
        <v>87</v>
      </c>
      <c s="36" r="D123" t="s">
        <v>332</v>
      </c>
      <c s="36" r="E123" t="s">
        <v>122</v>
      </c>
      <c s="36" r="F123" t="s">
        <v>101</v>
      </c>
      <c s="36" r="G123" t="s">
        <v>29</v>
      </c>
      <c s="36" r="H123" t="s">
        <v>29</v>
      </c>
      <c s="36" r="I123" t="s">
        <v>29</v>
      </c>
      <c s="37" r="J123">
        <f>IF(IFERROR(K123,7)=7,"",RIGHT(K123,LEN(K123)-2)&amp;".")</f>
        <v/>
      </c>
      <c s="36" r="K123">
        <f>IFERROR(__xludf.dummyfunction("CONCATENATE(ArrayFormula(""; ""&amp;QUERY(Hallazgos!A:E,""SELECT B WHERE E CONTAINS '""&amp;B123&amp;""' LABEL B ''"")))"),"#N/A")</f>
        <v/>
      </c>
    </row>
    <row customHeight="1" s="134" r="124" ht="15.75" spans="1:11">
      <c s="34" r="A124" t="s">
        <v>341</v>
      </c>
      <c s="35" r="B124" t="s">
        <v>342</v>
      </c>
      <c s="36" r="C124" t="s">
        <v>87</v>
      </c>
      <c s="36" r="D124" t="s">
        <v>332</v>
      </c>
      <c s="36" r="E124" t="s">
        <v>127</v>
      </c>
      <c s="36" r="F124" t="s">
        <v>101</v>
      </c>
      <c s="36" r="G124" t="s">
        <v>29</v>
      </c>
      <c s="36" r="H124" t="s">
        <v>29</v>
      </c>
      <c s="36" r="I124" t="s">
        <v>29</v>
      </c>
      <c s="37" r="J124">
        <f>IF(IFERROR(K124,7)=7,"",RIGHT(K124,LEN(K124)-2)&amp;".")</f>
        <v/>
      </c>
      <c s="36" r="K124">
        <f>IFERROR(__xludf.dummyfunction("CONCATENATE(ArrayFormula(""; ""&amp;QUERY(Hallazgos!A:E,""SELECT B WHERE E CONTAINS '""&amp;B124&amp;""' LABEL B ''"")))"),"#N/A")</f>
        <v/>
      </c>
    </row>
    <row customHeight="1" s="134" r="125" ht="15.75" spans="1:11">
      <c s="34" r="A125" t="s">
        <v>343</v>
      </c>
      <c s="35" r="B125" t="s">
        <v>344</v>
      </c>
      <c s="36" r="C125" t="s">
        <v>87</v>
      </c>
      <c s="36" r="D125" t="s">
        <v>332</v>
      </c>
      <c s="36" r="E125" t="s">
        <v>127</v>
      </c>
      <c s="36" r="F125" t="s">
        <v>101</v>
      </c>
      <c s="36" r="G125" t="s">
        <v>29</v>
      </c>
      <c s="36" r="H125" t="s">
        <v>29</v>
      </c>
      <c s="36" r="I125" t="s">
        <v>29</v>
      </c>
      <c s="37" r="J125">
        <f>IF(IFERROR(K125,7)=7,"",RIGHT(K125,LEN(K125)-2)&amp;".")</f>
        <v/>
      </c>
      <c s="36" r="K125">
        <f>IFERROR(__xludf.dummyfunction("CONCATENATE(ArrayFormula(""; ""&amp;QUERY(Hallazgos!A:E,""SELECT B WHERE E CONTAINS '""&amp;B125&amp;""' LABEL B ''"")))"),"#N/A")</f>
        <v/>
      </c>
    </row>
    <row customHeight="1" s="134" r="126" ht="15.75" spans="1:11">
      <c s="34" r="A126" t="s">
        <v>345</v>
      </c>
      <c s="35" r="B126" t="s">
        <v>346</v>
      </c>
      <c s="36" r="C126" t="s">
        <v>87</v>
      </c>
      <c s="36" r="D126" t="s">
        <v>332</v>
      </c>
      <c s="36" r="E126" t="s">
        <v>127</v>
      </c>
      <c s="36" r="F126" t="s">
        <v>101</v>
      </c>
      <c s="36" r="G126" t="s">
        <v>29</v>
      </c>
      <c s="36" r="H126" t="s">
        <v>29</v>
      </c>
      <c s="36" r="I126" t="s">
        <v>29</v>
      </c>
      <c s="37" r="J126">
        <f>IF(IFERROR(K126,7)=7,"",RIGHT(K126,LEN(K126)-2)&amp;".")</f>
        <v/>
      </c>
      <c s="36" r="K126">
        <f>IFERROR(__xludf.dummyfunction("CONCATENATE(ArrayFormula(""; ""&amp;QUERY(Hallazgos!A:E,""SELECT B WHERE E CONTAINS '""&amp;B126&amp;""' LABEL B ''"")))"),"#N/A")</f>
        <v/>
      </c>
    </row>
    <row customHeight="1" s="134" r="127" ht="15.75" spans="1:11">
      <c s="34" r="A127" t="s">
        <v>347</v>
      </c>
      <c s="35" r="B127" t="s">
        <v>348</v>
      </c>
      <c s="36" r="C127" t="s">
        <v>66</v>
      </c>
      <c s="36" r="D127" t="s">
        <v>332</v>
      </c>
      <c s="36" r="E127" t="s">
        <v>68</v>
      </c>
      <c s="36" r="F127" t="s">
        <v>101</v>
      </c>
      <c s="36" r="G127" t="s">
        <v>29</v>
      </c>
      <c s="36" r="H127" t="s">
        <v>29</v>
      </c>
      <c s="36" r="I127" t="s">
        <v>29</v>
      </c>
      <c s="37" r="J127">
        <f>IF(IFERROR(K127,7)=7,"",RIGHT(K127,LEN(K127)-2)&amp;".")</f>
        <v/>
      </c>
      <c s="36" r="K127">
        <f>IFERROR(__xludf.dummyfunction("CONCATENATE(ArrayFormula(""; ""&amp;QUERY(Hallazgos!A:E,""SELECT B WHERE E CONTAINS '""&amp;B127&amp;""' LABEL B ''"")))"),"#N/A")</f>
        <v/>
      </c>
    </row>
    <row customHeight="1" s="134" r="128" ht="15.75" spans="1:11">
      <c s="34" r="A128" t="s">
        <v>349</v>
      </c>
      <c s="35" r="B128" t="s">
        <v>350</v>
      </c>
      <c s="36" r="C128" t="s">
        <v>66</v>
      </c>
      <c s="36" r="D128" t="s">
        <v>332</v>
      </c>
      <c s="36" r="E128" t="s">
        <v>68</v>
      </c>
      <c s="36" r="F128" t="s">
        <v>101</v>
      </c>
      <c s="36" r="G128" t="s">
        <v>29</v>
      </c>
      <c s="36" r="H128" t="s">
        <v>29</v>
      </c>
      <c s="36" r="I128" t="s">
        <v>29</v>
      </c>
      <c s="37" r="J128">
        <f>IF(IFERROR(K128,7)=7,"",RIGHT(K128,LEN(K128)-2)&amp;".")</f>
        <v/>
      </c>
      <c s="36" r="K128">
        <f>IFERROR(__xludf.dummyfunction("CONCATENATE(ArrayFormula(""; ""&amp;QUERY(Hallazgos!A:E,""SELECT B WHERE E CONTAINS '""&amp;B128&amp;""' LABEL B ''"")))"),"#N/A")</f>
        <v/>
      </c>
    </row>
    <row customHeight="1" s="134" r="129" ht="15.75" spans="1:11">
      <c s="34" r="A129" t="s">
        <v>351</v>
      </c>
      <c s="35" r="B129" t="s">
        <v>352</v>
      </c>
      <c s="36" r="C129" t="s">
        <v>66</v>
      </c>
      <c s="36" r="D129" t="s">
        <v>332</v>
      </c>
      <c s="36" r="E129" t="s">
        <v>68</v>
      </c>
      <c s="36" r="F129" t="s">
        <v>101</v>
      </c>
      <c s="36" r="G129" t="s">
        <v>29</v>
      </c>
      <c s="36" r="H129" t="s">
        <v>29</v>
      </c>
      <c s="36" r="I129" t="s">
        <v>29</v>
      </c>
      <c s="37" r="J129">
        <f>IF(IFERROR(K129,7)=7,"",RIGHT(K129,LEN(K129)-2)&amp;".")</f>
        <v/>
      </c>
      <c s="36" r="K129">
        <f>IFERROR(__xludf.dummyfunction("CONCATENATE(ArrayFormula(""; ""&amp;QUERY(Hallazgos!A:E,""SELECT B WHERE E CONTAINS '""&amp;B129&amp;""' LABEL B ''"")))"),"#N/A")</f>
        <v/>
      </c>
    </row>
    <row customHeight="1" s="134" r="130" ht="15.75" spans="1:11">
      <c s="34" r="A130" t="s">
        <v>353</v>
      </c>
      <c s="35" r="B130" t="s">
        <v>354</v>
      </c>
      <c s="36" r="C130" t="s">
        <v>66</v>
      </c>
      <c s="36" r="D130" t="s">
        <v>332</v>
      </c>
      <c s="36" r="E130" t="s">
        <v>68</v>
      </c>
      <c s="36" r="F130" t="s">
        <v>101</v>
      </c>
      <c s="36" r="G130" t="s">
        <v>29</v>
      </c>
      <c s="36" r="H130" t="s">
        <v>29</v>
      </c>
      <c s="36" r="I130" t="s">
        <v>29</v>
      </c>
      <c s="37" r="J130">
        <f>IF(IFERROR(K130,7)=7,"",RIGHT(K130,LEN(K130)-2)&amp;".")</f>
        <v/>
      </c>
      <c s="36" r="K130">
        <f>IFERROR(__xludf.dummyfunction("CONCATENATE(ArrayFormula(""; ""&amp;QUERY(Hallazgos!A:E,""SELECT B WHERE E CONTAINS '""&amp;B130&amp;""' LABEL B ''"")))"),"#N/A")</f>
        <v/>
      </c>
    </row>
    <row customHeight="1" s="134" r="131" ht="15.75" spans="1:11">
      <c s="34" r="A131" t="s">
        <v>355</v>
      </c>
      <c s="35" r="B131" t="s">
        <v>356</v>
      </c>
      <c s="36" r="C131" t="s">
        <v>66</v>
      </c>
      <c s="36" r="D131" t="s">
        <v>332</v>
      </c>
      <c s="36" r="E131" t="s">
        <v>68</v>
      </c>
      <c s="36" r="F131" t="s">
        <v>101</v>
      </c>
      <c s="36" r="G131" t="s">
        <v>29</v>
      </c>
      <c s="36" r="H131" t="s">
        <v>29</v>
      </c>
      <c s="36" r="I131" t="s">
        <v>29</v>
      </c>
      <c s="37" r="J131">
        <f>IF(IFERROR(K131,7)=7,"",RIGHT(K131,LEN(K131)-2)&amp;".")</f>
        <v/>
      </c>
      <c s="36" r="K131">
        <f>IFERROR(__xludf.dummyfunction("CONCATENATE(ArrayFormula(""; ""&amp;QUERY(Hallazgos!A:E,""SELECT B WHERE E CONTAINS '""&amp;B131&amp;""' LABEL B ''"")))"),"#N/A")</f>
        <v/>
      </c>
    </row>
    <row customHeight="1" s="134" r="132" ht="15.75" spans="1:11">
      <c s="34" r="A132" t="s">
        <v>357</v>
      </c>
      <c s="35" r="B132" t="s">
        <v>358</v>
      </c>
      <c s="36" r="C132" t="s">
        <v>66</v>
      </c>
      <c s="36" r="D132" t="s">
        <v>332</v>
      </c>
      <c s="36" r="E132" t="s">
        <v>68</v>
      </c>
      <c s="36" r="F132" t="s">
        <v>101</v>
      </c>
      <c s="36" r="G132" t="s">
        <v>29</v>
      </c>
      <c s="36" r="H132" t="s">
        <v>29</v>
      </c>
      <c s="36" r="I132" t="s">
        <v>29</v>
      </c>
      <c s="37" r="J132">
        <f>IF(IFERROR(K132,7)=7,"",RIGHT(K132,LEN(K132)-2)&amp;".")</f>
        <v/>
      </c>
      <c s="36" r="K132">
        <f>IFERROR(__xludf.dummyfunction("CONCATENATE(ArrayFormula(""; ""&amp;QUERY(Hallazgos!A:E,""SELECT B WHERE E CONTAINS '""&amp;B132&amp;""' LABEL B ''"")))"),"#N/A")</f>
        <v/>
      </c>
    </row>
    <row customHeight="1" s="134" r="133" ht="15.75" spans="1:11">
      <c s="34" r="A133" t="s">
        <v>359</v>
      </c>
      <c s="35" r="B133" t="s">
        <v>360</v>
      </c>
      <c s="36" r="C133" t="s">
        <v>66</v>
      </c>
      <c s="36" r="D133" t="s">
        <v>332</v>
      </c>
      <c s="36" r="E133" t="s">
        <v>68</v>
      </c>
      <c s="36" r="F133" t="s">
        <v>101</v>
      </c>
      <c s="36" r="G133" t="s">
        <v>29</v>
      </c>
      <c s="36" r="H133" t="s">
        <v>29</v>
      </c>
      <c s="36" r="I133" t="s">
        <v>29</v>
      </c>
      <c s="37" r="J133">
        <f>IF(IFERROR(K133,7)=7,"",RIGHT(K133,LEN(K133)-2)&amp;".")</f>
        <v/>
      </c>
      <c s="36" r="K133">
        <f>IFERROR(__xludf.dummyfunction("CONCATENATE(ArrayFormula(""; ""&amp;QUERY(Hallazgos!A:E,""SELECT B WHERE E CONTAINS '""&amp;B133&amp;""' LABEL B ''"")))"),"#N/A")</f>
        <v/>
      </c>
    </row>
    <row customHeight="1" s="134" r="134" ht="15.75" spans="1:11">
      <c s="34" r="A134" t="s">
        <v>361</v>
      </c>
      <c s="35" r="B134" t="s">
        <v>362</v>
      </c>
      <c s="36" r="C134" t="s">
        <v>66</v>
      </c>
      <c s="36" r="D134" t="s">
        <v>332</v>
      </c>
      <c s="36" r="E134" t="s">
        <v>68</v>
      </c>
      <c s="36" r="F134" t="s">
        <v>101</v>
      </c>
      <c s="36" r="G134" t="s">
        <v>29</v>
      </c>
      <c s="36" r="H134" t="s">
        <v>29</v>
      </c>
      <c s="36" r="I134" t="s">
        <v>29</v>
      </c>
      <c s="37" r="J134">
        <f>IF(IFERROR(K134,7)=7,"",RIGHT(K134,LEN(K134)-2)&amp;".")</f>
        <v/>
      </c>
      <c s="36" r="K134">
        <f>IFERROR(__xludf.dummyfunction("CONCATENATE(ArrayFormula(""; ""&amp;QUERY(Hallazgos!A:E,""SELECT B WHERE E CONTAINS '""&amp;B134&amp;""' LABEL B ''"")))"),"#N/A")</f>
        <v/>
      </c>
    </row>
    <row customHeight="1" s="134" r="135" ht="15.75" spans="1:11">
      <c s="34" r="A135" t="s">
        <v>363</v>
      </c>
      <c s="35" r="B135" t="s">
        <v>364</v>
      </c>
      <c s="36" r="C135" t="s">
        <v>87</v>
      </c>
      <c s="36" r="D135" t="s">
        <v>332</v>
      </c>
      <c s="36" r="E135" t="s">
        <v>127</v>
      </c>
      <c s="36" r="F135" t="s">
        <v>101</v>
      </c>
      <c s="36" r="G135" t="s">
        <v>29</v>
      </c>
      <c s="36" r="H135" t="s">
        <v>29</v>
      </c>
      <c s="36" r="I135" t="s">
        <v>29</v>
      </c>
      <c s="37" r="J135">
        <f>IF(IFERROR(K135,7)=7,"",RIGHT(K135,LEN(K135)-2)&amp;".")</f>
        <v/>
      </c>
      <c s="36" r="K135">
        <f>IFERROR(__xludf.dummyfunction("CONCATENATE(ArrayFormula(""; ""&amp;QUERY(Hallazgos!A:E,""SELECT B WHERE E CONTAINS '""&amp;B135&amp;""' LABEL B ''"")))"),"#N/A")</f>
        <v/>
      </c>
    </row>
    <row customHeight="1" s="134" r="136" ht="15.75" spans="1:11">
      <c s="34" r="A136" t="s">
        <v>365</v>
      </c>
      <c s="35" r="B136" t="s">
        <v>366</v>
      </c>
      <c s="36" r="C136" t="s">
        <v>87</v>
      </c>
      <c s="36" r="D136" t="s">
        <v>332</v>
      </c>
      <c s="36" r="E136" t="s">
        <v>134</v>
      </c>
      <c s="36" r="F136" t="s">
        <v>101</v>
      </c>
      <c s="36" r="G136" t="s">
        <v>29</v>
      </c>
      <c s="36" r="H136" t="s">
        <v>29</v>
      </c>
      <c s="36" r="I136" t="s">
        <v>29</v>
      </c>
      <c s="37" r="J136">
        <f>IF(IFERROR(K136,7)=7,"",RIGHT(K136,LEN(K136)-2)&amp;".")</f>
        <v/>
      </c>
      <c s="36" r="K136">
        <f>IFERROR(__xludf.dummyfunction("CONCATENATE(ArrayFormula(""; ""&amp;QUERY(Hallazgos!A:E,""SELECT B WHERE E CONTAINS '""&amp;B136&amp;""' LABEL B ''"")))"),"#N/A")</f>
        <v/>
      </c>
    </row>
    <row customHeight="1" s="134" r="137" ht="15.75" spans="1:11">
      <c s="34" r="A137" t="s">
        <v>367</v>
      </c>
      <c s="35" r="B137" t="s">
        <v>368</v>
      </c>
      <c s="36" r="C137" t="s">
        <v>87</v>
      </c>
      <c s="36" r="D137" t="s">
        <v>332</v>
      </c>
      <c s="36" r="E137" t="s">
        <v>134</v>
      </c>
      <c s="36" r="F137" t="s">
        <v>101</v>
      </c>
      <c s="36" r="G137" t="s">
        <v>29</v>
      </c>
      <c s="36" r="H137" t="s">
        <v>29</v>
      </c>
      <c s="36" r="I137" t="s">
        <v>29</v>
      </c>
      <c s="37" r="J137">
        <f>IF(IFERROR(K137,7)=7,"",RIGHT(K137,LEN(K137)-2)&amp;".")</f>
        <v/>
      </c>
      <c s="36" r="K137">
        <f>IFERROR(__xludf.dummyfunction("CONCATENATE(ArrayFormula(""; ""&amp;QUERY(Hallazgos!A:E,""SELECT B WHERE E CONTAINS '""&amp;B137&amp;""' LABEL B ''"")))"),"#N/A")</f>
        <v/>
      </c>
    </row>
    <row customHeight="1" s="134" r="138" ht="15.75" spans="1:11">
      <c s="34" r="A138" t="s">
        <v>369</v>
      </c>
      <c s="35" r="B138" t="s">
        <v>370</v>
      </c>
      <c s="36" r="C138" t="s">
        <v>87</v>
      </c>
      <c s="36" r="D138" t="s">
        <v>332</v>
      </c>
      <c s="36" r="E138" t="s">
        <v>134</v>
      </c>
      <c s="36" r="F138" t="s">
        <v>101</v>
      </c>
      <c s="36" r="G138" t="s">
        <v>29</v>
      </c>
      <c s="36" r="H138" t="s">
        <v>29</v>
      </c>
      <c s="36" r="I138" t="s">
        <v>29</v>
      </c>
      <c s="37" r="J138">
        <f>IF(IFERROR(K138,7)=7,"",RIGHT(K138,LEN(K138)-2)&amp;".")</f>
        <v/>
      </c>
      <c s="36" r="K138">
        <f>IFERROR(__xludf.dummyfunction("CONCATENATE(ArrayFormula(""; ""&amp;QUERY(Hallazgos!A:E,""SELECT B WHERE E CONTAINS '""&amp;B138&amp;""' LABEL B ''"")))"),"#N/A")</f>
        <v/>
      </c>
    </row>
    <row customHeight="1" s="134" r="139" ht="15.75" spans="1:11">
      <c s="34" r="A139" t="s">
        <v>371</v>
      </c>
      <c s="35" r="B139" t="s">
        <v>372</v>
      </c>
      <c s="36" r="C139" t="s">
        <v>66</v>
      </c>
      <c s="36" r="D139" t="s">
        <v>332</v>
      </c>
      <c s="36" r="E139" t="s">
        <v>68</v>
      </c>
      <c s="36" r="F139" t="s">
        <v>101</v>
      </c>
      <c s="36" r="G139" t="s">
        <v>29</v>
      </c>
      <c s="36" r="H139" t="s">
        <v>29</v>
      </c>
      <c s="36" r="I139" t="s">
        <v>29</v>
      </c>
      <c s="37" r="J139">
        <f>IF(IFERROR(K139,7)=7,"",RIGHT(K139,LEN(K139)-2)&amp;".")</f>
        <v/>
      </c>
      <c s="36" r="K139">
        <f>IFERROR(__xludf.dummyfunction("CONCATENATE(ArrayFormula(""; ""&amp;QUERY(Hallazgos!A:E,""SELECT B WHERE E CONTAINS '""&amp;B139&amp;""' LABEL B ''"")))"),"#N/A")</f>
        <v/>
      </c>
    </row>
    <row customHeight="1" s="134" r="140" ht="15.75" spans="1:11">
      <c s="34" r="A140" t="s">
        <v>373</v>
      </c>
      <c s="35" r="B140" t="s">
        <v>374</v>
      </c>
      <c s="36" r="C140" t="s">
        <v>66</v>
      </c>
      <c s="36" r="D140" t="s">
        <v>332</v>
      </c>
      <c s="36" r="E140" t="s">
        <v>68</v>
      </c>
      <c s="36" r="F140" t="s">
        <v>101</v>
      </c>
      <c s="36" r="G140" t="s">
        <v>29</v>
      </c>
      <c s="36" r="H140" t="s">
        <v>29</v>
      </c>
      <c s="36" r="I140" t="s">
        <v>29</v>
      </c>
      <c s="37" r="J140">
        <f>IF(IFERROR(K140,7)=7,"",RIGHT(K140,LEN(K140)-2)&amp;".")</f>
        <v/>
      </c>
      <c s="36" r="K140">
        <f>IFERROR(__xludf.dummyfunction("CONCATENATE(ArrayFormula(""; ""&amp;QUERY(Hallazgos!A:E,""SELECT B WHERE E CONTAINS '""&amp;B140&amp;""' LABEL B ''"")))"),"#N/A")</f>
        <v/>
      </c>
    </row>
    <row customHeight="1" s="134" r="141" ht="15.75" spans="1:11">
      <c s="34" r="A141" t="s">
        <v>375</v>
      </c>
      <c s="35" r="B141" t="s">
        <v>376</v>
      </c>
      <c s="36" r="C141" t="s">
        <v>87</v>
      </c>
      <c s="36" r="D141" t="s">
        <v>332</v>
      </c>
      <c s="36" r="E141" t="s">
        <v>134</v>
      </c>
      <c s="36" r="F141" t="s">
        <v>101</v>
      </c>
      <c s="36" r="G141" t="s">
        <v>29</v>
      </c>
      <c s="36" r="H141" t="s">
        <v>29</v>
      </c>
      <c s="36" r="I141" t="s">
        <v>29</v>
      </c>
      <c s="37" r="J141">
        <f>IF(IFERROR(K141,7)=7,"",RIGHT(K141,LEN(K141)-2)&amp;".")</f>
        <v/>
      </c>
      <c s="36" r="K141">
        <f>IFERROR(__xludf.dummyfunction("CONCATENATE(ArrayFormula(""; ""&amp;QUERY(Hallazgos!A:E,""SELECT B WHERE E CONTAINS '""&amp;B141&amp;""' LABEL B ''"")))"),"#N/A")</f>
        <v/>
      </c>
    </row>
    <row customHeight="1" s="134" r="142" ht="15.75" spans="1:11">
      <c s="34" r="A142" t="s">
        <v>377</v>
      </c>
      <c s="35" r="B142" t="s">
        <v>378</v>
      </c>
      <c s="36" r="C142" t="s">
        <v>84</v>
      </c>
      <c s="36" r="D142" t="s">
        <v>332</v>
      </c>
      <c s="36" r="E142" t="s">
        <v>127</v>
      </c>
      <c s="36" r="F142" t="s">
        <v>148</v>
      </c>
      <c s="36" r="G142" t="s">
        <v>29</v>
      </c>
      <c s="36" r="H142" t="s">
        <v>29</v>
      </c>
      <c s="36" r="I142" t="s">
        <v>29</v>
      </c>
      <c s="37" r="J142">
        <f>IF(IFERROR(K142,7)=7,"",RIGHT(K142,LEN(K142)-2)&amp;".")</f>
        <v/>
      </c>
      <c s="36" r="K142">
        <f>IFERROR(__xludf.dummyfunction("CONCATENATE(ArrayFormula(""; ""&amp;QUERY(Hallazgos!A:E,""SELECT B WHERE E CONTAINS '""&amp;B142&amp;""' LABEL B ''"")))"),"#N/A")</f>
        <v/>
      </c>
    </row>
    <row customHeight="1" s="134" r="143" ht="15.75" spans="1:11">
      <c s="34" r="A143" t="s">
        <v>379</v>
      </c>
      <c s="35" r="B143" t="s">
        <v>380</v>
      </c>
      <c s="36" r="C143" t="s">
        <v>87</v>
      </c>
      <c s="36" r="D143" t="s">
        <v>332</v>
      </c>
      <c s="36" r="E143" t="s">
        <v>134</v>
      </c>
      <c s="36" r="F143" t="s">
        <v>101</v>
      </c>
      <c s="36" r="G143" t="s">
        <v>29</v>
      </c>
      <c s="36" r="H143" t="s">
        <v>29</v>
      </c>
      <c s="36" r="I143" t="s">
        <v>29</v>
      </c>
      <c s="37" r="J143">
        <f>IF(IFERROR(K143,7)=7,"",RIGHT(K143,LEN(K143)-2)&amp;".")</f>
        <v/>
      </c>
      <c s="36" r="K143">
        <f>IFERROR(__xludf.dummyfunction("CONCATENATE(ArrayFormula(""; ""&amp;QUERY(Hallazgos!A:E,""SELECT B WHERE E CONTAINS '""&amp;B143&amp;""' LABEL B ''"")))"),"#N/A")</f>
        <v/>
      </c>
    </row>
    <row customHeight="1" s="134" r="144" ht="15.75" spans="1:11">
      <c s="34" r="A144" t="s">
        <v>381</v>
      </c>
      <c s="35" r="B144" t="s">
        <v>382</v>
      </c>
      <c s="36" r="C144" t="s">
        <v>87</v>
      </c>
      <c s="36" r="D144" t="s">
        <v>383</v>
      </c>
      <c s="36" r="E144" t="s">
        <v>68</v>
      </c>
      <c s="36" r="F144" t="s">
        <v>119</v>
      </c>
      <c s="36" r="G144" t="s">
        <v>29</v>
      </c>
      <c s="36" r="H144" t="s">
        <v>29</v>
      </c>
      <c s="36" r="I144" t="s">
        <v>29</v>
      </c>
      <c s="37" r="J144">
        <f>IF(IFERROR(K144,7)=7,"",RIGHT(K144,LEN(K144)-2)&amp;".")</f>
        <v/>
      </c>
      <c s="36" r="K144">
        <f>IFERROR(__xludf.dummyfunction("CONCATENATE(ArrayFormula(""; ""&amp;QUERY(Hallazgos!A:E,""SELECT B WHERE E CONTAINS '""&amp;B144&amp;""' LABEL B ''"")))"),"#N/A")</f>
        <v/>
      </c>
    </row>
    <row customHeight="1" s="134" r="145" ht="15.75" spans="1:11">
      <c s="34" r="A145" t="s">
        <v>384</v>
      </c>
      <c s="35" r="B145" t="s">
        <v>385</v>
      </c>
      <c s="36" r="C145" t="s">
        <v>87</v>
      </c>
      <c s="36" r="D145" t="s">
        <v>383</v>
      </c>
      <c s="36" r="E145" t="s">
        <v>127</v>
      </c>
      <c s="36" r="F145" t="s">
        <v>101</v>
      </c>
      <c s="36" r="G145" t="s">
        <v>29</v>
      </c>
      <c s="36" r="H145" t="s">
        <v>29</v>
      </c>
      <c s="36" r="I145" t="s">
        <v>29</v>
      </c>
      <c s="37" r="J145">
        <f>IF(IFERROR(K145,7)=7,"",RIGHT(K145,LEN(K145)-2)&amp;".")</f>
        <v/>
      </c>
      <c s="36" r="K145">
        <f>IFERROR(__xludf.dummyfunction("CONCATENATE(ArrayFormula(""; ""&amp;QUERY(Hallazgos!A:E,""SELECT B WHERE E CONTAINS '""&amp;B145&amp;""' LABEL B ''"")))"),"#N/A")</f>
        <v/>
      </c>
    </row>
    <row customHeight="1" s="134" r="146" ht="15.75" spans="1:11">
      <c s="34" r="A146" t="s">
        <v>386</v>
      </c>
      <c s="35" r="B146" t="s">
        <v>387</v>
      </c>
      <c s="36" r="C146" t="s">
        <v>87</v>
      </c>
      <c s="36" r="D146" t="s">
        <v>383</v>
      </c>
      <c s="36" r="E146" t="s">
        <v>127</v>
      </c>
      <c s="36" r="F146" t="s">
        <v>101</v>
      </c>
      <c s="36" r="G146" t="s">
        <v>29</v>
      </c>
      <c s="36" r="H146" t="s">
        <v>29</v>
      </c>
      <c s="36" r="I146" t="s">
        <v>29</v>
      </c>
      <c s="37" r="J146">
        <f>IF(IFERROR(K146,7)=7,"",RIGHT(K146,LEN(K146)-2)&amp;".")</f>
        <v/>
      </c>
      <c s="36" r="K146">
        <f>IFERROR(__xludf.dummyfunction("CONCATENATE(ArrayFormula(""; ""&amp;QUERY(Hallazgos!A:E,""SELECT B WHERE E CONTAINS '""&amp;B146&amp;""' LABEL B ''"")))"),"#N/A")</f>
        <v/>
      </c>
    </row>
    <row customHeight="1" s="134" r="147" ht="15.75" spans="1:11">
      <c s="34" r="A147" t="s">
        <v>388</v>
      </c>
      <c s="35" r="B147" t="s">
        <v>389</v>
      </c>
      <c s="36" r="C147" t="s">
        <v>87</v>
      </c>
      <c s="36" r="D147" t="s">
        <v>383</v>
      </c>
      <c s="36" r="E147" t="s">
        <v>122</v>
      </c>
      <c s="36" r="F147" t="s">
        <v>101</v>
      </c>
      <c s="36" r="G147" t="s">
        <v>29</v>
      </c>
      <c s="36" r="H147" t="s">
        <v>29</v>
      </c>
      <c s="36" r="I147" t="s">
        <v>29</v>
      </c>
      <c s="37" r="J147">
        <f>IF(IFERROR(K147,7)=7,"",RIGHT(K147,LEN(K147)-2)&amp;".")</f>
        <v/>
      </c>
      <c s="36" r="K147">
        <f>IFERROR(__xludf.dummyfunction("CONCATENATE(ArrayFormula(""; ""&amp;QUERY(Hallazgos!A:E,""SELECT B WHERE E CONTAINS '""&amp;B147&amp;""' LABEL B ''"")))"),"#N/A")</f>
        <v/>
      </c>
    </row>
    <row customHeight="1" s="134" r="148" ht="15.75" spans="1:11">
      <c s="34" r="A148" t="s">
        <v>390</v>
      </c>
      <c s="35" r="B148" t="s">
        <v>391</v>
      </c>
      <c s="36" r="C148" t="s">
        <v>87</v>
      </c>
      <c s="36" r="D148" t="s">
        <v>383</v>
      </c>
      <c s="36" r="E148" t="s">
        <v>100</v>
      </c>
      <c s="36" r="F148" t="s">
        <v>101</v>
      </c>
      <c s="36" r="G148" t="s">
        <v>29</v>
      </c>
      <c s="36" r="H148" t="s">
        <v>29</v>
      </c>
      <c s="36" r="I148" t="s">
        <v>29</v>
      </c>
      <c s="37" r="J148">
        <f>IF(IFERROR(K148,7)=7,"",RIGHT(K148,LEN(K148)-2)&amp;".")</f>
        <v/>
      </c>
      <c s="36" r="K148">
        <f>IFERROR(__xludf.dummyfunction("CONCATENATE(ArrayFormula(""; ""&amp;QUERY(Hallazgos!A:E,""SELECT B WHERE E CONTAINS '""&amp;B148&amp;""' LABEL B ''"")))"),"#N/A")</f>
        <v/>
      </c>
    </row>
    <row customHeight="1" s="134" r="149" ht="15.75" spans="1:11">
      <c s="34" r="A149" t="s">
        <v>392</v>
      </c>
      <c s="35" r="B149" t="s">
        <v>393</v>
      </c>
      <c s="36" r="C149" t="s">
        <v>87</v>
      </c>
      <c s="36" r="D149" t="s">
        <v>394</v>
      </c>
      <c s="36" r="E149" t="s">
        <v>223</v>
      </c>
      <c s="36" r="F149" t="s">
        <v>119</v>
      </c>
      <c s="36" r="G149" t="s">
        <v>29</v>
      </c>
      <c s="36" r="H149" t="s">
        <v>29</v>
      </c>
      <c s="36" r="I149" t="s">
        <v>29</v>
      </c>
      <c s="37" r="J149">
        <f>IF(IFERROR(K149,7)=7,"",RIGHT(K149,LEN(K149)-2)&amp;".")</f>
        <v/>
      </c>
      <c s="36" r="K149">
        <f>IFERROR(__xludf.dummyfunction("CONCATENATE(ArrayFormula(""; ""&amp;QUERY(Hallazgos!A:E,""SELECT B WHERE E CONTAINS '""&amp;B149&amp;""' LABEL B ''"")))"),"#N/A")</f>
        <v/>
      </c>
    </row>
    <row customHeight="1" s="134" r="150" ht="15.75" spans="1:11">
      <c s="34" r="A150" t="s">
        <v>395</v>
      </c>
      <c s="35" r="B150" t="s">
        <v>396</v>
      </c>
      <c s="36" r="C150" t="s">
        <v>66</v>
      </c>
      <c s="36" r="D150" t="s">
        <v>394</v>
      </c>
      <c s="36" r="E150" t="s">
        <v>134</v>
      </c>
      <c s="36" r="F150" t="s">
        <v>101</v>
      </c>
      <c s="36" r="G150" t="s">
        <v>29</v>
      </c>
      <c s="36" r="H150" t="s">
        <v>29</v>
      </c>
      <c s="36" r="I150" t="s">
        <v>29</v>
      </c>
      <c s="37" r="J150">
        <f>IF(IFERROR(K150,7)=7,"",RIGHT(K150,LEN(K150)-2)&amp;".")</f>
        <v/>
      </c>
      <c s="36" r="K150">
        <f>IFERROR(__xludf.dummyfunction("CONCATENATE(ArrayFormula(""; ""&amp;QUERY(Hallazgos!A:E,""SELECT B WHERE E CONTAINS '""&amp;B150&amp;""' LABEL B ''"")))"),"#N/A")</f>
        <v/>
      </c>
    </row>
    <row customHeight="1" s="134" r="151" ht="15.75" spans="1:11">
      <c s="34" r="A151" t="s">
        <v>397</v>
      </c>
      <c s="35" r="B151" t="s">
        <v>398</v>
      </c>
      <c s="36" r="C151" t="s">
        <v>84</v>
      </c>
      <c s="36" r="D151" t="s">
        <v>394</v>
      </c>
      <c s="36" r="E151" t="s">
        <v>68</v>
      </c>
      <c s="36" r="F151" t="s">
        <v>119</v>
      </c>
      <c s="36" r="G151" t="s">
        <v>29</v>
      </c>
      <c s="36" r="H151" t="s">
        <v>29</v>
      </c>
      <c s="36" r="I151" t="s">
        <v>29</v>
      </c>
      <c s="37" r="J151">
        <f>IF(IFERROR(K151,7)=7,"",RIGHT(K151,LEN(K151)-2)&amp;".")</f>
        <v/>
      </c>
      <c s="36" r="K151">
        <f>IFERROR(__xludf.dummyfunction("CONCATENATE(ArrayFormula(""; ""&amp;QUERY(Hallazgos!A:E,""SELECT B WHERE E CONTAINS '""&amp;B151&amp;""' LABEL B ''"")))"),"#N/A")</f>
        <v/>
      </c>
    </row>
    <row customHeight="1" s="134" r="152" ht="15.75" spans="1:11">
      <c s="34" r="A152" t="s">
        <v>399</v>
      </c>
      <c s="35" r="B152" t="s">
        <v>400</v>
      </c>
      <c s="36" r="C152" t="s">
        <v>84</v>
      </c>
      <c s="36" r="D152" t="s">
        <v>394</v>
      </c>
      <c s="36" r="E152" t="s">
        <v>160</v>
      </c>
      <c s="36" r="F152" t="s">
        <v>119</v>
      </c>
      <c s="36" r="G152" t="s">
        <v>29</v>
      </c>
      <c s="36" r="H152" t="s">
        <v>29</v>
      </c>
      <c s="36" r="I152" t="s">
        <v>29</v>
      </c>
      <c s="37" r="J152">
        <f>IF(IFERROR(K152,7)=7,"",RIGHT(K152,LEN(K152)-2)&amp;".")</f>
        <v/>
      </c>
      <c s="36" r="K152">
        <f>IFERROR(__xludf.dummyfunction("CONCATENATE(ArrayFormula(""; ""&amp;QUERY(Hallazgos!A:E,""SELECT B WHERE E CONTAINS '""&amp;B152&amp;""' LABEL B ''"")))"),"#N/A")</f>
        <v/>
      </c>
    </row>
    <row customHeight="1" s="134" r="153" ht="15.75" spans="1:11">
      <c s="34" r="A153" t="s">
        <v>401</v>
      </c>
      <c s="35" r="B153" t="s">
        <v>402</v>
      </c>
      <c s="36" r="C153" t="s">
        <v>87</v>
      </c>
      <c s="36" r="D153" t="s">
        <v>394</v>
      </c>
      <c s="36" r="E153" t="s">
        <v>127</v>
      </c>
      <c s="36" r="F153" t="s">
        <v>119</v>
      </c>
      <c s="36" r="G153" t="s">
        <v>29</v>
      </c>
      <c s="36" r="H153" t="s">
        <v>29</v>
      </c>
      <c s="36" r="I153" t="s">
        <v>29</v>
      </c>
      <c s="37" r="J153">
        <f>IF(IFERROR(K153,7)=7,"",RIGHT(K153,LEN(K153)-2)&amp;".")</f>
        <v/>
      </c>
      <c s="36" r="K153">
        <f>IFERROR(__xludf.dummyfunction("CONCATENATE(ArrayFormula(""; ""&amp;QUERY(Hallazgos!A:E,""SELECT B WHERE E CONTAINS '""&amp;B153&amp;""' LABEL B ''"")))"),"#N/A")</f>
        <v/>
      </c>
    </row>
    <row customHeight="1" s="134" r="154" ht="15.75" spans="1:11">
      <c s="34" r="A154" t="s">
        <v>403</v>
      </c>
      <c s="35" r="B154" t="s">
        <v>404</v>
      </c>
      <c s="36" r="C154" t="s">
        <v>87</v>
      </c>
      <c s="36" r="D154" t="s">
        <v>394</v>
      </c>
      <c s="36" r="E154" t="s">
        <v>160</v>
      </c>
      <c s="36" r="F154" t="s">
        <v>119</v>
      </c>
      <c s="36" r="G154" t="s">
        <v>29</v>
      </c>
      <c s="36" r="H154" t="s">
        <v>29</v>
      </c>
      <c s="36" r="I154" t="s">
        <v>29</v>
      </c>
      <c s="37" r="J154">
        <f>IF(IFERROR(K154,7)=7,"",RIGHT(K154,LEN(K154)-2)&amp;".")</f>
        <v/>
      </c>
      <c s="36" r="K154">
        <f>IFERROR(__xludf.dummyfunction("CONCATENATE(ArrayFormula(""; ""&amp;QUERY(Hallazgos!A:E,""SELECT B WHERE E CONTAINS '""&amp;B154&amp;""' LABEL B ''"")))"),"#N/A")</f>
        <v/>
      </c>
    </row>
    <row customHeight="1" s="134" r="155" ht="15.75" spans="1:11">
      <c s="34" r="A155" t="s">
        <v>405</v>
      </c>
      <c s="35" r="B155" t="s">
        <v>406</v>
      </c>
      <c s="36" r="C155" t="s">
        <v>66</v>
      </c>
      <c s="36" r="D155" t="s">
        <v>394</v>
      </c>
      <c s="36" r="E155" t="s">
        <v>160</v>
      </c>
      <c s="36" r="F155" t="s">
        <v>119</v>
      </c>
      <c s="36" r="G155" t="s">
        <v>29</v>
      </c>
      <c s="36" r="H155" t="s">
        <v>29</v>
      </c>
      <c s="36" r="I155" t="s">
        <v>29</v>
      </c>
      <c s="37" r="J155">
        <f>IF(IFERROR(K155,7)=7,"",RIGHT(K155,LEN(K155)-2)&amp;".")</f>
        <v/>
      </c>
      <c s="36" r="K155">
        <f>IFERROR(__xludf.dummyfunction("CONCATENATE(ArrayFormula(""; ""&amp;QUERY(Hallazgos!A:E,""SELECT B WHERE E CONTAINS '""&amp;B155&amp;""' LABEL B ''"")))"),"#N/A")</f>
        <v/>
      </c>
    </row>
    <row customHeight="1" s="134" r="156" ht="15.75" spans="1:11">
      <c s="34" r="A156" t="s">
        <v>407</v>
      </c>
      <c s="35" r="B156" t="s">
        <v>408</v>
      </c>
      <c s="36" r="C156" t="s">
        <v>87</v>
      </c>
      <c s="36" r="D156" t="s">
        <v>394</v>
      </c>
      <c s="36" r="E156" t="s">
        <v>127</v>
      </c>
      <c s="36" r="F156" t="s">
        <v>148</v>
      </c>
      <c s="36" r="G156" t="s">
        <v>29</v>
      </c>
      <c s="36" r="H156" t="s">
        <v>29</v>
      </c>
      <c s="36" r="I156" t="s">
        <v>29</v>
      </c>
      <c s="37" r="J156">
        <f>IF(IFERROR(K156,7)=7,"",RIGHT(K156,LEN(K156)-2)&amp;".")</f>
        <v/>
      </c>
      <c s="36" r="K156">
        <f>IFERROR(__xludf.dummyfunction("CONCATENATE(ArrayFormula(""; ""&amp;QUERY(Hallazgos!A:E,""SELECT B WHERE E CONTAINS '""&amp;B156&amp;""' LABEL B ''"")))"),"#N/A")</f>
        <v/>
      </c>
    </row>
    <row customHeight="1" s="134" r="157" ht="15.75" spans="1:11">
      <c s="34" r="A157" t="s">
        <v>409</v>
      </c>
      <c s="35" r="B157" t="s">
        <v>410</v>
      </c>
      <c s="36" r="C157" t="s">
        <v>87</v>
      </c>
      <c s="36" r="D157" t="s">
        <v>394</v>
      </c>
      <c s="36" r="E157" t="s">
        <v>160</v>
      </c>
      <c s="36" r="F157" t="s">
        <v>119</v>
      </c>
      <c s="36" r="G157" t="s">
        <v>29</v>
      </c>
      <c s="36" r="H157" t="s">
        <v>29</v>
      </c>
      <c s="36" r="I157" t="s">
        <v>29</v>
      </c>
      <c s="37" r="J157">
        <f>IF(IFERROR(K157,7)=7,"",RIGHT(K157,LEN(K157)-2)&amp;".")</f>
        <v/>
      </c>
      <c s="36" r="K157">
        <f>IFERROR(__xludf.dummyfunction("CONCATENATE(ArrayFormula(""; ""&amp;QUERY(Hallazgos!A:E,""SELECT B WHERE E CONTAINS '""&amp;B157&amp;""' LABEL B ''"")))"),"#N/A")</f>
        <v/>
      </c>
    </row>
    <row customHeight="1" s="134" r="158" ht="15.75" spans="1:11">
      <c s="34" r="A158" t="s">
        <v>411</v>
      </c>
      <c s="35" r="B158" t="s">
        <v>412</v>
      </c>
      <c s="36" r="C158" t="s">
        <v>87</v>
      </c>
      <c s="36" r="D158" t="s">
        <v>394</v>
      </c>
      <c s="36" r="E158" t="s">
        <v>160</v>
      </c>
      <c s="36" r="F158" t="s">
        <v>119</v>
      </c>
      <c s="36" r="G158" t="s">
        <v>29</v>
      </c>
      <c s="36" r="H158" t="s">
        <v>29</v>
      </c>
      <c s="36" r="I158" t="s">
        <v>29</v>
      </c>
      <c s="37" r="J158">
        <f>IF(IFERROR(K158,7)=7,"",RIGHT(K158,LEN(K158)-2)&amp;".")</f>
        <v/>
      </c>
      <c s="36" r="K158">
        <f>IFERROR(__xludf.dummyfunction("CONCATENATE(ArrayFormula(""; ""&amp;QUERY(Hallazgos!A:E,""SELECT B WHERE E CONTAINS '""&amp;B158&amp;""' LABEL B ''"")))"),"#N/A")</f>
        <v/>
      </c>
    </row>
    <row customHeight="1" s="134" r="159" ht="15.75" spans="1:11">
      <c s="34" r="A159" t="s">
        <v>413</v>
      </c>
      <c s="35" r="B159" t="s">
        <v>414</v>
      </c>
      <c s="36" r="C159" t="s">
        <v>87</v>
      </c>
      <c s="36" r="D159" t="s">
        <v>394</v>
      </c>
      <c s="36" r="E159" t="s">
        <v>176</v>
      </c>
      <c s="36" r="F159" t="s">
        <v>119</v>
      </c>
      <c s="36" r="G159" t="s">
        <v>29</v>
      </c>
      <c s="36" r="H159" t="s">
        <v>29</v>
      </c>
      <c s="36" r="I159" t="s">
        <v>29</v>
      </c>
      <c s="37" r="J159">
        <f>IF(IFERROR(K159,7)=7,"",RIGHT(K159,LEN(K159)-2)&amp;".")</f>
        <v/>
      </c>
      <c s="36" r="K159">
        <f>IFERROR(__xludf.dummyfunction("CONCATENATE(ArrayFormula(""; ""&amp;QUERY(Hallazgos!A:E,""SELECT B WHERE E CONTAINS '""&amp;B159&amp;""' LABEL B ''"")))"),"#N/A")</f>
        <v/>
      </c>
    </row>
    <row customHeight="1" s="134" r="160" ht="15.75" spans="1:11">
      <c s="34" r="A160" t="s">
        <v>415</v>
      </c>
      <c s="35" r="B160" t="s">
        <v>416</v>
      </c>
      <c s="36" r="C160" t="s">
        <v>87</v>
      </c>
      <c s="36" r="D160" t="s">
        <v>394</v>
      </c>
      <c s="36" r="E160" t="s">
        <v>176</v>
      </c>
      <c s="36" r="F160" t="s">
        <v>119</v>
      </c>
      <c s="36" r="G160" t="s">
        <v>29</v>
      </c>
      <c s="36" r="H160" t="s">
        <v>29</v>
      </c>
      <c s="36" r="I160" t="s">
        <v>29</v>
      </c>
      <c s="37" r="J160">
        <f>IF(IFERROR(K160,7)=7,"",RIGHT(K160,LEN(K160)-2)&amp;".")</f>
        <v/>
      </c>
      <c s="36" r="K160">
        <f>IFERROR(__xludf.dummyfunction("CONCATENATE(ArrayFormula(""; ""&amp;QUERY(Hallazgos!A:E,""SELECT B WHERE E CONTAINS '""&amp;B160&amp;""' LABEL B ''"")))"),"#N/A")</f>
        <v/>
      </c>
    </row>
    <row customHeight="1" s="134" r="161" ht="15.75" spans="1:11">
      <c s="34" r="A161" t="s">
        <v>417</v>
      </c>
      <c s="35" r="B161" t="s">
        <v>418</v>
      </c>
      <c s="36" r="C161" t="s">
        <v>87</v>
      </c>
      <c s="36" r="D161" t="s">
        <v>394</v>
      </c>
      <c s="36" r="E161" t="s">
        <v>223</v>
      </c>
      <c s="36" r="F161" t="s">
        <v>119</v>
      </c>
      <c s="36" r="G161" t="s">
        <v>29</v>
      </c>
      <c s="36" r="H161" t="s">
        <v>29</v>
      </c>
      <c s="36" r="I161" t="s">
        <v>29</v>
      </c>
      <c s="37" r="J161">
        <f>IF(IFERROR(K161,7)=7,"",RIGHT(K161,LEN(K161)-2)&amp;".")</f>
        <v/>
      </c>
      <c s="36" r="K161">
        <f>IFERROR(__xludf.dummyfunction("CONCATENATE(ArrayFormula(""; ""&amp;QUERY(Hallazgos!A:E,""SELECT B WHERE E CONTAINS '""&amp;B161&amp;""' LABEL B ''"")))"),"#N/A")</f>
        <v/>
      </c>
    </row>
    <row customHeight="1" s="134" r="162" ht="15.75" spans="1:11">
      <c s="34" r="A162" t="s">
        <v>419</v>
      </c>
      <c s="35" r="B162" t="s">
        <v>420</v>
      </c>
      <c s="36" r="C162" t="s">
        <v>87</v>
      </c>
      <c s="36" r="D162" t="s">
        <v>394</v>
      </c>
      <c s="36" r="E162" t="s">
        <v>223</v>
      </c>
      <c s="36" r="F162" t="s">
        <v>119</v>
      </c>
      <c s="36" r="G162" t="s">
        <v>29</v>
      </c>
      <c s="36" r="H162" t="s">
        <v>29</v>
      </c>
      <c s="36" r="I162" t="s">
        <v>29</v>
      </c>
      <c s="37" r="J162">
        <f>IF(IFERROR(K162,7)=7,"",RIGHT(K162,LEN(K162)-2)&amp;".")</f>
        <v/>
      </c>
      <c s="36" r="K162">
        <f>IFERROR(__xludf.dummyfunction("CONCATENATE(ArrayFormula(""; ""&amp;QUERY(Hallazgos!A:E,""SELECT B WHERE E CONTAINS '""&amp;B162&amp;""' LABEL B ''"")))"),"#N/A")</f>
        <v/>
      </c>
    </row>
    <row customHeight="1" s="134" r="163" ht="15.75" spans="1:11">
      <c s="34" r="A163" t="s">
        <v>421</v>
      </c>
      <c s="35" r="B163" t="s">
        <v>422</v>
      </c>
      <c s="36" r="C163" t="s">
        <v>87</v>
      </c>
      <c s="36" r="D163" t="s">
        <v>394</v>
      </c>
      <c s="36" r="E163" t="s">
        <v>176</v>
      </c>
      <c s="36" r="F163" t="s">
        <v>119</v>
      </c>
      <c s="36" r="G163" t="s">
        <v>29</v>
      </c>
      <c s="36" r="H163" t="s">
        <v>29</v>
      </c>
      <c s="36" r="I163" t="s">
        <v>29</v>
      </c>
      <c s="37" r="J163">
        <f>IF(IFERROR(K163,7)=7,"",RIGHT(K163,LEN(K163)-2)&amp;".")</f>
        <v/>
      </c>
      <c s="36" r="K163">
        <f>IFERROR(__xludf.dummyfunction("CONCATENATE(ArrayFormula(""; ""&amp;QUERY(Hallazgos!A:E,""SELECT B WHERE E CONTAINS '""&amp;B163&amp;""' LABEL B ''"")))"),"#N/A")</f>
        <v/>
      </c>
    </row>
    <row customHeight="1" s="134" r="164" ht="15.75" spans="1:11">
      <c s="34" r="A164" t="s">
        <v>423</v>
      </c>
      <c s="35" r="B164" t="s">
        <v>424</v>
      </c>
      <c s="36" r="C164" t="s">
        <v>87</v>
      </c>
      <c s="36" r="D164" t="s">
        <v>394</v>
      </c>
      <c s="36" r="E164" t="s">
        <v>223</v>
      </c>
      <c s="36" r="F164" t="s">
        <v>119</v>
      </c>
      <c s="36" r="G164" t="s">
        <v>29</v>
      </c>
      <c s="36" r="H164" t="s">
        <v>29</v>
      </c>
      <c s="36" r="I164" t="s">
        <v>29</v>
      </c>
      <c s="37" r="J164">
        <f>IF(IFERROR(K164,7)=7,"",RIGHT(K164,LEN(K164)-2)&amp;".")</f>
        <v/>
      </c>
      <c s="36" r="K164">
        <f>IFERROR(__xludf.dummyfunction("CONCATENATE(ArrayFormula(""; ""&amp;QUERY(Hallazgos!A:E,""SELECT B WHERE E CONTAINS '""&amp;B164&amp;""' LABEL B ''"")))"),"#N/A")</f>
        <v/>
      </c>
    </row>
    <row customHeight="1" s="134" r="165" ht="15.75" spans="1:11">
      <c s="34" r="A165" t="s">
        <v>425</v>
      </c>
      <c s="35" r="B165" t="s">
        <v>426</v>
      </c>
      <c s="36" r="C165" t="s">
        <v>87</v>
      </c>
      <c s="36" r="D165" t="s">
        <v>394</v>
      </c>
      <c s="36" r="E165" t="s">
        <v>176</v>
      </c>
      <c s="36" r="F165" t="s">
        <v>119</v>
      </c>
      <c s="36" r="G165" t="s">
        <v>29</v>
      </c>
      <c s="36" r="H165" t="s">
        <v>29</v>
      </c>
      <c s="36" r="I165" t="s">
        <v>29</v>
      </c>
      <c s="37" r="J165">
        <f>IF(IFERROR(K165,7)=7,"",RIGHT(K165,LEN(K165)-2)&amp;".")</f>
        <v/>
      </c>
      <c s="36" r="K165">
        <f>IFERROR(__xludf.dummyfunction("CONCATENATE(ArrayFormula(""; ""&amp;QUERY(Hallazgos!A:E,""SELECT B WHERE E CONTAINS '""&amp;B165&amp;""' LABEL B ''"")))"),"#N/A")</f>
        <v/>
      </c>
    </row>
    <row customHeight="1" s="134" r="166" ht="15.75" spans="1:11">
      <c s="34" r="A166" t="s">
        <v>427</v>
      </c>
      <c s="35" r="B166" t="s">
        <v>428</v>
      </c>
      <c s="36" r="C166" t="s">
        <v>87</v>
      </c>
      <c s="36" r="D166" t="s">
        <v>394</v>
      </c>
      <c s="36" r="E166" t="s">
        <v>160</v>
      </c>
      <c s="36" r="F166" t="s">
        <v>119</v>
      </c>
      <c s="36" r="G166" t="s">
        <v>29</v>
      </c>
      <c s="36" r="H166" t="s">
        <v>29</v>
      </c>
      <c s="36" r="I166" t="s">
        <v>29</v>
      </c>
      <c s="37" r="J166">
        <f>IF(IFERROR(K166,7)=7,"",RIGHT(K166,LEN(K166)-2)&amp;".")</f>
        <v/>
      </c>
      <c s="36" r="K166">
        <f>IFERROR(__xludf.dummyfunction("CONCATENATE(ArrayFormula(""; ""&amp;QUERY(Hallazgos!A:E,""SELECT B WHERE E CONTAINS '""&amp;B166&amp;""' LABEL B ''"")))"),"#N/A")</f>
        <v/>
      </c>
    </row>
    <row customHeight="1" s="134" r="167" ht="15.75" spans="1:11">
      <c s="34" r="A167" t="s">
        <v>429</v>
      </c>
      <c s="35" r="B167" t="s">
        <v>430</v>
      </c>
      <c s="36" r="C167" t="s">
        <v>87</v>
      </c>
      <c s="36" r="D167" t="s">
        <v>394</v>
      </c>
      <c s="36" r="E167" t="s">
        <v>176</v>
      </c>
      <c s="36" r="F167" t="s">
        <v>119</v>
      </c>
      <c s="36" r="G167" t="s">
        <v>29</v>
      </c>
      <c s="36" r="H167" t="s">
        <v>29</v>
      </c>
      <c s="36" r="I167" t="s">
        <v>29</v>
      </c>
      <c s="37" r="J167">
        <f>IF(IFERROR(K167,7)=7,"",RIGHT(K167,LEN(K167)-2)&amp;".")</f>
        <v/>
      </c>
      <c s="36" r="K167">
        <f>IFERROR(__xludf.dummyfunction("CONCATENATE(ArrayFormula(""; ""&amp;QUERY(Hallazgos!A:E,""SELECT B WHERE E CONTAINS '""&amp;B167&amp;""' LABEL B ''"")))"),"#N/A")</f>
        <v/>
      </c>
    </row>
    <row customHeight="1" s="134" r="168" ht="15.75" spans="1:11">
      <c s="34" r="A168" t="s">
        <v>431</v>
      </c>
      <c s="35" r="B168" t="s">
        <v>432</v>
      </c>
      <c s="36" r="C168" t="s">
        <v>87</v>
      </c>
      <c s="36" r="D168" t="s">
        <v>394</v>
      </c>
      <c s="36" r="E168" t="s">
        <v>127</v>
      </c>
      <c s="36" r="F168" t="s">
        <v>148</v>
      </c>
      <c s="36" r="G168" t="s">
        <v>29</v>
      </c>
      <c s="36" r="H168" t="s">
        <v>29</v>
      </c>
      <c s="36" r="I168" t="s">
        <v>29</v>
      </c>
      <c s="37" r="J168">
        <f>IF(IFERROR(K168,7)=7,"",RIGHT(K168,LEN(K168)-2)&amp;".")</f>
        <v/>
      </c>
      <c s="36" r="K168">
        <f>IFERROR(__xludf.dummyfunction("CONCATENATE(ArrayFormula(""; ""&amp;QUERY(Hallazgos!A:E,""SELECT B WHERE E CONTAINS '""&amp;B168&amp;""' LABEL B ''"")))"),"#N/A")</f>
        <v/>
      </c>
    </row>
    <row customHeight="1" s="134" r="169" ht="15.75" spans="1:11">
      <c s="34" r="A169" t="s">
        <v>433</v>
      </c>
      <c s="35" r="B169" t="s">
        <v>434</v>
      </c>
      <c s="36" r="C169" t="s">
        <v>87</v>
      </c>
      <c s="36" r="D169" t="s">
        <v>394</v>
      </c>
      <c s="36" r="E169" t="s">
        <v>127</v>
      </c>
      <c s="36" r="F169" t="s">
        <v>119</v>
      </c>
      <c s="36" r="G169" t="s">
        <v>29</v>
      </c>
      <c s="36" r="H169" t="s">
        <v>29</v>
      </c>
      <c s="36" r="I169" t="s">
        <v>29</v>
      </c>
      <c s="37" r="J169">
        <f>IF(IFERROR(K169,7)=7,"",RIGHT(K169,LEN(K169)-2)&amp;".")</f>
        <v/>
      </c>
      <c s="36" r="K169">
        <f>IFERROR(__xludf.dummyfunction("CONCATENATE(ArrayFormula(""; ""&amp;QUERY(Hallazgos!A:E,""SELECT B WHERE E CONTAINS '""&amp;B169&amp;""' LABEL B ''"")))"),"#N/A")</f>
        <v/>
      </c>
    </row>
    <row customHeight="1" s="134" r="170" ht="15.75" spans="1:11">
      <c s="34" r="A170" t="s">
        <v>435</v>
      </c>
      <c s="35" r="B170" t="s">
        <v>436</v>
      </c>
      <c s="36" r="C170" t="s">
        <v>87</v>
      </c>
      <c s="36" r="D170" t="s">
        <v>394</v>
      </c>
      <c s="36" r="E170" t="s">
        <v>160</v>
      </c>
      <c s="36" r="F170" t="s">
        <v>119</v>
      </c>
      <c s="36" r="G170" t="s">
        <v>29</v>
      </c>
      <c s="36" r="H170" t="s">
        <v>29</v>
      </c>
      <c s="36" r="I170" t="s">
        <v>29</v>
      </c>
      <c s="37" r="J170">
        <f>IF(IFERROR(K170,7)=7,"",RIGHT(K170,LEN(K170)-2)&amp;".")</f>
        <v/>
      </c>
      <c s="36" r="K170">
        <f>IFERROR(__xludf.dummyfunction("CONCATENATE(ArrayFormula(""; ""&amp;QUERY(Hallazgos!A:E,""SELECT B WHERE E CONTAINS '""&amp;B170&amp;""' LABEL B ''"")))"),"#N/A")</f>
        <v/>
      </c>
    </row>
    <row customHeight="1" s="134" r="171" ht="15.75" spans="1:11">
      <c s="34" r="A171" t="s">
        <v>437</v>
      </c>
      <c s="35" r="B171" t="s">
        <v>438</v>
      </c>
      <c s="36" r="C171" t="s">
        <v>87</v>
      </c>
      <c s="36" r="D171" t="s">
        <v>394</v>
      </c>
      <c s="36" r="E171" t="s">
        <v>160</v>
      </c>
      <c s="36" r="F171" t="s">
        <v>119</v>
      </c>
      <c s="36" r="G171" t="s">
        <v>29</v>
      </c>
      <c s="36" r="H171" t="s">
        <v>29</v>
      </c>
      <c s="36" r="I171" t="s">
        <v>29</v>
      </c>
      <c s="37" r="J171">
        <f>IF(IFERROR(K171,7)=7,"",RIGHT(K171,LEN(K171)-2)&amp;".")</f>
        <v/>
      </c>
      <c s="36" r="K171">
        <f>IFERROR(__xludf.dummyfunction("CONCATENATE(ArrayFormula(""; ""&amp;QUERY(Hallazgos!A:E,""SELECT B WHERE E CONTAINS '""&amp;B171&amp;""' LABEL B ''"")))"),"#N/A")</f>
        <v/>
      </c>
    </row>
    <row customHeight="1" s="134" r="172" ht="15.75" spans="1:11">
      <c s="34" r="A172" t="s">
        <v>439</v>
      </c>
      <c s="35" r="B172" t="s">
        <v>440</v>
      </c>
      <c s="36" r="C172" t="s">
        <v>87</v>
      </c>
      <c s="36" r="D172" t="s">
        <v>394</v>
      </c>
      <c s="36" r="E172" t="s">
        <v>160</v>
      </c>
      <c s="36" r="F172" t="s">
        <v>119</v>
      </c>
      <c s="36" r="G172" t="s">
        <v>29</v>
      </c>
      <c s="36" r="H172" t="s">
        <v>29</v>
      </c>
      <c s="36" r="I172" t="s">
        <v>29</v>
      </c>
      <c s="37" r="J172">
        <f>IF(IFERROR(K172,7)=7,"",RIGHT(K172,LEN(K172)-2)&amp;".")</f>
        <v/>
      </c>
      <c s="36" r="K172">
        <f>IFERROR(__xludf.dummyfunction("CONCATENATE(ArrayFormula(""; ""&amp;QUERY(Hallazgos!A:E,""SELECT B WHERE E CONTAINS '""&amp;B172&amp;""' LABEL B ''"")))"),"#N/A")</f>
        <v/>
      </c>
    </row>
    <row customHeight="1" s="134" r="173" ht="15.75" spans="1:11">
      <c s="34" r="A173" t="s">
        <v>441</v>
      </c>
      <c s="35" r="B173" t="s">
        <v>442</v>
      </c>
      <c s="36" r="C173" t="s">
        <v>87</v>
      </c>
      <c s="36" r="D173" t="s">
        <v>443</v>
      </c>
      <c s="36" r="E173" t="s">
        <v>142</v>
      </c>
      <c s="36" r="F173" t="s">
        <v>101</v>
      </c>
      <c s="36" r="G173" t="s">
        <v>29</v>
      </c>
      <c s="36" r="H173" t="s">
        <v>29</v>
      </c>
      <c s="36" r="I173" t="s">
        <v>29</v>
      </c>
      <c s="37" r="J173">
        <f>IF(IFERROR(K173,7)=7,"",RIGHT(K173,LEN(K173)-2)&amp;".")</f>
        <v/>
      </c>
      <c s="36" r="K173">
        <f>IFERROR(__xludf.dummyfunction("CONCATENATE(ArrayFormula(""; ""&amp;QUERY(Hallazgos!A:E,""SELECT B WHERE E CONTAINS '""&amp;B173&amp;""' LABEL B ''"")))"),"#N/A")</f>
        <v/>
      </c>
    </row>
    <row customHeight="1" s="134" r="174" ht="15.75" spans="1:11">
      <c s="34" r="A174" t="s">
        <v>444</v>
      </c>
      <c s="35" r="B174" t="s">
        <v>445</v>
      </c>
      <c s="36" r="C174" t="s">
        <v>87</v>
      </c>
      <c s="36" r="D174" t="s">
        <v>443</v>
      </c>
      <c s="36" r="E174" t="s">
        <v>127</v>
      </c>
      <c s="36" r="F174" t="s">
        <v>101</v>
      </c>
      <c s="36" r="G174" t="s">
        <v>29</v>
      </c>
      <c s="36" r="H174" t="s">
        <v>29</v>
      </c>
      <c s="36" r="I174" t="s">
        <v>29</v>
      </c>
      <c s="37" r="J174">
        <f>IF(IFERROR(K174,7)=7,"",RIGHT(K174,LEN(K174)-2)&amp;".")</f>
        <v/>
      </c>
      <c s="36" r="K174">
        <f>IFERROR(__xludf.dummyfunction("CONCATENATE(ArrayFormula(""; ""&amp;QUERY(Hallazgos!A:E,""SELECT B WHERE E CONTAINS '""&amp;B174&amp;""' LABEL B ''"")))"),"#N/A")</f>
        <v/>
      </c>
    </row>
    <row customHeight="1" s="134" r="175" ht="15.75" spans="1:11">
      <c s="34" r="A175" t="s">
        <v>446</v>
      </c>
      <c s="35" r="B175" t="s">
        <v>447</v>
      </c>
      <c s="36" r="C175" t="s">
        <v>87</v>
      </c>
      <c s="36" r="D175" t="s">
        <v>443</v>
      </c>
      <c s="36" r="E175" t="s">
        <v>134</v>
      </c>
      <c s="36" r="F175" t="s">
        <v>101</v>
      </c>
      <c s="36" r="G175" t="s">
        <v>29</v>
      </c>
      <c s="36" r="H175" t="s">
        <v>29</v>
      </c>
      <c s="36" r="I175" t="s">
        <v>29</v>
      </c>
      <c s="37" r="J175">
        <f>IF(IFERROR(K175,7)=7,"",RIGHT(K175,LEN(K175)-2)&amp;".")</f>
        <v/>
      </c>
      <c s="36" r="K175">
        <f>IFERROR(__xludf.dummyfunction("CONCATENATE(ArrayFormula(""; ""&amp;QUERY(Hallazgos!A:E,""SELECT B WHERE E CONTAINS '""&amp;B175&amp;""' LABEL B ''"")))"),"#N/A")</f>
        <v/>
      </c>
    </row>
    <row customHeight="1" s="134" r="176" ht="15.75" spans="1:11">
      <c s="34" r="A176" t="s">
        <v>448</v>
      </c>
      <c s="35" r="B176" t="s">
        <v>449</v>
      </c>
      <c s="36" r="C176" t="s">
        <v>84</v>
      </c>
      <c s="36" r="D176" t="s">
        <v>443</v>
      </c>
      <c s="36" r="E176" t="s">
        <v>450</v>
      </c>
      <c s="36" r="F176" t="s">
        <v>101</v>
      </c>
      <c s="36" r="G176" t="s">
        <v>29</v>
      </c>
      <c s="36" r="H176" t="s">
        <v>29</v>
      </c>
      <c s="36" r="I176" t="s">
        <v>29</v>
      </c>
      <c s="37" r="J176">
        <f>IF(IFERROR(K176,7)=7,"",RIGHT(K176,LEN(K176)-2)&amp;".")</f>
        <v/>
      </c>
      <c s="36" r="K176">
        <f>IFERROR(__xludf.dummyfunction("CONCATENATE(ArrayFormula(""; ""&amp;QUERY(Hallazgos!A:E,""SELECT B WHERE E CONTAINS '""&amp;B176&amp;""' LABEL B ''"")))"),"#N/A")</f>
        <v/>
      </c>
    </row>
    <row customHeight="1" s="134" r="177" ht="15.75" spans="1:11">
      <c s="34" r="A177" t="s">
        <v>451</v>
      </c>
      <c s="35" r="B177" t="s">
        <v>452</v>
      </c>
      <c s="36" r="C177" t="s">
        <v>66</v>
      </c>
      <c s="36" r="D177" t="s">
        <v>443</v>
      </c>
      <c s="36" r="E177" t="s">
        <v>127</v>
      </c>
      <c s="36" r="F177" t="s">
        <v>101</v>
      </c>
      <c s="36" r="G177" t="s">
        <v>29</v>
      </c>
      <c s="36" r="H177" t="s">
        <v>29</v>
      </c>
      <c s="36" r="I177" t="s">
        <v>29</v>
      </c>
      <c s="37" r="J177">
        <f>IF(IFERROR(K177,7)=7,"",RIGHT(K177,LEN(K177)-2)&amp;".")</f>
        <v/>
      </c>
      <c s="36" r="K177">
        <f>IFERROR(__xludf.dummyfunction("CONCATENATE(ArrayFormula(""; ""&amp;QUERY(Hallazgos!A:E,""SELECT B WHERE E CONTAINS '""&amp;B177&amp;""' LABEL B ''"")))"),"#N/A")</f>
        <v/>
      </c>
    </row>
    <row customHeight="1" s="134" r="178" ht="15.75" spans="1:11">
      <c s="34" r="A178" t="s">
        <v>453</v>
      </c>
      <c s="35" r="B178" t="s">
        <v>454</v>
      </c>
      <c s="36" r="C178" t="s">
        <v>66</v>
      </c>
      <c s="36" r="D178" t="s">
        <v>443</v>
      </c>
      <c s="36" r="E178" t="s">
        <v>127</v>
      </c>
      <c s="36" r="F178" t="s">
        <v>101</v>
      </c>
      <c s="36" r="G178" t="s">
        <v>29</v>
      </c>
      <c s="36" r="H178" t="s">
        <v>29</v>
      </c>
      <c s="36" r="I178" t="s">
        <v>29</v>
      </c>
      <c s="37" r="J178">
        <f>IF(IFERROR(K178,7)=7,"",RIGHT(K178,LEN(K178)-2)&amp;".")</f>
        <v/>
      </c>
      <c s="36" r="K178">
        <f>IFERROR(__xludf.dummyfunction("CONCATENATE(ArrayFormula(""; ""&amp;QUERY(Hallazgos!A:E,""SELECT B WHERE E CONTAINS '""&amp;B178&amp;""' LABEL B ''"")))"),"#N/A")</f>
        <v/>
      </c>
    </row>
    <row customHeight="1" s="134" r="179" ht="15.75" spans="1:11">
      <c s="34" r="A179" t="s">
        <v>455</v>
      </c>
      <c s="35" r="B179" t="s">
        <v>456</v>
      </c>
      <c s="36" r="C179" t="s">
        <v>66</v>
      </c>
      <c s="36" r="D179" t="s">
        <v>443</v>
      </c>
      <c s="36" r="E179" t="s">
        <v>450</v>
      </c>
      <c s="36" r="F179" t="s">
        <v>101</v>
      </c>
      <c s="36" r="G179" t="s">
        <v>29</v>
      </c>
      <c s="36" r="H179" t="s">
        <v>29</v>
      </c>
      <c s="36" r="I179" t="s">
        <v>29</v>
      </c>
      <c s="37" r="J179">
        <f>IF(IFERROR(K179,7)=7,"",RIGHT(K179,LEN(K179)-2)&amp;".")</f>
        <v/>
      </c>
      <c s="36" r="K179">
        <f>IFERROR(__xludf.dummyfunction("CONCATENATE(ArrayFormula(""; ""&amp;QUERY(Hallazgos!A:E,""SELECT B WHERE E CONTAINS '""&amp;B179&amp;""' LABEL B ''"")))"),"#N/A")</f>
        <v/>
      </c>
    </row>
    <row customHeight="1" s="134" r="180" ht="15.75" spans="1:11">
      <c s="34" r="A180" t="s">
        <v>457</v>
      </c>
      <c s="35" r="B180" t="s">
        <v>458</v>
      </c>
      <c s="36" r="C180" t="s">
        <v>87</v>
      </c>
      <c s="36" r="D180" t="s">
        <v>443</v>
      </c>
      <c s="36" r="E180" t="s">
        <v>127</v>
      </c>
      <c s="36" r="F180" t="s">
        <v>101</v>
      </c>
      <c s="36" r="G180" t="s">
        <v>29</v>
      </c>
      <c s="36" r="H180" t="s">
        <v>29</v>
      </c>
      <c s="36" r="I180" t="s">
        <v>29</v>
      </c>
      <c s="37" r="J180">
        <f>IF(IFERROR(K180,7)=7,"",RIGHT(K180,LEN(K180)-2)&amp;".")</f>
        <v/>
      </c>
      <c s="36" r="K180">
        <f>IFERROR(__xludf.dummyfunction("CONCATENATE(ArrayFormula(""; ""&amp;QUERY(Hallazgos!A:E,""SELECT B WHERE E CONTAINS '""&amp;B180&amp;""' LABEL B ''"")))"),"#N/A")</f>
        <v/>
      </c>
    </row>
    <row customHeight="1" s="134" r="181" ht="15.75" spans="1:11">
      <c s="34" r="A181" t="s">
        <v>459</v>
      </c>
      <c s="35" r="B181" t="s">
        <v>460</v>
      </c>
      <c s="36" r="C181" t="s">
        <v>87</v>
      </c>
      <c s="36" r="D181" t="s">
        <v>443</v>
      </c>
      <c s="36" r="E181" t="s">
        <v>127</v>
      </c>
      <c s="36" r="F181" t="s">
        <v>101</v>
      </c>
      <c s="36" r="G181" t="s">
        <v>29</v>
      </c>
      <c s="36" r="H181" t="s">
        <v>29</v>
      </c>
      <c s="36" r="I181" t="s">
        <v>29</v>
      </c>
      <c s="37" r="J181">
        <f>IF(IFERROR(K181,7)=7,"",RIGHT(K181,LEN(K181)-2)&amp;".")</f>
        <v/>
      </c>
      <c s="36" r="K181">
        <f>IFERROR(__xludf.dummyfunction("CONCATENATE(ArrayFormula(""; ""&amp;QUERY(Hallazgos!A:E,""SELECT B WHERE E CONTAINS '""&amp;B181&amp;""' LABEL B ''"")))"),"#N/A")</f>
        <v/>
      </c>
    </row>
    <row customHeight="1" s="134" r="182" ht="15.75" spans="1:11">
      <c s="34" r="A182" t="s">
        <v>461</v>
      </c>
      <c s="35" r="B182" t="s">
        <v>462</v>
      </c>
      <c s="36" r="C182" t="s">
        <v>66</v>
      </c>
      <c s="36" r="D182" t="s">
        <v>443</v>
      </c>
      <c s="36" r="E182" t="s">
        <v>127</v>
      </c>
      <c s="36" r="F182" t="s">
        <v>101</v>
      </c>
      <c s="36" r="G182" t="s">
        <v>29</v>
      </c>
      <c s="36" r="H182" t="s">
        <v>29</v>
      </c>
      <c s="36" r="I182" t="s">
        <v>29</v>
      </c>
      <c s="37" r="J182">
        <f>IF(IFERROR(K182,7)=7,"",RIGHT(K182,LEN(K182)-2)&amp;".")</f>
        <v/>
      </c>
      <c s="36" r="K182">
        <f>IFERROR(__xludf.dummyfunction("CONCATENATE(ArrayFormula(""; ""&amp;QUERY(Hallazgos!A:E,""SELECT B WHERE E CONTAINS '""&amp;B182&amp;""' LABEL B ''"")))"),"#N/A")</f>
        <v/>
      </c>
    </row>
    <row customHeight="1" s="134" r="183" ht="15.75" spans="1:11">
      <c s="34" r="A183" t="s">
        <v>463</v>
      </c>
      <c s="35" r="B183" t="s">
        <v>464</v>
      </c>
      <c s="36" r="C183" t="s">
        <v>66</v>
      </c>
      <c s="36" r="D183" t="s">
        <v>443</v>
      </c>
      <c s="36" r="E183" t="s">
        <v>127</v>
      </c>
      <c s="36" r="F183" t="s">
        <v>101</v>
      </c>
      <c s="36" r="G183" t="s">
        <v>29</v>
      </c>
      <c s="36" r="H183" t="s">
        <v>29</v>
      </c>
      <c s="36" r="I183" t="s">
        <v>29</v>
      </c>
      <c s="37" r="J183">
        <f>IF(IFERROR(K183,7)=7,"",RIGHT(K183,LEN(K183)-2)&amp;".")</f>
        <v/>
      </c>
      <c s="36" r="K183">
        <f>IFERROR(__xludf.dummyfunction("CONCATENATE(ArrayFormula(""; ""&amp;QUERY(Hallazgos!A:E,""SELECT B WHERE E CONTAINS '""&amp;B183&amp;""' LABEL B ''"")))"),"#N/A")</f>
        <v/>
      </c>
    </row>
    <row customHeight="1" s="134" r="184" ht="15.75" spans="1:11">
      <c s="34" r="A184" t="s">
        <v>465</v>
      </c>
      <c s="35" r="B184" t="s">
        <v>466</v>
      </c>
      <c s="36" r="C184" t="s">
        <v>66</v>
      </c>
      <c s="36" r="D184" t="s">
        <v>443</v>
      </c>
      <c s="36" r="E184" t="s">
        <v>127</v>
      </c>
      <c s="36" r="F184" t="s">
        <v>69</v>
      </c>
      <c s="36" r="G184" t="s">
        <v>29</v>
      </c>
      <c s="36" r="H184" t="s">
        <v>29</v>
      </c>
      <c s="36" r="I184" t="s">
        <v>29</v>
      </c>
      <c s="37" r="J184">
        <f>IF(IFERROR(K184,7)=7,"",RIGHT(K184,LEN(K184)-2)&amp;".")</f>
        <v/>
      </c>
      <c s="36" r="K184">
        <f>IFERROR(__xludf.dummyfunction("CONCATENATE(ArrayFormula(""; ""&amp;QUERY(Hallazgos!A:E,""SELECT B WHERE E CONTAINS '""&amp;B184&amp;""' LABEL B ''"")))"),"#N/A")</f>
        <v/>
      </c>
    </row>
    <row customHeight="1" s="134" r="185" ht="15.75" spans="1:11">
      <c s="34" r="A185" t="s">
        <v>467</v>
      </c>
      <c s="35" r="B185" t="s">
        <v>468</v>
      </c>
      <c s="36" r="C185" t="s">
        <v>66</v>
      </c>
      <c s="36" r="D185" t="s">
        <v>443</v>
      </c>
      <c s="36" r="E185" t="s">
        <v>127</v>
      </c>
      <c s="36" r="F185" t="s">
        <v>69</v>
      </c>
      <c s="36" r="G185" t="s">
        <v>29</v>
      </c>
      <c s="36" r="H185" t="s">
        <v>29</v>
      </c>
      <c s="36" r="I185" t="s">
        <v>29</v>
      </c>
      <c s="37" r="J185">
        <f>IF(IFERROR(K185,7)=7,"",RIGHT(K185,LEN(K185)-2)&amp;".")</f>
        <v/>
      </c>
      <c s="36" r="K185">
        <f>IFERROR(__xludf.dummyfunction("CONCATENATE(ArrayFormula(""; ""&amp;QUERY(Hallazgos!A:E,""SELECT B WHERE E CONTAINS '""&amp;B185&amp;""' LABEL B ''"")))"),"#N/A")</f>
        <v/>
      </c>
    </row>
    <row customHeight="1" s="134" r="186" ht="15.75" spans="1:11">
      <c s="34" r="A186" t="s">
        <v>469</v>
      </c>
      <c s="35" r="B186" t="s">
        <v>470</v>
      </c>
      <c s="36" r="C186" t="s">
        <v>66</v>
      </c>
      <c s="36" r="D186" t="s">
        <v>443</v>
      </c>
      <c s="36" r="E186" t="s">
        <v>127</v>
      </c>
      <c s="36" r="F186" t="s">
        <v>90</v>
      </c>
      <c s="36" r="G186" t="s">
        <v>29</v>
      </c>
      <c s="36" r="H186" t="s">
        <v>29</v>
      </c>
      <c s="36" r="I186" t="s">
        <v>29</v>
      </c>
      <c s="37" r="J186">
        <f>IF(IFERROR(K186,7)=7,"",RIGHT(K186,LEN(K186)-2)&amp;".")</f>
        <v/>
      </c>
      <c s="36" r="K186">
        <f>IFERROR(__xludf.dummyfunction("CONCATENATE(ArrayFormula(""; ""&amp;QUERY(Hallazgos!A:E,""SELECT B WHERE E CONTAINS '""&amp;B186&amp;""' LABEL B ''"")))"),"#N/A")</f>
        <v/>
      </c>
    </row>
    <row customHeight="1" s="134" r="187" ht="15.75" spans="1:11">
      <c s="34" r="A187" t="s">
        <v>471</v>
      </c>
      <c s="35" r="B187" t="s">
        <v>472</v>
      </c>
      <c s="36" r="C187" t="s">
        <v>66</v>
      </c>
      <c s="36" r="D187" t="s">
        <v>443</v>
      </c>
      <c s="36" r="E187" t="s">
        <v>127</v>
      </c>
      <c s="36" r="F187" t="s">
        <v>119</v>
      </c>
      <c s="36" r="G187" t="s">
        <v>29</v>
      </c>
      <c s="36" r="H187" t="s">
        <v>29</v>
      </c>
      <c s="36" r="I187" t="s">
        <v>29</v>
      </c>
      <c s="37" r="J187">
        <f>IF(IFERROR(K187,7)=7,"",RIGHT(K187,LEN(K187)-2)&amp;".")</f>
        <v/>
      </c>
      <c s="36" r="K187">
        <f>IFERROR(__xludf.dummyfunction("CONCATENATE(ArrayFormula(""; ""&amp;QUERY(Hallazgos!A:E,""SELECT B WHERE E CONTAINS '""&amp;B187&amp;""' LABEL B ''"")))"),"#N/A")</f>
        <v/>
      </c>
    </row>
    <row customHeight="1" s="134" r="188" ht="15.75" spans="1:11">
      <c s="34" r="A188" t="s">
        <v>473</v>
      </c>
      <c s="35" r="B188" t="s">
        <v>474</v>
      </c>
      <c s="36" r="C188" t="s">
        <v>66</v>
      </c>
      <c s="36" r="D188" t="s">
        <v>443</v>
      </c>
      <c s="36" r="E188" t="s">
        <v>127</v>
      </c>
      <c s="36" r="F188" t="s">
        <v>101</v>
      </c>
      <c s="36" r="G188" t="s">
        <v>29</v>
      </c>
      <c s="36" r="H188" t="s">
        <v>29</v>
      </c>
      <c s="36" r="I188" t="s">
        <v>29</v>
      </c>
      <c s="37" r="J188">
        <f>IF(IFERROR(K188,7)=7,"",RIGHT(K188,LEN(K188)-2)&amp;".")</f>
        <v/>
      </c>
      <c s="36" r="K188">
        <f>IFERROR(__xludf.dummyfunction("CONCATENATE(ArrayFormula(""; ""&amp;QUERY(Hallazgos!A:E,""SELECT B WHERE E CONTAINS '""&amp;B188&amp;""' LABEL B ''"")))"),"#N/A")</f>
        <v/>
      </c>
    </row>
    <row customHeight="1" s="134" r="189" ht="15.75" spans="1:11">
      <c s="34" r="A189" t="s">
        <v>475</v>
      </c>
      <c s="35" r="B189" t="s">
        <v>476</v>
      </c>
      <c s="36" r="C189" t="s">
        <v>87</v>
      </c>
      <c s="36" r="D189" t="s">
        <v>443</v>
      </c>
      <c s="36" r="E189" t="s">
        <v>127</v>
      </c>
      <c s="36" r="F189" t="s">
        <v>101</v>
      </c>
      <c s="36" r="G189" t="s">
        <v>29</v>
      </c>
      <c s="36" r="H189" t="s">
        <v>29</v>
      </c>
      <c s="36" r="I189" t="s">
        <v>29</v>
      </c>
      <c s="37" r="J189">
        <f>IF(IFERROR(K189,7)=7,"",RIGHT(K189,LEN(K189)-2)&amp;".")</f>
        <v/>
      </c>
      <c s="36" r="K189">
        <f>IFERROR(__xludf.dummyfunction("CONCATENATE(ArrayFormula(""; ""&amp;QUERY(Hallazgos!A:E,""SELECT B WHERE E CONTAINS '""&amp;B189&amp;""' LABEL B ''"")))"),"#N/A")</f>
        <v/>
      </c>
    </row>
    <row customHeight="1" s="134" r="190" ht="15.75" spans="1:11">
      <c s="34" r="A190" t="s">
        <v>477</v>
      </c>
      <c s="35" r="B190" t="s">
        <v>478</v>
      </c>
      <c s="36" r="C190" t="s">
        <v>87</v>
      </c>
      <c s="36" r="D190" t="s">
        <v>443</v>
      </c>
      <c s="36" r="E190" t="s">
        <v>450</v>
      </c>
      <c s="36" r="F190" t="s">
        <v>101</v>
      </c>
      <c s="36" r="G190" t="s">
        <v>29</v>
      </c>
      <c s="36" r="H190" t="s">
        <v>29</v>
      </c>
      <c s="36" r="I190" t="s">
        <v>29</v>
      </c>
      <c s="37" r="J190">
        <f>IF(IFERROR(K190,7)=7,"",RIGHT(K190,LEN(K190)-2)&amp;".")</f>
        <v/>
      </c>
      <c s="36" r="K190">
        <f>IFERROR(__xludf.dummyfunction("CONCATENATE(ArrayFormula(""; ""&amp;QUERY(Hallazgos!A:E,""SELECT B WHERE E CONTAINS '""&amp;B190&amp;""' LABEL B ''"")))"),"#N/A")</f>
        <v/>
      </c>
    </row>
    <row customHeight="1" s="134" r="191" ht="15.75" spans="1:11">
      <c s="34" r="A191" t="s">
        <v>479</v>
      </c>
      <c s="37" r="B191" t="s">
        <v>480</v>
      </c>
      <c s="36" r="C191" t="s">
        <v>66</v>
      </c>
      <c s="36" r="D191" t="s">
        <v>481</v>
      </c>
      <c s="36" r="E191" t="s">
        <v>142</v>
      </c>
      <c s="36" r="F191" t="s">
        <v>101</v>
      </c>
      <c s="36" r="G191" t="s">
        <v>29</v>
      </c>
      <c s="36" r="H191" t="s">
        <v>29</v>
      </c>
      <c s="36" r="I191" t="s">
        <v>29</v>
      </c>
      <c s="37" r="J191">
        <f>IF(IFERROR(K191,7)=7,"",RIGHT(K191,LEN(K191)-2)&amp;".")</f>
        <v/>
      </c>
      <c s="36" r="K191">
        <f>IFERROR(__xludf.dummyfunction("CONCATENATE(ArrayFormula(""; ""&amp;QUERY(Hallazgos!A:E,""SELECT B WHERE E CONTAINS '""&amp;B191&amp;""' LABEL B ''"")))"),"#N/A")</f>
        <v/>
      </c>
    </row>
    <row customHeight="1" s="134" r="192" ht="15.75" spans="1:11">
      <c s="34" r="A192" t="s">
        <v>482</v>
      </c>
      <c s="37" r="B192" t="s">
        <v>483</v>
      </c>
      <c s="36" r="C192" t="s">
        <v>66</v>
      </c>
      <c s="36" r="D192" t="s">
        <v>481</v>
      </c>
      <c s="36" r="E192" t="s">
        <v>142</v>
      </c>
      <c s="36" r="F192" t="s">
        <v>101</v>
      </c>
      <c s="36" r="G192" t="s">
        <v>29</v>
      </c>
      <c s="36" r="H192" t="s">
        <v>29</v>
      </c>
      <c s="36" r="I192" t="s">
        <v>29</v>
      </c>
      <c s="37" r="J192">
        <f>IF(IFERROR(K192,7)=7,"",RIGHT(K192,LEN(K192)-2)&amp;".")</f>
        <v/>
      </c>
      <c s="36" r="K192">
        <f>IFERROR(__xludf.dummyfunction("CONCATENATE(ArrayFormula(""; ""&amp;QUERY(Hallazgos!A:E,""SELECT B WHERE E CONTAINS '""&amp;B192&amp;""' LABEL B ''"")))"),"#N/A")</f>
        <v/>
      </c>
    </row>
    <row customHeight="1" s="134" r="193" ht="15.75" spans="1:11">
      <c s="34" r="A193" t="s">
        <v>484</v>
      </c>
      <c s="37" r="B193" t="s">
        <v>485</v>
      </c>
      <c s="36" r="C193" t="s">
        <v>66</v>
      </c>
      <c s="36" r="D193" t="s">
        <v>481</v>
      </c>
      <c s="36" r="E193" t="s">
        <v>142</v>
      </c>
      <c s="36" r="F193" t="s">
        <v>101</v>
      </c>
      <c s="36" r="G193" t="s">
        <v>29</v>
      </c>
      <c s="36" r="H193" t="s">
        <v>29</v>
      </c>
      <c s="36" r="I193" t="s">
        <v>29</v>
      </c>
      <c s="37" r="J193">
        <f>IF(IFERROR(K193,7)=7,"",RIGHT(K193,LEN(K193)-2)&amp;".")</f>
        <v/>
      </c>
      <c s="36" r="K193">
        <f>IFERROR(__xludf.dummyfunction("CONCATENATE(ArrayFormula(""; ""&amp;QUERY(Hallazgos!A:E,""SELECT B WHERE E CONTAINS '""&amp;B193&amp;""' LABEL B ''"")))"),"#N/A")</f>
        <v/>
      </c>
    </row>
    <row customHeight="1" s="134" r="194" ht="15.75" spans="1:11">
      <c s="34" r="A194" t="s">
        <v>486</v>
      </c>
      <c s="37" r="B194" t="s">
        <v>487</v>
      </c>
      <c s="36" r="C194" t="s">
        <v>66</v>
      </c>
      <c s="36" r="D194" t="s">
        <v>481</v>
      </c>
      <c s="36" r="E194" t="s">
        <v>142</v>
      </c>
      <c s="36" r="F194" t="s">
        <v>101</v>
      </c>
      <c s="36" r="G194" t="s">
        <v>29</v>
      </c>
      <c s="36" r="H194" t="s">
        <v>29</v>
      </c>
      <c s="36" r="I194" t="s">
        <v>29</v>
      </c>
      <c s="37" r="J194">
        <f>IF(IFERROR(K194,7)=7,"",RIGHT(K194,LEN(K194)-2)&amp;".")</f>
        <v/>
      </c>
      <c s="36" r="K194">
        <f>IFERROR(__xludf.dummyfunction("CONCATENATE(ArrayFormula(""; ""&amp;QUERY(Hallazgos!A:E,""SELECT B WHERE E CONTAINS '""&amp;B194&amp;""' LABEL B ''"")))"),"#N/A")</f>
        <v/>
      </c>
    </row>
    <row customHeight="1" s="134" r="195" ht="15.75" spans="1:11">
      <c s="34" r="A195" t="s">
        <v>488</v>
      </c>
      <c s="37" r="B195" t="s">
        <v>489</v>
      </c>
      <c s="36" r="C195" t="s">
        <v>66</v>
      </c>
      <c s="36" r="D195" t="s">
        <v>481</v>
      </c>
      <c s="36" r="E195" t="s">
        <v>142</v>
      </c>
      <c s="36" r="F195" t="s">
        <v>101</v>
      </c>
      <c s="36" r="G195" t="s">
        <v>29</v>
      </c>
      <c s="36" r="H195" t="s">
        <v>29</v>
      </c>
      <c s="36" r="I195" t="s">
        <v>29</v>
      </c>
      <c s="37" r="J195">
        <f>IF(IFERROR(K195,7)=7,"",RIGHT(K195,LEN(K195)-2)&amp;".")</f>
        <v/>
      </c>
      <c s="36" r="K195">
        <f>IFERROR(__xludf.dummyfunction("CONCATENATE(ArrayFormula(""; ""&amp;QUERY(Hallazgos!A:E,""SELECT B WHERE E CONTAINS '""&amp;B195&amp;""' LABEL B ''"")))"),"#N/A")</f>
        <v/>
      </c>
    </row>
    <row customHeight="1" s="134" r="196" ht="15.75" spans="1:11">
      <c s="34" r="A196" t="s">
        <v>490</v>
      </c>
      <c s="37" r="B196" t="s">
        <v>491</v>
      </c>
      <c s="36" r="C196" t="s">
        <v>66</v>
      </c>
      <c s="36" r="D196" t="s">
        <v>481</v>
      </c>
      <c s="36" r="E196" t="s">
        <v>142</v>
      </c>
      <c s="36" r="F196" t="s">
        <v>101</v>
      </c>
      <c s="36" r="G196" t="s">
        <v>29</v>
      </c>
      <c s="36" r="H196" t="s">
        <v>29</v>
      </c>
      <c s="36" r="I196" t="s">
        <v>29</v>
      </c>
      <c s="37" r="J196">
        <f>IF(IFERROR(K196,7)=7,"",RIGHT(K196,LEN(K196)-2)&amp;".")</f>
        <v/>
      </c>
      <c s="36" r="K196">
        <f>IFERROR(__xludf.dummyfunction("CONCATENATE(ArrayFormula(""; ""&amp;QUERY(Hallazgos!A:E,""SELECT B WHERE E CONTAINS '""&amp;B196&amp;""' LABEL B ''"")))"),"#N/A")</f>
        <v/>
      </c>
    </row>
    <row customHeight="1" s="134" r="197" ht="15.75" spans="1:11">
      <c s="34" r="A197" t="s">
        <v>492</v>
      </c>
      <c s="37" r="B197" t="s">
        <v>493</v>
      </c>
      <c s="36" r="C197" t="s">
        <v>66</v>
      </c>
      <c s="36" r="D197" t="s">
        <v>481</v>
      </c>
      <c s="36" r="E197" t="s">
        <v>142</v>
      </c>
      <c s="36" r="F197" t="s">
        <v>101</v>
      </c>
      <c s="36" r="G197" t="s">
        <v>29</v>
      </c>
      <c s="36" r="H197" t="s">
        <v>29</v>
      </c>
      <c s="36" r="I197" t="s">
        <v>29</v>
      </c>
      <c s="37" r="J197">
        <f>IF(IFERROR(K197,7)=7,"",RIGHT(K197,LEN(K197)-2)&amp;".")</f>
        <v/>
      </c>
      <c s="36" r="K197">
        <f>IFERROR(__xludf.dummyfunction("CONCATENATE(ArrayFormula(""; ""&amp;QUERY(Hallazgos!A:E,""SELECT B WHERE E CONTAINS '""&amp;B197&amp;""' LABEL B ''"")))"),"#N/A")</f>
        <v/>
      </c>
    </row>
    <row customHeight="1" s="134" r="198" ht="15.75" spans="1:11">
      <c s="34" r="A198" t="s">
        <v>494</v>
      </c>
      <c s="35" r="B198" t="s">
        <v>495</v>
      </c>
      <c s="36" r="C198" t="s">
        <v>66</v>
      </c>
      <c s="36" r="D198" t="s">
        <v>496</v>
      </c>
      <c s="36" r="E198" t="s">
        <v>122</v>
      </c>
      <c s="36" r="F198" t="s">
        <v>101</v>
      </c>
      <c s="36" r="G198" t="s">
        <v>29</v>
      </c>
      <c s="36" r="H198" t="s">
        <v>29</v>
      </c>
      <c s="36" r="I198" t="s">
        <v>29</v>
      </c>
      <c s="37" r="J198">
        <f>IF(IFERROR(K198,7)=7,"",RIGHT(K198,LEN(K198)-2)&amp;".")</f>
        <v/>
      </c>
      <c s="36" r="K198">
        <f>IFERROR(__xludf.dummyfunction("CONCATENATE(ArrayFormula(""; ""&amp;QUERY(Hallazgos!A:E,""SELECT B WHERE E CONTAINS '""&amp;B198&amp;""' LABEL B ''"")))"),"#N/A")</f>
        <v/>
      </c>
    </row>
    <row customHeight="1" s="134" r="199" ht="15.75" spans="1:11">
      <c s="34" r="A199" t="s">
        <v>497</v>
      </c>
      <c s="35" r="B199" t="s">
        <v>498</v>
      </c>
      <c s="36" r="C199" t="s">
        <v>66</v>
      </c>
      <c s="36" r="D199" t="s">
        <v>496</v>
      </c>
      <c s="36" r="E199" t="s">
        <v>122</v>
      </c>
      <c s="36" r="F199" t="s">
        <v>101</v>
      </c>
      <c s="36" r="G199" t="s">
        <v>29</v>
      </c>
      <c s="36" r="H199" t="s">
        <v>29</v>
      </c>
      <c s="36" r="I199" t="s">
        <v>29</v>
      </c>
      <c s="37" r="J199">
        <f>IF(IFERROR(K199,7)=7,"",RIGHT(K199,LEN(K199)-2)&amp;".")</f>
        <v/>
      </c>
      <c s="36" r="K199">
        <f>IFERROR(__xludf.dummyfunction("CONCATENATE(ArrayFormula(""; ""&amp;QUERY(Hallazgos!A:E,""SELECT B WHERE E CONTAINS '""&amp;B199&amp;""' LABEL B ''"")))"),"#N/A")</f>
        <v/>
      </c>
    </row>
    <row customHeight="1" s="134" r="200" ht="15.75" spans="1:11">
      <c s="34" r="A200" t="s">
        <v>499</v>
      </c>
      <c s="35" r="B200" t="s">
        <v>500</v>
      </c>
      <c s="36" r="C200" t="s">
        <v>66</v>
      </c>
      <c s="36" r="D200" t="s">
        <v>496</v>
      </c>
      <c s="36" r="E200" t="s">
        <v>127</v>
      </c>
      <c s="36" r="F200" t="s">
        <v>101</v>
      </c>
      <c s="36" r="G200" t="s">
        <v>29</v>
      </c>
      <c s="36" r="H200" t="s">
        <v>29</v>
      </c>
      <c s="36" r="I200" t="s">
        <v>29</v>
      </c>
      <c s="37" r="J200">
        <f>IF(IFERROR(K200,7)=7,"",RIGHT(K200,LEN(K200)-2)&amp;".")</f>
        <v/>
      </c>
      <c s="36" r="K200">
        <f>IFERROR(__xludf.dummyfunction("CONCATENATE(ArrayFormula(""; ""&amp;QUERY(Hallazgos!A:E,""SELECT B WHERE E CONTAINS '""&amp;B200&amp;""' LABEL B ''"")))"),"#N/A")</f>
        <v/>
      </c>
    </row>
    <row customHeight="1" s="134" r="201" ht="15.75" spans="1:11">
      <c s="34" r="A201" t="s">
        <v>501</v>
      </c>
      <c s="35" r="B201" t="s">
        <v>502</v>
      </c>
      <c s="36" r="C201" t="s">
        <v>66</v>
      </c>
      <c s="36" r="D201" t="s">
        <v>496</v>
      </c>
      <c s="36" r="E201" t="s">
        <v>127</v>
      </c>
      <c s="36" r="F201" t="s">
        <v>101</v>
      </c>
      <c s="36" r="G201" t="s">
        <v>29</v>
      </c>
      <c s="36" r="H201" t="s">
        <v>29</v>
      </c>
      <c s="36" r="I201" t="s">
        <v>29</v>
      </c>
      <c s="37" r="J201">
        <f>IF(IFERROR(K201,7)=7,"",RIGHT(K201,LEN(K201)-2)&amp;".")</f>
        <v/>
      </c>
      <c s="36" r="K201">
        <f>IFERROR(__xludf.dummyfunction("CONCATENATE(ArrayFormula(""; ""&amp;QUERY(Hallazgos!A:E,""SELECT B WHERE E CONTAINS '""&amp;B201&amp;""' LABEL B ''"")))"),"#N/A")</f>
        <v/>
      </c>
    </row>
    <row customHeight="1" s="134" r="202" ht="15.75" spans="1:11">
      <c s="34" r="A202" t="s">
        <v>503</v>
      </c>
      <c s="35" r="B202" t="s">
        <v>504</v>
      </c>
      <c s="36" r="C202" t="s">
        <v>66</v>
      </c>
      <c s="36" r="D202" t="s">
        <v>505</v>
      </c>
      <c s="36" r="E202" t="s">
        <v>127</v>
      </c>
      <c s="36" r="F202" t="s">
        <v>101</v>
      </c>
      <c s="36" r="G202" t="s">
        <v>29</v>
      </c>
      <c s="36" r="H202" t="s">
        <v>29</v>
      </c>
      <c s="36" r="I202" t="s">
        <v>29</v>
      </c>
      <c s="37" r="J202">
        <f>IF(IFERROR(K202,7)=7,"",RIGHT(K202,LEN(K202)-2)&amp;".")</f>
        <v/>
      </c>
      <c s="36" r="K202">
        <f>IFERROR(__xludf.dummyfunction("CONCATENATE(ArrayFormula(""; ""&amp;QUERY(Hallazgos!A:E,""SELECT B WHERE E CONTAINS '""&amp;B202&amp;""' LABEL B ''"")))"),"#N/A")</f>
        <v/>
      </c>
    </row>
    <row customHeight="1" s="134" r="203" ht="15.75" spans="1:11">
      <c s="34" r="A203" t="s">
        <v>506</v>
      </c>
      <c s="35" r="B203" t="s">
        <v>507</v>
      </c>
      <c s="36" r="C203" t="s">
        <v>66</v>
      </c>
      <c s="36" r="D203" t="s">
        <v>505</v>
      </c>
      <c s="36" r="E203" t="s">
        <v>127</v>
      </c>
      <c s="36" r="F203" t="s">
        <v>101</v>
      </c>
      <c s="36" r="G203" t="s">
        <v>29</v>
      </c>
      <c s="36" r="H203" t="s">
        <v>29</v>
      </c>
      <c s="36" r="I203" t="s">
        <v>29</v>
      </c>
      <c s="37" r="J203">
        <f>IF(IFERROR(K203,7)=7,"",RIGHT(K203,LEN(K203)-2)&amp;".")</f>
        <v/>
      </c>
      <c s="36" r="K203">
        <f>IFERROR(__xludf.dummyfunction("CONCATENATE(ArrayFormula(""; ""&amp;QUERY(Hallazgos!A:E,""SELECT B WHERE E CONTAINS '""&amp;B203&amp;""' LABEL B ''"")))"),"#N/A")</f>
        <v/>
      </c>
    </row>
    <row customHeight="1" s="134" r="204" ht="15.75" spans="1:11">
      <c s="34" r="A204" t="s">
        <v>508</v>
      </c>
      <c s="35" r="B204" t="s">
        <v>509</v>
      </c>
      <c s="36" r="C204" t="s">
        <v>66</v>
      </c>
      <c s="36" r="D204" t="s">
        <v>505</v>
      </c>
      <c s="36" r="E204" t="s">
        <v>127</v>
      </c>
      <c s="36" r="F204" t="s">
        <v>101</v>
      </c>
      <c s="36" r="G204" t="s">
        <v>29</v>
      </c>
      <c s="36" r="H204" t="s">
        <v>29</v>
      </c>
      <c s="36" r="I204" t="s">
        <v>29</v>
      </c>
      <c s="37" r="J204">
        <f>IF(IFERROR(K204,7)=7,"",RIGHT(K204,LEN(K204)-2)&amp;".")</f>
        <v/>
      </c>
      <c s="36" r="K204">
        <f>IFERROR(__xludf.dummyfunction("CONCATENATE(ArrayFormula(""; ""&amp;QUERY(Hallazgos!A:E,""SELECT B WHERE E CONTAINS '""&amp;B204&amp;""' LABEL B ''"")))"),"#N/A")</f>
        <v/>
      </c>
    </row>
    <row customHeight="1" s="134" r="205" ht="15.75" spans="1:11">
      <c s="34" r="A205" t="s">
        <v>510</v>
      </c>
      <c s="35" r="B205" t="s">
        <v>511</v>
      </c>
      <c s="36" r="C205" t="s">
        <v>66</v>
      </c>
      <c s="36" r="D205" t="s">
        <v>505</v>
      </c>
      <c s="36" r="E205" t="s">
        <v>134</v>
      </c>
      <c s="36" r="F205" t="s">
        <v>101</v>
      </c>
      <c s="36" r="G205" t="s">
        <v>29</v>
      </c>
      <c s="36" r="H205" t="s">
        <v>29</v>
      </c>
      <c s="36" r="I205" t="s">
        <v>29</v>
      </c>
      <c s="37" r="J205">
        <f>IF(IFERROR(K205,7)=7,"",RIGHT(K205,LEN(K205)-2)&amp;".")</f>
        <v/>
      </c>
      <c s="36" r="K205">
        <f>IFERROR(__xludf.dummyfunction("CONCATENATE(ArrayFormula(""; ""&amp;QUERY(Hallazgos!A:E,""SELECT B WHERE E CONTAINS '""&amp;B205&amp;""' LABEL B ''"")))"),"#N/A")</f>
        <v/>
      </c>
    </row>
    <row customHeight="1" s="134" r="206" ht="15.75" spans="1:11">
      <c s="34" r="A206" t="s">
        <v>512</v>
      </c>
      <c s="35" r="B206" t="s">
        <v>513</v>
      </c>
      <c s="36" r="C206" t="s">
        <v>87</v>
      </c>
      <c s="36" r="D206" t="s">
        <v>505</v>
      </c>
      <c s="36" r="E206" t="s">
        <v>134</v>
      </c>
      <c s="36" r="F206" t="s">
        <v>101</v>
      </c>
      <c s="36" r="G206" t="s">
        <v>29</v>
      </c>
      <c s="36" r="H206" t="s">
        <v>29</v>
      </c>
      <c s="36" r="I206" t="s">
        <v>29</v>
      </c>
      <c s="37" r="J206">
        <f>IF(IFERROR(K206,7)=7,"",RIGHT(K206,LEN(K206)-2)&amp;".")</f>
        <v/>
      </c>
      <c s="36" r="K206">
        <f>IFERROR(__xludf.dummyfunction("CONCATENATE(ArrayFormula(""; ""&amp;QUERY(Hallazgos!A:E,""SELECT B WHERE E CONTAINS '""&amp;B206&amp;""' LABEL B ''"")))"),"#N/A")</f>
        <v/>
      </c>
    </row>
    <row customHeight="1" s="134" r="207" ht="15.75" spans="1:11">
      <c s="34" r="A207" t="s">
        <v>514</v>
      </c>
      <c s="35" r="B207" t="s">
        <v>515</v>
      </c>
      <c s="36" r="C207" t="s">
        <v>66</v>
      </c>
      <c s="36" r="D207" t="s">
        <v>505</v>
      </c>
      <c s="36" r="E207" t="s">
        <v>127</v>
      </c>
      <c s="36" r="F207" t="s">
        <v>101</v>
      </c>
      <c s="36" r="G207" t="s">
        <v>29</v>
      </c>
      <c s="36" r="H207" t="s">
        <v>29</v>
      </c>
      <c s="36" r="I207" t="s">
        <v>29</v>
      </c>
      <c s="37" r="J207">
        <f>IF(IFERROR(K207,7)=7,"",RIGHT(K207,LEN(K207)-2)&amp;".")</f>
        <v/>
      </c>
      <c s="36" r="K207">
        <f>IFERROR(__xludf.dummyfunction("CONCATENATE(ArrayFormula(""; ""&amp;QUERY(Hallazgos!A:E,""SELECT B WHERE E CONTAINS '""&amp;B207&amp;""' LABEL B ''"")))"),"#N/A")</f>
        <v/>
      </c>
    </row>
    <row customHeight="1" s="134" r="208" ht="15.75" spans="1:11">
      <c s="34" r="A208" t="s">
        <v>516</v>
      </c>
      <c s="35" r="B208" t="s">
        <v>517</v>
      </c>
      <c s="36" r="C208" t="s">
        <v>66</v>
      </c>
      <c s="36" r="D208" t="s">
        <v>505</v>
      </c>
      <c s="36" r="E208" t="s">
        <v>68</v>
      </c>
      <c s="36" r="F208" t="s">
        <v>101</v>
      </c>
      <c s="36" r="G208" t="s">
        <v>29</v>
      </c>
      <c s="36" r="H208" t="s">
        <v>29</v>
      </c>
      <c s="36" r="I208" t="s">
        <v>29</v>
      </c>
      <c s="37" r="J208">
        <f>IF(IFERROR(K208,7)=7,"",RIGHT(K208,LEN(K208)-2)&amp;".")</f>
        <v/>
      </c>
      <c s="36" r="K208">
        <f>IFERROR(__xludf.dummyfunction("CONCATENATE(ArrayFormula(""; ""&amp;QUERY(Hallazgos!A:E,""SELECT B WHERE E CONTAINS '""&amp;B208&amp;""' LABEL B ''"")))"),"#N/A")</f>
        <v/>
      </c>
    </row>
    <row customHeight="1" s="134" r="209" ht="15.75" spans="1:11">
      <c s="34" r="A209" t="s">
        <v>518</v>
      </c>
      <c s="35" r="B209" t="s">
        <v>519</v>
      </c>
      <c s="36" r="C209" t="s">
        <v>66</v>
      </c>
      <c s="36" r="D209" t="s">
        <v>505</v>
      </c>
      <c s="36" r="E209" t="s">
        <v>127</v>
      </c>
      <c s="36" r="F209" t="s">
        <v>101</v>
      </c>
      <c s="36" r="G209" t="s">
        <v>29</v>
      </c>
      <c s="36" r="H209" t="s">
        <v>29</v>
      </c>
      <c s="36" r="I209" t="s">
        <v>29</v>
      </c>
      <c s="37" r="J209">
        <f>IF(IFERROR(K209,7)=7,"",RIGHT(K209,LEN(K209)-2)&amp;".")</f>
        <v/>
      </c>
      <c s="36" r="K209">
        <f>IFERROR(__xludf.dummyfunction("CONCATENATE(ArrayFormula(""; ""&amp;QUERY(Hallazgos!A:E,""SELECT B WHERE E CONTAINS '""&amp;B209&amp;""' LABEL B ''"")))"),"#N/A")</f>
        <v/>
      </c>
    </row>
    <row customHeight="1" s="134" r="210" ht="15.75" spans="1:11">
      <c s="34" r="A210" t="s">
        <v>520</v>
      </c>
      <c s="35" r="B210" t="s">
        <v>521</v>
      </c>
      <c s="36" r="C210" t="s">
        <v>66</v>
      </c>
      <c s="36" r="D210" t="s">
        <v>505</v>
      </c>
      <c s="36" r="E210" t="s">
        <v>450</v>
      </c>
      <c s="36" r="F210" t="s">
        <v>101</v>
      </c>
      <c s="36" r="G210" t="s">
        <v>29</v>
      </c>
      <c s="36" r="H210" t="s">
        <v>29</v>
      </c>
      <c s="36" r="I210" t="s">
        <v>29</v>
      </c>
      <c s="37" r="J210">
        <f>IF(IFERROR(K210,7)=7,"",RIGHT(K210,LEN(K210)-2)&amp;".")</f>
        <v/>
      </c>
      <c s="36" r="K210">
        <f>IFERROR(__xludf.dummyfunction("CONCATENATE(ArrayFormula(""; ""&amp;QUERY(Hallazgos!A:E,""SELECT B WHERE E CONTAINS '""&amp;B210&amp;""' LABEL B ''"")))"),"#N/A")</f>
        <v/>
      </c>
    </row>
    <row customHeight="1" s="134" r="211" ht="15.75" spans="1:11">
      <c s="34" r="A211" t="s">
        <v>522</v>
      </c>
      <c s="35" r="B211" t="s">
        <v>523</v>
      </c>
      <c s="36" r="C211" t="s">
        <v>66</v>
      </c>
      <c s="36" r="D211" t="s">
        <v>505</v>
      </c>
      <c s="36" r="E211" t="s">
        <v>160</v>
      </c>
      <c s="36" r="F211" t="s">
        <v>101</v>
      </c>
      <c s="36" r="G211" t="s">
        <v>29</v>
      </c>
      <c s="36" r="H211" t="s">
        <v>29</v>
      </c>
      <c s="36" r="I211" t="s">
        <v>29</v>
      </c>
      <c s="37" r="J211">
        <f>IF(IFERROR(K211,7)=7,"",RIGHT(K211,LEN(K211)-2)&amp;".")</f>
        <v/>
      </c>
      <c s="36" r="K211">
        <f>IFERROR(__xludf.dummyfunction("CONCATENATE(ArrayFormula(""; ""&amp;QUERY(Hallazgos!A:E,""SELECT B WHERE E CONTAINS '""&amp;B211&amp;""' LABEL B ''"")))"),"#N/A")</f>
        <v/>
      </c>
    </row>
    <row customHeight="1" s="134" r="212" ht="15.75" spans="1:11">
      <c s="34" r="A212" t="s">
        <v>524</v>
      </c>
      <c s="37" r="B212" t="s">
        <v>525</v>
      </c>
      <c s="36" r="C212" t="s">
        <v>66</v>
      </c>
      <c s="36" r="D212" t="s">
        <v>526</v>
      </c>
      <c s="36" r="E212" t="s">
        <v>176</v>
      </c>
      <c s="36" r="F212" t="s">
        <v>101</v>
      </c>
      <c s="36" r="G212" t="s">
        <v>29</v>
      </c>
      <c s="36" r="H212" t="s">
        <v>29</v>
      </c>
      <c s="36" r="I212" t="s">
        <v>29</v>
      </c>
      <c s="37" r="J212">
        <f>IF(IFERROR(K212,7)=7,"",RIGHT(K212,LEN(K212)-2)&amp;".")</f>
        <v/>
      </c>
      <c s="36" r="K212">
        <f>IFERROR(__xludf.dummyfunction("CONCATENATE(ArrayFormula(""; ""&amp;QUERY(Hallazgos!A:E,""SELECT B WHERE E CONTAINS '""&amp;B212&amp;""' LABEL B ''"")))"),"#N/A")</f>
        <v/>
      </c>
    </row>
    <row customHeight="1" s="134" r="213" ht="15.75" spans="1:11">
      <c s="34" r="A213" t="s">
        <v>527</v>
      </c>
      <c s="37" r="B213" t="s">
        <v>528</v>
      </c>
      <c s="36" r="C213" t="s">
        <v>66</v>
      </c>
      <c s="36" r="D213" t="s">
        <v>526</v>
      </c>
      <c s="36" r="E213" t="s">
        <v>223</v>
      </c>
      <c s="36" r="F213" t="s">
        <v>101</v>
      </c>
      <c s="36" r="G213" t="s">
        <v>29</v>
      </c>
      <c s="36" r="H213" t="s">
        <v>29</v>
      </c>
      <c s="36" r="I213" t="s">
        <v>29</v>
      </c>
      <c s="37" r="J213">
        <f>IF(IFERROR(K213,7)=7,"",RIGHT(K213,LEN(K213)-2)&amp;".")</f>
        <v/>
      </c>
      <c s="36" r="K213">
        <f>IFERROR(__xludf.dummyfunction("CONCATENATE(ArrayFormula(""; ""&amp;QUERY(Hallazgos!A:E,""SELECT B WHERE E CONTAINS '""&amp;B213&amp;""' LABEL B ''"")))"),"#N/A")</f>
        <v/>
      </c>
    </row>
    <row customHeight="1" s="134" r="214" ht="15.75" spans="1:11">
      <c s="34" r="A214" t="s">
        <v>529</v>
      </c>
      <c s="37" r="B214" t="s">
        <v>530</v>
      </c>
      <c s="36" r="C214" t="s">
        <v>66</v>
      </c>
      <c s="36" r="D214" t="s">
        <v>526</v>
      </c>
      <c s="36" r="E214" t="s">
        <v>223</v>
      </c>
      <c s="36" r="F214" t="s">
        <v>101</v>
      </c>
      <c s="36" r="G214" t="s">
        <v>29</v>
      </c>
      <c s="36" r="H214" t="s">
        <v>29</v>
      </c>
      <c s="36" r="I214" t="s">
        <v>29</v>
      </c>
      <c s="37" r="J214">
        <f>IF(IFERROR(K214,7)=7,"",RIGHT(K214,LEN(K214)-2)&amp;".")</f>
        <v/>
      </c>
      <c s="36" r="K214">
        <f>IFERROR(__xludf.dummyfunction("CONCATENATE(ArrayFormula(""; ""&amp;QUERY(Hallazgos!A:E,""SELECT B WHERE E CONTAINS '""&amp;B214&amp;""' LABEL B ''"")))"),"#N/A")</f>
        <v/>
      </c>
    </row>
    <row customHeight="1" s="134" r="215" ht="15.75" spans="1:11">
      <c s="34" r="A215" t="s">
        <v>531</v>
      </c>
      <c s="37" r="B215" t="s">
        <v>532</v>
      </c>
      <c s="36" r="C215" t="s">
        <v>66</v>
      </c>
      <c s="36" r="D215" t="s">
        <v>533</v>
      </c>
      <c s="36" r="E215" t="s">
        <v>142</v>
      </c>
      <c s="36" r="F215" t="s">
        <v>101</v>
      </c>
      <c s="36" r="G215" t="s">
        <v>29</v>
      </c>
      <c s="36" r="H215" t="s">
        <v>29</v>
      </c>
      <c s="36" r="I215" t="s">
        <v>29</v>
      </c>
      <c s="37" r="J215">
        <f>IF(IFERROR(K215,7)=7,"",RIGHT(K215,LEN(K215)-2)&amp;".")</f>
        <v/>
      </c>
      <c s="36" r="K215">
        <f>IFERROR(__xludf.dummyfunction("CONCATENATE(ArrayFormula(""; ""&amp;QUERY(Hallazgos!A:E,""SELECT B WHERE E CONTAINS '""&amp;B215&amp;""' LABEL B ''"")))"),"#N/A")</f>
        <v/>
      </c>
    </row>
    <row customHeight="1" s="134" r="216" ht="15.75" spans="1:11">
      <c s="34" r="A216" t="s">
        <v>534</v>
      </c>
      <c s="37" r="B216" t="s">
        <v>535</v>
      </c>
      <c s="36" r="C216" t="s">
        <v>66</v>
      </c>
      <c s="36" r="D216" t="s">
        <v>533</v>
      </c>
      <c s="36" r="E216" t="s">
        <v>226</v>
      </c>
      <c s="36" r="F216" t="s">
        <v>101</v>
      </c>
      <c s="36" r="G216" t="s">
        <v>29</v>
      </c>
      <c s="36" r="H216" t="s">
        <v>29</v>
      </c>
      <c s="36" r="I216" t="s">
        <v>29</v>
      </c>
      <c s="37" r="J216">
        <f>IF(IFERROR(K216,7)=7,"",RIGHT(K216,LEN(K216)-2)&amp;".")</f>
        <v/>
      </c>
      <c s="36" r="K216">
        <f>IFERROR(__xludf.dummyfunction("CONCATENATE(ArrayFormula(""; ""&amp;QUERY(Hallazgos!A:E,""SELECT B WHERE E CONTAINS '""&amp;B216&amp;""' LABEL B ''"")))"),"#N/A")</f>
        <v/>
      </c>
    </row>
    <row customHeight="1" s="134" r="217" ht="15.75" spans="1:11">
      <c s="34" r="A217" t="s">
        <v>536</v>
      </c>
      <c s="37" r="B217" t="s">
        <v>537</v>
      </c>
      <c s="36" r="C217" t="s">
        <v>66</v>
      </c>
      <c s="36" r="D217" t="s">
        <v>533</v>
      </c>
      <c s="36" r="E217" t="s">
        <v>122</v>
      </c>
      <c s="36" r="F217" t="s">
        <v>101</v>
      </c>
      <c s="36" r="G217" t="s">
        <v>29</v>
      </c>
      <c s="36" r="H217" t="s">
        <v>29</v>
      </c>
      <c s="36" r="I217" t="s">
        <v>29</v>
      </c>
      <c s="37" r="J217">
        <f>IF(IFERROR(K217,7)=7,"",RIGHT(K217,LEN(K217)-2)&amp;".")</f>
        <v/>
      </c>
      <c s="36" r="K217">
        <f>IFERROR(__xludf.dummyfunction("CONCATENATE(ArrayFormula(""; ""&amp;QUERY(Hallazgos!A:E,""SELECT B WHERE E CONTAINS '""&amp;B217&amp;""' LABEL B ''"")))"),"#N/A")</f>
        <v/>
      </c>
    </row>
    <row customHeight="1" s="134" r="218" ht="15.75" spans="1:11">
      <c s="34" r="A218" t="s">
        <v>538</v>
      </c>
      <c s="37" r="B218" t="s">
        <v>539</v>
      </c>
      <c s="36" r="C218" t="s">
        <v>66</v>
      </c>
      <c s="36" r="D218" t="s">
        <v>540</v>
      </c>
      <c s="36" r="E218" t="s">
        <v>68</v>
      </c>
      <c s="36" r="F218" t="s">
        <v>101</v>
      </c>
      <c s="36" r="G218" t="s">
        <v>29</v>
      </c>
      <c s="36" r="H218" t="s">
        <v>29</v>
      </c>
      <c s="36" r="I218" t="s">
        <v>29</v>
      </c>
      <c s="37" r="J218">
        <f>IF(IFERROR(K218,7)=7,"",RIGHT(K218,LEN(K218)-2)&amp;".")</f>
        <v/>
      </c>
      <c s="36" r="K218">
        <f>IFERROR(__xludf.dummyfunction("CONCATENATE(ArrayFormula(""; ""&amp;QUERY(Hallazgos!A:E,""SELECT B WHERE E CONTAINS '""&amp;B218&amp;""' LABEL B ''"")))"),"#N/A")</f>
        <v/>
      </c>
    </row>
    <row customHeight="1" s="134" r="219" ht="15.75" spans="1:11">
      <c s="34" r="A219" t="s">
        <v>541</v>
      </c>
      <c s="37" r="B219" t="s">
        <v>542</v>
      </c>
      <c s="36" r="C219" t="s">
        <v>66</v>
      </c>
      <c s="36" r="D219" t="s">
        <v>540</v>
      </c>
      <c s="36" r="E219" t="s">
        <v>68</v>
      </c>
      <c s="36" r="F219" t="s">
        <v>101</v>
      </c>
      <c s="36" r="G219" t="s">
        <v>29</v>
      </c>
      <c s="36" r="H219" t="s">
        <v>29</v>
      </c>
      <c s="36" r="I219" t="s">
        <v>29</v>
      </c>
      <c s="37" r="J219">
        <f>IF(IFERROR(K219,7)=7,"",RIGHT(K219,LEN(K219)-2)&amp;".")</f>
        <v/>
      </c>
      <c s="36" r="K219">
        <f>IFERROR(__xludf.dummyfunction("CONCATENATE(ArrayFormula(""; ""&amp;QUERY(Hallazgos!A:E,""SELECT B WHERE E CONTAINS '""&amp;B219&amp;""' LABEL B ''"")))"),"#N/A")</f>
        <v/>
      </c>
    </row>
    <row customHeight="1" s="134" r="220" ht="15.75" spans="1:11">
      <c s="34" r="A220" t="s">
        <v>543</v>
      </c>
      <c s="35" r="B220" t="s">
        <v>544</v>
      </c>
      <c s="36" r="C220" t="s">
        <v>87</v>
      </c>
      <c s="36" r="D220" t="s">
        <v>545</v>
      </c>
      <c s="36" r="E220" t="s">
        <v>68</v>
      </c>
      <c s="36" r="F220" t="s">
        <v>119</v>
      </c>
      <c s="36" r="G220" t="s">
        <v>29</v>
      </c>
      <c s="36" r="H220" t="s">
        <v>29</v>
      </c>
      <c s="36" r="I220" t="s">
        <v>29</v>
      </c>
      <c s="37" r="J220">
        <f>IF(IFERROR(K220,7)=7,"",RIGHT(K220,LEN(K220)-2)&amp;".")</f>
        <v/>
      </c>
      <c s="36" r="K220">
        <f>IFERROR(__xludf.dummyfunction("CONCATENATE(ArrayFormula(""; ""&amp;QUERY(Hallazgos!A:E,""SELECT B WHERE E CONTAINS '""&amp;B220&amp;""' LABEL B ''"")))"),"#N/A")</f>
        <v/>
      </c>
    </row>
    <row customHeight="1" s="134" r="221" ht="15.75" spans="1:11">
      <c s="34" r="A221" t="s">
        <v>546</v>
      </c>
      <c s="35" r="B221" t="s">
        <v>547</v>
      </c>
      <c s="36" r="C221" t="s">
        <v>87</v>
      </c>
      <c s="36" r="D221" t="s">
        <v>545</v>
      </c>
      <c s="36" r="E221" t="s">
        <v>68</v>
      </c>
      <c s="36" r="F221" t="s">
        <v>119</v>
      </c>
      <c s="36" r="G221" t="s">
        <v>29</v>
      </c>
      <c s="36" r="H221" t="s">
        <v>29</v>
      </c>
      <c s="36" r="I221" t="s">
        <v>29</v>
      </c>
      <c s="37" r="J221">
        <f>IF(IFERROR(K221,7)=7,"",RIGHT(K221,LEN(K221)-2)&amp;".")</f>
        <v/>
      </c>
      <c s="36" r="K221">
        <f>IFERROR(__xludf.dummyfunction("CONCATENATE(ArrayFormula(""; ""&amp;QUERY(Hallazgos!A:E,""SELECT B WHERE E CONTAINS '""&amp;B221&amp;""' LABEL B ''"")))"),"#N/A")</f>
        <v/>
      </c>
    </row>
    <row customHeight="1" s="134" r="222" ht="15.75" spans="1:11">
      <c s="34" r="A222" t="s">
        <v>548</v>
      </c>
      <c s="35" r="B222" t="s">
        <v>549</v>
      </c>
      <c s="36" r="C222" t="s">
        <v>87</v>
      </c>
      <c s="36" r="D222" t="s">
        <v>550</v>
      </c>
      <c s="36" r="E222" t="s">
        <v>127</v>
      </c>
      <c s="36" r="F222" t="s">
        <v>101</v>
      </c>
      <c s="36" r="G222" t="s">
        <v>29</v>
      </c>
      <c s="36" r="H222" t="s">
        <v>29</v>
      </c>
      <c s="36" r="I222" t="s">
        <v>29</v>
      </c>
      <c s="37" r="J222">
        <f>IF(IFERROR(K222,7)=7,"",RIGHT(K222,LEN(K222)-2)&amp;".")</f>
        <v/>
      </c>
      <c s="36" r="K222">
        <f>IFERROR(__xludf.dummyfunction("CONCATENATE(ArrayFormula(""; ""&amp;QUERY(Hallazgos!A:E,""SELECT B WHERE E CONTAINS '""&amp;B222&amp;""' LABEL B ''"")))"),"#N/A")</f>
        <v/>
      </c>
    </row>
    <row customHeight="1" s="134" r="223" ht="15.75" spans="1:11">
      <c s="34" r="A223" t="s">
        <v>551</v>
      </c>
      <c s="35" r="B223" t="s">
        <v>552</v>
      </c>
      <c s="36" r="C223" t="s">
        <v>87</v>
      </c>
      <c s="36" r="D223" t="s">
        <v>550</v>
      </c>
      <c s="36" r="E223" t="s">
        <v>127</v>
      </c>
      <c s="36" r="F223" t="s">
        <v>101</v>
      </c>
      <c s="36" r="G223" t="s">
        <v>29</v>
      </c>
      <c s="36" r="H223" t="s">
        <v>29</v>
      </c>
      <c s="36" r="I223" t="s">
        <v>29</v>
      </c>
      <c s="37" r="J223">
        <f>IF(IFERROR(K223,7)=7,"",RIGHT(K223,LEN(K223)-2)&amp;".")</f>
        <v/>
      </c>
      <c s="36" r="K223">
        <f>IFERROR(__xludf.dummyfunction("CONCATENATE(ArrayFormula(""; ""&amp;QUERY(Hallazgos!A:E,""SELECT B WHERE E CONTAINS '""&amp;B223&amp;""' LABEL B ''"")))"),"#N/A")</f>
        <v/>
      </c>
    </row>
    <row customHeight="1" s="134" r="224" ht="15.75" spans="1:11">
      <c s="34" r="A224" t="s">
        <v>553</v>
      </c>
      <c s="35" r="B224" t="s">
        <v>554</v>
      </c>
      <c s="36" r="C224" t="s">
        <v>87</v>
      </c>
      <c s="36" r="D224" t="s">
        <v>550</v>
      </c>
      <c s="36" r="E224" t="s">
        <v>155</v>
      </c>
      <c s="36" r="F224" t="s">
        <v>101</v>
      </c>
      <c s="36" r="G224" t="s">
        <v>29</v>
      </c>
      <c s="36" r="H224" t="s">
        <v>29</v>
      </c>
      <c s="36" r="I224" t="s">
        <v>29</v>
      </c>
      <c s="37" r="J224">
        <f>IF(IFERROR(K224,7)=7,"",RIGHT(K224,LEN(K224)-2)&amp;".")</f>
        <v/>
      </c>
      <c s="36" r="K224">
        <f>IFERROR(__xludf.dummyfunction("CONCATENATE(ArrayFormula(""; ""&amp;QUERY(Hallazgos!A:E,""SELECT B WHERE E CONTAINS '""&amp;B224&amp;""' LABEL B ''"")))"),"#N/A")</f>
        <v/>
      </c>
    </row>
    <row customHeight="1" s="134" r="225" ht="15.75" spans="1:11">
      <c s="34" r="A225" t="s">
        <v>555</v>
      </c>
      <c s="35" r="B225" t="s">
        <v>556</v>
      </c>
      <c s="36" r="C225" t="s">
        <v>87</v>
      </c>
      <c s="36" r="D225" t="s">
        <v>550</v>
      </c>
      <c s="36" r="E225" t="s">
        <v>100</v>
      </c>
      <c s="36" r="F225" t="s">
        <v>101</v>
      </c>
      <c s="36" r="G225" t="s">
        <v>29</v>
      </c>
      <c s="36" r="H225" t="s">
        <v>29</v>
      </c>
      <c s="36" r="I225" t="s">
        <v>29</v>
      </c>
      <c s="37" r="J225">
        <f>IF(IFERROR(K225,7)=7,"",RIGHT(K225,LEN(K225)-2)&amp;".")</f>
        <v/>
      </c>
      <c s="36" r="K225">
        <f>IFERROR(__xludf.dummyfunction("CONCATENATE(ArrayFormula(""; ""&amp;QUERY(Hallazgos!A:E,""SELECT B WHERE E CONTAINS '""&amp;B225&amp;""' LABEL B ''"")))"),"#N/A")</f>
        <v/>
      </c>
    </row>
    <row customHeight="1" s="134" r="226" ht="15.75" spans="1:11">
      <c s="34" r="A226" t="s">
        <v>557</v>
      </c>
      <c s="35" r="B226" t="s">
        <v>558</v>
      </c>
      <c s="36" r="C226" t="s">
        <v>87</v>
      </c>
      <c s="36" r="D226" t="s">
        <v>550</v>
      </c>
      <c s="36" r="E226" t="s">
        <v>118</v>
      </c>
      <c s="36" r="F226" t="s">
        <v>101</v>
      </c>
      <c s="36" r="G226" t="s">
        <v>29</v>
      </c>
      <c s="36" r="H226" t="s">
        <v>29</v>
      </c>
      <c s="36" r="I226" t="s">
        <v>29</v>
      </c>
      <c s="37" r="J226">
        <f>IF(IFERROR(K226,7)=7,"",RIGHT(K226,LEN(K226)-2)&amp;".")</f>
        <v/>
      </c>
      <c s="36" r="K226">
        <f>IFERROR(__xludf.dummyfunction("CONCATENATE(ArrayFormula(""; ""&amp;QUERY(Hallazgos!A:E,""SELECT B WHERE E CONTAINS '""&amp;B226&amp;""' LABEL B ''"")))"),"#N/A")</f>
        <v/>
      </c>
    </row>
    <row customHeight="1" s="134" r="227" ht="15.75" spans="1:11">
      <c s="34" r="A227" t="s">
        <v>559</v>
      </c>
      <c s="35" r="B227" t="s">
        <v>560</v>
      </c>
      <c s="36" r="C227" t="s">
        <v>87</v>
      </c>
      <c s="36" r="D227" t="s">
        <v>550</v>
      </c>
      <c s="36" r="E227" t="s">
        <v>134</v>
      </c>
      <c s="36" r="F227" t="s">
        <v>101</v>
      </c>
      <c s="36" r="G227" t="s">
        <v>29</v>
      </c>
      <c s="36" r="H227" t="s">
        <v>29</v>
      </c>
      <c s="36" r="I227" t="s">
        <v>29</v>
      </c>
      <c s="37" r="J227">
        <f>IF(IFERROR(K227,7)=7,"",RIGHT(K227,LEN(K227)-2)&amp;".")</f>
        <v/>
      </c>
      <c s="36" r="K227">
        <f>IFERROR(__xludf.dummyfunction("CONCATENATE(ArrayFormula(""; ""&amp;QUERY(Hallazgos!A:E,""SELECT B WHERE E CONTAINS '""&amp;B227&amp;""' LABEL B ''"")))"),"#N/A")</f>
        <v/>
      </c>
    </row>
    <row customHeight="1" s="134" r="228" ht="15.75" spans="1:11">
      <c s="34" r="A228" t="s">
        <v>561</v>
      </c>
      <c s="35" r="B228" t="s">
        <v>562</v>
      </c>
      <c s="36" r="C228" t="s">
        <v>87</v>
      </c>
      <c s="36" r="D228" t="s">
        <v>550</v>
      </c>
      <c s="36" r="E228" t="s">
        <v>134</v>
      </c>
      <c s="36" r="F228" t="s">
        <v>101</v>
      </c>
      <c s="36" r="G228" t="s">
        <v>29</v>
      </c>
      <c s="36" r="H228" t="s">
        <v>29</v>
      </c>
      <c s="36" r="I228" t="s">
        <v>29</v>
      </c>
      <c s="37" r="J228">
        <f>IF(IFERROR(K228,7)=7,"",RIGHT(K228,LEN(K228)-2)&amp;".")</f>
        <v/>
      </c>
      <c s="36" r="K228">
        <f>IFERROR(__xludf.dummyfunction("CONCATENATE(ArrayFormula(""; ""&amp;QUERY(Hallazgos!A:E,""SELECT B WHERE E CONTAINS '""&amp;B228&amp;""' LABEL B ''"")))"),"#N/A")</f>
        <v/>
      </c>
    </row>
    <row customHeight="1" s="134" r="229" ht="15.75" spans="1:11">
      <c s="34" r="A229" t="s">
        <v>563</v>
      </c>
      <c s="35" r="B229" t="s">
        <v>564</v>
      </c>
      <c s="36" r="C229" t="s">
        <v>87</v>
      </c>
      <c s="36" r="D229" t="s">
        <v>550</v>
      </c>
      <c s="36" r="E229" t="s">
        <v>134</v>
      </c>
      <c s="36" r="F229" t="s">
        <v>101</v>
      </c>
      <c s="36" r="G229" t="s">
        <v>29</v>
      </c>
      <c s="36" r="H229" t="s">
        <v>29</v>
      </c>
      <c s="36" r="I229" t="s">
        <v>29</v>
      </c>
      <c s="37" r="J229">
        <f>IF(IFERROR(K229,7)=7,"",RIGHT(K229,LEN(K229)-2)&amp;".")</f>
        <v/>
      </c>
      <c s="36" r="K229">
        <f>IFERROR(__xludf.dummyfunction("CONCATENATE(ArrayFormula(""; ""&amp;QUERY(Hallazgos!A:E,""SELECT B WHERE E CONTAINS '""&amp;B229&amp;""' LABEL B ''"")))"),"#N/A")</f>
        <v/>
      </c>
    </row>
    <row customHeight="1" s="134" r="230" ht="15.75" spans="1:11">
      <c s="34" r="A230" t="s">
        <v>565</v>
      </c>
      <c s="35" r="B230" t="s">
        <v>566</v>
      </c>
      <c s="36" r="C230" t="s">
        <v>87</v>
      </c>
      <c s="36" r="D230" t="s">
        <v>550</v>
      </c>
      <c s="36" r="E230" t="s">
        <v>134</v>
      </c>
      <c s="36" r="F230" t="s">
        <v>101</v>
      </c>
      <c s="36" r="G230" t="s">
        <v>29</v>
      </c>
      <c s="36" r="H230" t="s">
        <v>29</v>
      </c>
      <c s="36" r="I230" t="s">
        <v>29</v>
      </c>
      <c s="37" r="J230">
        <f>IF(IFERROR(K230,7)=7,"",RIGHT(K230,LEN(K230)-2)&amp;".")</f>
        <v/>
      </c>
      <c s="36" r="K230">
        <f>IFERROR(__xludf.dummyfunction("CONCATENATE(ArrayFormula(""; ""&amp;QUERY(Hallazgos!A:E,""SELECT B WHERE E CONTAINS '""&amp;B230&amp;""' LABEL B ''"")))"),"#N/A")</f>
        <v/>
      </c>
    </row>
    <row customHeight="1" s="134" r="231" ht="15.75" spans="1:11">
      <c s="34" r="A231" t="s">
        <v>567</v>
      </c>
      <c s="35" r="B231" t="s">
        <v>568</v>
      </c>
      <c s="36" r="C231" t="s">
        <v>87</v>
      </c>
      <c s="36" r="D231" t="s">
        <v>550</v>
      </c>
      <c s="36" r="E231" t="s">
        <v>127</v>
      </c>
      <c s="36" r="F231" t="s">
        <v>101</v>
      </c>
      <c s="36" r="G231" t="s">
        <v>29</v>
      </c>
      <c s="36" r="H231" t="s">
        <v>29</v>
      </c>
      <c s="36" r="I231" t="s">
        <v>29</v>
      </c>
      <c s="37" r="J231">
        <f>IF(IFERROR(K231,7)=7,"",RIGHT(K231,LEN(K231)-2)&amp;".")</f>
        <v/>
      </c>
      <c s="36" r="K231">
        <f>IFERROR(__xludf.dummyfunction("CONCATENATE(ArrayFormula(""; ""&amp;QUERY(Hallazgos!A:E,""SELECT B WHERE E CONTAINS '""&amp;B231&amp;""' LABEL B ''"")))"),"#N/A")</f>
        <v/>
      </c>
    </row>
    <row customHeight="1" s="134" r="232" ht="15.75" spans="1:11">
      <c s="34" r="A232" t="s">
        <v>569</v>
      </c>
      <c s="35" r="B232" t="s">
        <v>570</v>
      </c>
      <c s="36" r="C232" t="s">
        <v>87</v>
      </c>
      <c s="36" r="D232" t="s">
        <v>550</v>
      </c>
      <c s="36" r="E232" t="s">
        <v>134</v>
      </c>
      <c s="36" r="F232" t="s">
        <v>101</v>
      </c>
      <c s="36" r="G232" t="s">
        <v>29</v>
      </c>
      <c s="36" r="H232" t="s">
        <v>29</v>
      </c>
      <c s="36" r="I232" t="s">
        <v>29</v>
      </c>
      <c s="37" r="J232">
        <f>IF(IFERROR(K232,7)=7,"",RIGHT(K232,LEN(K232)-2)&amp;".")</f>
        <v/>
      </c>
      <c s="36" r="K232">
        <f>IFERROR(__xludf.dummyfunction("CONCATENATE(ArrayFormula(""; ""&amp;QUERY(Hallazgos!A:E,""SELECT B WHERE E CONTAINS '""&amp;B232&amp;""' LABEL B ''"")))"),"#N/A")</f>
        <v/>
      </c>
    </row>
    <row customHeight="1" s="134" r="233" ht="15.75" spans="1:11">
      <c s="34" r="A233" t="s">
        <v>571</v>
      </c>
      <c s="35" r="B233" t="s">
        <v>572</v>
      </c>
      <c s="36" r="C233" t="s">
        <v>87</v>
      </c>
      <c s="36" r="D233" t="s">
        <v>550</v>
      </c>
      <c s="36" r="E233" t="s">
        <v>127</v>
      </c>
      <c s="36" r="F233" t="s">
        <v>101</v>
      </c>
      <c s="36" r="G233" t="s">
        <v>29</v>
      </c>
      <c s="36" r="H233" t="s">
        <v>29</v>
      </c>
      <c s="36" r="I233" t="s">
        <v>29</v>
      </c>
      <c s="37" r="J233">
        <f>IF(IFERROR(K233,7)=7,"",RIGHT(K233,LEN(K233)-2)&amp;".")</f>
        <v/>
      </c>
      <c s="36" r="K233">
        <f>IFERROR(__xludf.dummyfunction("CONCATENATE(ArrayFormula(""; ""&amp;QUERY(Hallazgos!A:E,""SELECT B WHERE E CONTAINS '""&amp;B233&amp;""' LABEL B ''"")))"),"#N/A")</f>
        <v/>
      </c>
    </row>
    <row customHeight="1" s="134" r="234" ht="15.75" spans="1:11">
      <c s="34" r="A234" t="s">
        <v>573</v>
      </c>
      <c s="35" r="B234" t="s">
        <v>574</v>
      </c>
      <c s="36" r="C234" t="s">
        <v>87</v>
      </c>
      <c s="36" r="D234" t="s">
        <v>550</v>
      </c>
      <c s="36" r="E234" t="s">
        <v>127</v>
      </c>
      <c s="36" r="F234" t="s">
        <v>101</v>
      </c>
      <c s="36" r="G234" t="s">
        <v>29</v>
      </c>
      <c s="36" r="H234" t="s">
        <v>29</v>
      </c>
      <c s="36" r="I234" t="s">
        <v>29</v>
      </c>
      <c s="37" r="J234">
        <f>IF(IFERROR(K234,7)=7,"",RIGHT(K234,LEN(K234)-2)&amp;".")</f>
        <v/>
      </c>
      <c s="36" r="K234">
        <f>IFERROR(__xludf.dummyfunction("CONCATENATE(ArrayFormula(""; ""&amp;QUERY(Hallazgos!A:E,""SELECT B WHERE E CONTAINS '""&amp;B234&amp;""' LABEL B ''"")))"),"#N/A")</f>
        <v/>
      </c>
    </row>
    <row customHeight="1" s="134" r="235" ht="15.75" spans="1:11">
      <c s="34" r="A235" t="s">
        <v>575</v>
      </c>
      <c s="35" r="B235" t="s">
        <v>576</v>
      </c>
      <c s="36" r="C235" t="s">
        <v>87</v>
      </c>
      <c s="36" r="D235" t="s">
        <v>550</v>
      </c>
      <c s="36" r="E235" t="s">
        <v>100</v>
      </c>
      <c s="36" r="F235" t="s">
        <v>101</v>
      </c>
      <c s="36" r="G235" t="s">
        <v>29</v>
      </c>
      <c s="36" r="H235" t="s">
        <v>29</v>
      </c>
      <c s="36" r="I235" t="s">
        <v>29</v>
      </c>
      <c s="37" r="J235">
        <f>IF(IFERROR(K235,7)=7,"",RIGHT(K235,LEN(K235)-2)&amp;".")</f>
        <v/>
      </c>
      <c s="36" r="K235">
        <f>IFERROR(__xludf.dummyfunction("CONCATENATE(ArrayFormula(""; ""&amp;QUERY(Hallazgos!A:E,""SELECT B WHERE E CONTAINS '""&amp;B235&amp;""' LABEL B ''"")))"),"#N/A")</f>
        <v/>
      </c>
    </row>
    <row customHeight="1" s="134" r="236" ht="15.75" spans="1:11">
      <c s="34" r="A236" t="s">
        <v>577</v>
      </c>
      <c s="35" r="B236" t="s">
        <v>578</v>
      </c>
      <c s="36" r="C236" t="s">
        <v>87</v>
      </c>
      <c s="36" r="D236" t="s">
        <v>550</v>
      </c>
      <c s="36" r="E236" t="s">
        <v>134</v>
      </c>
      <c s="36" r="F236" t="s">
        <v>101</v>
      </c>
      <c s="36" r="G236" t="s">
        <v>29</v>
      </c>
      <c s="36" r="H236" t="s">
        <v>29</v>
      </c>
      <c s="36" r="I236" t="s">
        <v>29</v>
      </c>
      <c s="37" r="J236">
        <f>IF(IFERROR(K236,7)=7,"",RIGHT(K236,LEN(K236)-2)&amp;".")</f>
        <v/>
      </c>
      <c s="36" r="K236">
        <f>IFERROR(__xludf.dummyfunction("CONCATENATE(ArrayFormula(""; ""&amp;QUERY(Hallazgos!A:E,""SELECT B WHERE E CONTAINS '""&amp;B236&amp;""' LABEL B ''"")))"),"#N/A")</f>
        <v/>
      </c>
    </row>
    <row customHeight="1" s="134" r="237" ht="15.75" spans="1:11">
      <c s="34" r="A237" t="s">
        <v>579</v>
      </c>
      <c s="35" r="B237" t="s">
        <v>580</v>
      </c>
      <c s="36" r="C237" t="s">
        <v>84</v>
      </c>
      <c s="36" r="D237" t="s">
        <v>581</v>
      </c>
      <c s="36" r="E237" t="s">
        <v>68</v>
      </c>
      <c s="36" r="F237" t="s">
        <v>69</v>
      </c>
      <c s="36" r="G237" t="s">
        <v>29</v>
      </c>
      <c s="36" r="H237" t="s">
        <v>29</v>
      </c>
      <c s="36" r="I237" t="s">
        <v>29</v>
      </c>
      <c s="37" r="J237">
        <f>IF(IFERROR(K237,7)=7,"",RIGHT(K237,LEN(K237)-2)&amp;".")</f>
        <v/>
      </c>
      <c s="36" r="K237">
        <f>IFERROR(__xludf.dummyfunction("CONCATENATE(ArrayFormula(""; ""&amp;QUERY(Hallazgos!A:E,""SELECT B WHERE E CONTAINS '""&amp;B237&amp;""' LABEL B ''"")))"),"#N/A")</f>
        <v/>
      </c>
    </row>
    <row customHeight="1" s="134" r="238" ht="15.75" spans="1:11">
      <c s="34" r="A238" t="s">
        <v>582</v>
      </c>
      <c s="35" r="B238" t="s">
        <v>583</v>
      </c>
      <c s="36" r="C238" t="s">
        <v>84</v>
      </c>
      <c s="36" r="D238" t="s">
        <v>581</v>
      </c>
      <c s="36" r="E238" t="s">
        <v>68</v>
      </c>
      <c s="36" r="F238" t="s">
        <v>95</v>
      </c>
      <c s="36" r="G238" t="s">
        <v>29</v>
      </c>
      <c s="36" r="H238" t="s">
        <v>29</v>
      </c>
      <c s="36" r="I238" t="s">
        <v>29</v>
      </c>
      <c s="37" r="J238">
        <f>IF(IFERROR(K238,7)=7,"",RIGHT(K238,LEN(K238)-2)&amp;".")</f>
        <v/>
      </c>
      <c s="36" r="K238">
        <f>IFERROR(__xludf.dummyfunction("CONCATENATE(ArrayFormula(""; ""&amp;QUERY(Hallazgos!A:E,""SELECT B WHERE E CONTAINS '""&amp;B238&amp;""' LABEL B ''"")))"),"#N/A")</f>
        <v/>
      </c>
    </row>
    <row customHeight="1" s="134" r="239" ht="15.75" spans="1:11">
      <c s="34" r="A239" t="s">
        <v>584</v>
      </c>
      <c s="35" r="B239" t="s">
        <v>585</v>
      </c>
      <c s="36" r="C239" t="s">
        <v>84</v>
      </c>
      <c s="36" r="D239" t="s">
        <v>581</v>
      </c>
      <c s="36" r="E239" t="s">
        <v>68</v>
      </c>
      <c s="36" r="F239" t="s">
        <v>90</v>
      </c>
      <c s="36" r="G239" t="s">
        <v>29</v>
      </c>
      <c s="36" r="H239" t="s">
        <v>29</v>
      </c>
      <c s="36" r="I239" t="s">
        <v>29</v>
      </c>
      <c s="37" r="J239">
        <f>IF(IFERROR(K239,7)=7,"",RIGHT(K239,LEN(K239)-2)&amp;".")</f>
        <v/>
      </c>
      <c s="36" r="K239">
        <f>IFERROR(__xludf.dummyfunction("CONCATENATE(ArrayFormula(""; ""&amp;QUERY(Hallazgos!A:E,""SELECT B WHERE E CONTAINS '""&amp;B239&amp;""' LABEL B ''"")))"),"#N/A")</f>
        <v/>
      </c>
    </row>
    <row customHeight="1" s="134" r="240" ht="15.75" spans="1:11">
      <c s="34" r="A240" t="s">
        <v>586</v>
      </c>
      <c s="35" r="B240" t="s">
        <v>587</v>
      </c>
      <c s="36" r="C240" t="s">
        <v>84</v>
      </c>
      <c s="36" r="D240" t="s">
        <v>581</v>
      </c>
      <c s="36" r="E240" t="s">
        <v>68</v>
      </c>
      <c s="36" r="F240" t="s">
        <v>90</v>
      </c>
      <c s="36" r="G240" t="s">
        <v>29</v>
      </c>
      <c s="36" r="H240" t="s">
        <v>29</v>
      </c>
      <c s="36" r="I240" t="s">
        <v>29</v>
      </c>
      <c s="37" r="J240">
        <f>IF(IFERROR(K240,7)=7,"",RIGHT(K240,LEN(K240)-2)&amp;".")</f>
        <v/>
      </c>
      <c s="36" r="K240">
        <f>IFERROR(__xludf.dummyfunction("CONCATENATE(ArrayFormula(""; ""&amp;QUERY(Hallazgos!A:E,""SELECT B WHERE E CONTAINS '""&amp;B240&amp;""' LABEL B ''"")))"),"#N/A")</f>
        <v/>
      </c>
    </row>
    <row customHeight="1" s="134" r="241" ht="15.75" spans="1:11">
      <c s="34" r="A241" t="s">
        <v>588</v>
      </c>
      <c s="35" r="B241" t="s">
        <v>589</v>
      </c>
      <c s="36" r="C241" t="s">
        <v>84</v>
      </c>
      <c s="36" r="D241" t="s">
        <v>590</v>
      </c>
      <c s="36" r="E241" t="s">
        <v>68</v>
      </c>
      <c s="36" r="F241" t="s">
        <v>90</v>
      </c>
      <c s="36" r="G241" t="s">
        <v>29</v>
      </c>
      <c s="36" r="H241" t="s">
        <v>29</v>
      </c>
      <c s="36" r="I241" t="s">
        <v>29</v>
      </c>
      <c s="37" r="J241">
        <f>IF(IFERROR(K241,7)=7,"",RIGHT(K241,LEN(K241)-2)&amp;".")</f>
        <v/>
      </c>
      <c s="36" r="K241">
        <f>IFERROR(__xludf.dummyfunction("CONCATENATE(ArrayFormula(""; ""&amp;QUERY(Hallazgos!A:E,""SELECT B WHERE E CONTAINS '""&amp;B241&amp;""' LABEL B ''"")))"),"#N/A")</f>
        <v/>
      </c>
    </row>
    <row customHeight="1" s="134" r="242" ht="15.75" spans="1:11">
      <c s="34" r="A242" t="s">
        <v>591</v>
      </c>
      <c s="35" r="B242" t="s">
        <v>592</v>
      </c>
      <c s="36" r="C242" t="s">
        <v>84</v>
      </c>
      <c s="36" r="D242" t="s">
        <v>590</v>
      </c>
      <c s="36" r="E242" t="s">
        <v>68</v>
      </c>
      <c s="36" r="F242" t="s">
        <v>90</v>
      </c>
      <c s="36" r="G242" t="s">
        <v>29</v>
      </c>
      <c s="36" r="H242" t="s">
        <v>29</v>
      </c>
      <c s="36" r="I242" t="s">
        <v>29</v>
      </c>
      <c s="37" r="J242">
        <f>IF(IFERROR(K242,7)=7,"",RIGHT(K242,LEN(K242)-2)&amp;".")</f>
        <v/>
      </c>
      <c s="36" r="K242">
        <f>IFERROR(__xludf.dummyfunction("CONCATENATE(ArrayFormula(""; ""&amp;QUERY(Hallazgos!A:E,""SELECT B WHERE E CONTAINS '""&amp;B242&amp;""' LABEL B ''"")))"),"#N/A")</f>
        <v/>
      </c>
    </row>
    <row customHeight="1" s="134" r="243" ht="15.75" spans="1:11">
      <c s="34" r="A243" t="s">
        <v>593</v>
      </c>
      <c s="35" r="B243" t="s">
        <v>594</v>
      </c>
      <c s="36" r="C243" t="s">
        <v>84</v>
      </c>
      <c s="36" r="D243" t="s">
        <v>590</v>
      </c>
      <c s="36" r="E243" t="s">
        <v>68</v>
      </c>
      <c s="36" r="F243" t="s">
        <v>90</v>
      </c>
      <c s="36" r="G243" t="s">
        <v>29</v>
      </c>
      <c s="36" r="H243" t="s">
        <v>29</v>
      </c>
      <c s="36" r="I243" t="s">
        <v>29</v>
      </c>
      <c s="37" r="J243">
        <f>IF(IFERROR(K243,7)=7,"",RIGHT(K243,LEN(K243)-2)&amp;".")</f>
        <v/>
      </c>
      <c s="36" r="K243">
        <f>IFERROR(__xludf.dummyfunction("CONCATENATE(ArrayFormula(""; ""&amp;QUERY(Hallazgos!A:E,""SELECT B WHERE E CONTAINS '""&amp;B243&amp;""' LABEL B ''"")))"),"#N/A")</f>
        <v/>
      </c>
    </row>
    <row customHeight="1" s="134" r="244" ht="15.75" spans="1:11">
      <c s="34" r="A244" t="s">
        <v>595</v>
      </c>
      <c s="35" r="B244" t="s">
        <v>596</v>
      </c>
      <c s="36" r="C244" t="s">
        <v>84</v>
      </c>
      <c s="36" r="D244" t="s">
        <v>590</v>
      </c>
      <c s="36" r="E244" t="s">
        <v>68</v>
      </c>
      <c s="36" r="F244" t="s">
        <v>90</v>
      </c>
      <c s="36" r="G244" t="s">
        <v>29</v>
      </c>
      <c s="36" r="H244" t="s">
        <v>29</v>
      </c>
      <c s="36" r="I244" t="s">
        <v>29</v>
      </c>
      <c s="37" r="J244">
        <f>IF(IFERROR(K244,7)=7,"",RIGHT(K244,LEN(K244)-2)&amp;".")</f>
        <v/>
      </c>
      <c s="36" r="K244">
        <f>IFERROR(__xludf.dummyfunction("CONCATENATE(ArrayFormula(""; ""&amp;QUERY(Hallazgos!A:E,""SELECT B WHERE E CONTAINS '""&amp;B244&amp;""' LABEL B ''"")))"),"#N/A")</f>
        <v/>
      </c>
    </row>
    <row customHeight="1" s="134" r="245" ht="15.75" spans="1:11">
      <c s="34" r="A245" t="s">
        <v>597</v>
      </c>
      <c s="35" r="B245" t="s">
        <v>598</v>
      </c>
      <c s="36" r="C245" t="s">
        <v>66</v>
      </c>
      <c s="36" r="D245" t="s">
        <v>599</v>
      </c>
      <c s="36" r="E245" t="s">
        <v>127</v>
      </c>
      <c s="36" r="F245" t="s">
        <v>101</v>
      </c>
      <c s="36" r="G245" t="s">
        <v>29</v>
      </c>
      <c s="36" r="H245" t="s">
        <v>29</v>
      </c>
      <c s="36" r="I245" t="s">
        <v>29</v>
      </c>
      <c s="37" r="J245">
        <f>IF(IFERROR(K245,7)=7,"",RIGHT(K245,LEN(K245)-2)&amp;".")</f>
        <v/>
      </c>
      <c s="36" r="K245">
        <f>IFERROR(__xludf.dummyfunction("CONCATENATE(ArrayFormula(""; ""&amp;QUERY(Hallazgos!A:E,""SELECT B WHERE E CONTAINS '""&amp;B245&amp;""' LABEL B ''"")))"),"#N/A")</f>
        <v/>
      </c>
    </row>
    <row customHeight="1" s="134" r="246" ht="15.75" spans="1:11">
      <c s="34" r="A246" t="s">
        <v>600</v>
      </c>
      <c s="35" r="B246" t="s">
        <v>601</v>
      </c>
      <c s="36" r="C246" t="s">
        <v>66</v>
      </c>
      <c s="36" r="D246" t="s">
        <v>599</v>
      </c>
      <c s="36" r="E246" t="s">
        <v>127</v>
      </c>
      <c s="36" r="F246" t="s">
        <v>101</v>
      </c>
      <c s="36" r="G246" t="s">
        <v>29</v>
      </c>
      <c s="36" r="H246" t="s">
        <v>29</v>
      </c>
      <c s="36" r="I246" t="s">
        <v>29</v>
      </c>
      <c s="37" r="J246">
        <f>IF(IFERROR(K246,7)=7,"",RIGHT(K246,LEN(K246)-2)&amp;".")</f>
        <v/>
      </c>
      <c s="36" r="K246">
        <f>IFERROR(__xludf.dummyfunction("CONCATENATE(ArrayFormula(""; ""&amp;QUERY(Hallazgos!A:E,""SELECT B WHERE E CONTAINS '""&amp;B246&amp;""' LABEL B ''"")))"),"#N/A")</f>
        <v/>
      </c>
    </row>
    <row customHeight="1" s="134" r="247" ht="15.75" spans="1:11">
      <c s="34" r="A247" t="s">
        <v>602</v>
      </c>
      <c s="35" r="B247" t="s">
        <v>603</v>
      </c>
      <c s="36" r="C247" t="s">
        <v>66</v>
      </c>
      <c s="36" r="D247" t="s">
        <v>599</v>
      </c>
      <c s="36" r="E247" t="s">
        <v>127</v>
      </c>
      <c s="36" r="F247" t="s">
        <v>101</v>
      </c>
      <c s="36" r="G247" t="s">
        <v>29</v>
      </c>
      <c s="36" r="H247" t="s">
        <v>29</v>
      </c>
      <c s="36" r="I247" t="s">
        <v>29</v>
      </c>
      <c s="37" r="J247">
        <f>IF(IFERROR(K247,7)=7,"",RIGHT(K247,LEN(K247)-2)&amp;".")</f>
        <v/>
      </c>
      <c s="36" r="K247">
        <f>IFERROR(__xludf.dummyfunction("CONCATENATE(ArrayFormula(""; ""&amp;QUERY(Hallazgos!A:E,""SELECT B WHERE E CONTAINS '""&amp;B247&amp;""' LABEL B ''"")))"),"#N/A")</f>
        <v/>
      </c>
    </row>
    <row customHeight="1" s="134" r="248" ht="15.75" spans="1:11">
      <c s="34" r="A248" t="s">
        <v>604</v>
      </c>
      <c s="35" r="B248" t="s">
        <v>605</v>
      </c>
      <c s="36" r="C248" t="s">
        <v>66</v>
      </c>
      <c s="36" r="D248" t="s">
        <v>599</v>
      </c>
      <c s="36" r="E248" t="s">
        <v>142</v>
      </c>
      <c s="36" r="F248" t="s">
        <v>101</v>
      </c>
      <c s="36" r="G248" t="s">
        <v>29</v>
      </c>
      <c s="36" r="H248" t="s">
        <v>29</v>
      </c>
      <c s="36" r="I248" t="s">
        <v>29</v>
      </c>
      <c s="37" r="J248">
        <f>IF(IFERROR(K248,7)=7,"",RIGHT(K248,LEN(K248)-2)&amp;".")</f>
        <v/>
      </c>
      <c s="36" r="K248">
        <f>IFERROR(__xludf.dummyfunction("CONCATENATE(ArrayFormula(""; ""&amp;QUERY(Hallazgos!A:E,""SELECT B WHERE E CONTAINS '""&amp;B248&amp;""' LABEL B ''"")))"),"#N/A")</f>
        <v/>
      </c>
    </row>
    <row customHeight="1" s="134" r="249" ht="15.75" spans="1:11">
      <c s="34" r="A249" t="s">
        <v>606</v>
      </c>
      <c s="35" r="B249" t="s">
        <v>607</v>
      </c>
      <c s="36" r="C249" t="s">
        <v>66</v>
      </c>
      <c s="36" r="D249" t="s">
        <v>599</v>
      </c>
      <c s="36" r="E249" t="s">
        <v>118</v>
      </c>
      <c s="36" r="F249" t="s">
        <v>101</v>
      </c>
      <c s="36" r="G249" t="s">
        <v>29</v>
      </c>
      <c s="36" r="H249" t="s">
        <v>29</v>
      </c>
      <c s="36" r="I249" t="s">
        <v>29</v>
      </c>
      <c s="37" r="J249">
        <f>IF(IFERROR(K249,7)=7,"",RIGHT(K249,LEN(K249)-2)&amp;".")</f>
        <v/>
      </c>
      <c s="36" r="K249">
        <f>IFERROR(__xludf.dummyfunction("CONCATENATE(ArrayFormula(""; ""&amp;QUERY(Hallazgos!A:E,""SELECT B WHERE E CONTAINS '""&amp;B249&amp;""' LABEL B ''"")))"),"#N/A")</f>
        <v/>
      </c>
    </row>
    <row customHeight="1" s="134" r="250" ht="15.75" spans="1:11">
      <c s="34" r="A250" t="s">
        <v>608</v>
      </c>
      <c s="35" r="B250" t="s">
        <v>609</v>
      </c>
      <c s="36" r="C250" t="s">
        <v>66</v>
      </c>
      <c s="36" r="D250" t="s">
        <v>599</v>
      </c>
      <c s="36" r="E250" t="s">
        <v>68</v>
      </c>
      <c s="36" r="F250" t="s">
        <v>101</v>
      </c>
      <c s="36" r="G250" t="s">
        <v>29</v>
      </c>
      <c s="36" r="H250" t="s">
        <v>29</v>
      </c>
      <c s="36" r="I250" t="s">
        <v>29</v>
      </c>
      <c s="37" r="J250">
        <f>IF(IFERROR(K250,7)=7,"",RIGHT(K250,LEN(K250)-2)&amp;".")</f>
        <v/>
      </c>
      <c s="36" r="K250">
        <f>IFERROR(__xludf.dummyfunction("CONCATENATE(ArrayFormula(""; ""&amp;QUERY(Hallazgos!A:E,""SELECT B WHERE E CONTAINS '""&amp;B250&amp;""' LABEL B ''"")))"),"#N/A")</f>
        <v/>
      </c>
    </row>
    <row customHeight="1" s="134" r="251" ht="15.75" spans="1:11">
      <c s="34" r="A251" t="s">
        <v>610</v>
      </c>
      <c s="35" r="B251" t="s">
        <v>611</v>
      </c>
      <c s="36" r="C251" t="s">
        <v>66</v>
      </c>
      <c s="36" r="D251" t="s">
        <v>599</v>
      </c>
      <c s="36" r="E251" t="s">
        <v>134</v>
      </c>
      <c s="36" r="F251" t="s">
        <v>101</v>
      </c>
      <c s="36" r="G251" t="s">
        <v>29</v>
      </c>
      <c s="36" r="H251" t="s">
        <v>29</v>
      </c>
      <c s="36" r="I251" t="s">
        <v>29</v>
      </c>
      <c s="37" r="J251">
        <f>IF(IFERROR(K251,7)=7,"",RIGHT(K251,LEN(K251)-2)&amp;".")</f>
        <v/>
      </c>
      <c s="36" r="K251">
        <f>IFERROR(__xludf.dummyfunction("CONCATENATE(ArrayFormula(""; ""&amp;QUERY(Hallazgos!A:E,""SELECT B WHERE E CONTAINS '""&amp;B251&amp;""' LABEL B ''"")))"),"#N/A")</f>
        <v/>
      </c>
    </row>
    <row customHeight="1" s="134" r="252" ht="15.75" spans="1:11">
      <c s="34" r="A252" t="s">
        <v>612</v>
      </c>
      <c s="35" r="B252" t="s">
        <v>613</v>
      </c>
      <c s="36" r="C252" t="s">
        <v>66</v>
      </c>
      <c s="36" r="D252" t="s">
        <v>599</v>
      </c>
      <c s="36" r="E252" t="s">
        <v>127</v>
      </c>
      <c s="36" r="F252" t="s">
        <v>101</v>
      </c>
      <c s="36" r="G252" t="s">
        <v>29</v>
      </c>
      <c s="36" r="H252" t="s">
        <v>29</v>
      </c>
      <c s="36" r="I252" t="s">
        <v>29</v>
      </c>
      <c s="37" r="J252">
        <f>IF(IFERROR(K252,7)=7,"",RIGHT(K252,LEN(K252)-2)&amp;".")</f>
        <v/>
      </c>
      <c s="36" r="K252">
        <f>IFERROR(__xludf.dummyfunction("CONCATENATE(ArrayFormula(""; ""&amp;QUERY(Hallazgos!A:E,""SELECT B WHERE E CONTAINS '""&amp;B252&amp;""' LABEL B ''"")))"),"#N/A")</f>
        <v/>
      </c>
    </row>
    <row customHeight="1" s="134" r="253" ht="15.75" spans="1:11">
      <c s="34" r="A253" t="s">
        <v>614</v>
      </c>
      <c s="35" r="B253" t="s">
        <v>615</v>
      </c>
      <c s="36" r="C253" t="s">
        <v>66</v>
      </c>
      <c s="36" r="D253" t="s">
        <v>616</v>
      </c>
      <c s="36" r="E253" t="s">
        <v>118</v>
      </c>
      <c s="36" r="F253" t="s">
        <v>101</v>
      </c>
      <c s="36" r="G253" t="s">
        <v>29</v>
      </c>
      <c s="36" r="H253" t="s">
        <v>29</v>
      </c>
      <c s="36" r="I253" t="s">
        <v>29</v>
      </c>
      <c s="37" r="J253">
        <f>IF(IFERROR(K253,7)=7,"",RIGHT(K253,LEN(K253)-2)&amp;".")</f>
        <v/>
      </c>
      <c s="36" r="K253">
        <f>IFERROR(__xludf.dummyfunction("CONCATENATE(ArrayFormula(""; ""&amp;QUERY(Hallazgos!A:E,""SELECT B WHERE E CONTAINS '""&amp;B253&amp;""' LABEL B ''"")))"),"#N/A")</f>
        <v/>
      </c>
    </row>
    <row customHeight="1" s="134" r="254" ht="15.75" spans="1:11">
      <c s="34" r="A254" t="s">
        <v>617</v>
      </c>
      <c s="35" r="B254" t="s">
        <v>618</v>
      </c>
      <c s="36" r="C254" t="s">
        <v>66</v>
      </c>
      <c s="36" r="D254" t="s">
        <v>616</v>
      </c>
      <c s="36" r="E254" t="s">
        <v>118</v>
      </c>
      <c s="36" r="F254" t="s">
        <v>101</v>
      </c>
      <c s="36" r="G254" t="s">
        <v>29</v>
      </c>
      <c s="36" r="H254" t="s">
        <v>29</v>
      </c>
      <c s="36" r="I254" t="s">
        <v>29</v>
      </c>
      <c s="37" r="J254">
        <f>IF(IFERROR(K254,7)=7,"",RIGHT(K254,LEN(K254)-2)&amp;".")</f>
        <v/>
      </c>
      <c s="36" r="K254">
        <f>IFERROR(__xludf.dummyfunction("CONCATENATE(ArrayFormula(""; ""&amp;QUERY(Hallazgos!A:E,""SELECT B WHERE E CONTAINS '""&amp;B254&amp;""' LABEL B ''"")))"),"#N/A")</f>
        <v/>
      </c>
    </row>
    <row customHeight="1" s="134" r="255" ht="15.75" spans="1:11">
      <c s="34" r="A255" t="s">
        <v>619</v>
      </c>
      <c s="35" r="B255" t="s">
        <v>620</v>
      </c>
      <c s="36" r="C255" t="s">
        <v>84</v>
      </c>
      <c s="36" r="D255" t="s">
        <v>616</v>
      </c>
      <c s="36" r="E255" t="s">
        <v>142</v>
      </c>
      <c s="36" r="F255" t="s">
        <v>101</v>
      </c>
      <c s="36" r="G255" t="s">
        <v>29</v>
      </c>
      <c s="36" r="H255" t="s">
        <v>29</v>
      </c>
      <c s="36" r="I255" t="s">
        <v>29</v>
      </c>
      <c s="37" r="J255">
        <f>IF(IFERROR(K255,7)=7,"",RIGHT(K255,LEN(K255)-2)&amp;".")</f>
        <v/>
      </c>
      <c s="36" r="K255">
        <f>IFERROR(__xludf.dummyfunction("CONCATENATE(ArrayFormula(""; ""&amp;QUERY(Hallazgos!A:E,""SELECT B WHERE E CONTAINS '""&amp;B255&amp;""' LABEL B ''"")))"),"#N/A")</f>
        <v/>
      </c>
    </row>
    <row customHeight="1" s="134" r="256" ht="15.75" spans="1:11">
      <c s="34" r="A256" t="s">
        <v>621</v>
      </c>
      <c s="35" r="B256" t="s">
        <v>622</v>
      </c>
      <c s="36" r="C256" t="s">
        <v>84</v>
      </c>
      <c s="36" r="D256" t="s">
        <v>616</v>
      </c>
      <c s="36" r="E256" t="s">
        <v>100</v>
      </c>
      <c s="36" r="F256" t="s">
        <v>101</v>
      </c>
      <c s="36" r="G256" t="s">
        <v>29</v>
      </c>
      <c s="36" r="H256" t="s">
        <v>29</v>
      </c>
      <c s="36" r="I256" t="s">
        <v>29</v>
      </c>
      <c s="37" r="J256">
        <f>IF(IFERROR(K256,7)=7,"",RIGHT(K256,LEN(K256)-2)&amp;".")</f>
        <v/>
      </c>
      <c s="36" r="K256">
        <f>IFERROR(__xludf.dummyfunction("CONCATENATE(ArrayFormula(""; ""&amp;QUERY(Hallazgos!A:E,""SELECT B WHERE E CONTAINS '""&amp;B256&amp;""' LABEL B ''"")))"),"#N/A")</f>
        <v/>
      </c>
    </row>
    <row customHeight="1" s="134" r="257" ht="15.75" spans="1:11">
      <c s="34" r="A257" t="s">
        <v>623</v>
      </c>
      <c s="35" r="B257" t="s">
        <v>624</v>
      </c>
      <c s="36" r="C257" t="s">
        <v>66</v>
      </c>
      <c s="36" r="D257" t="s">
        <v>616</v>
      </c>
      <c s="36" r="E257" t="s">
        <v>226</v>
      </c>
      <c s="36" r="F257" t="s">
        <v>101</v>
      </c>
      <c s="36" r="G257" t="s">
        <v>29</v>
      </c>
      <c s="36" r="H257" t="s">
        <v>29</v>
      </c>
      <c s="36" r="I257" t="s">
        <v>29</v>
      </c>
      <c s="37" r="J257">
        <f>IF(IFERROR(K257,7)=7,"",RIGHT(K257,LEN(K257)-2)&amp;".")</f>
        <v/>
      </c>
      <c s="36" r="K257">
        <f>IFERROR(__xludf.dummyfunction("CONCATENATE(ArrayFormula(""; ""&amp;QUERY(Hallazgos!A:E,""SELECT B WHERE E CONTAINS '""&amp;B257&amp;""' LABEL B ''"")))"),"#N/A")</f>
        <v/>
      </c>
    </row>
    <row customHeight="1" s="134" r="258" ht="15.75" spans="1:11">
      <c s="34" r="A258" t="s">
        <v>625</v>
      </c>
      <c s="35" r="B258" t="s">
        <v>626</v>
      </c>
      <c s="36" r="C258" t="s">
        <v>84</v>
      </c>
      <c s="36" r="D258" t="s">
        <v>627</v>
      </c>
      <c s="36" r="E258" t="s">
        <v>127</v>
      </c>
      <c s="36" r="F258" t="s">
        <v>101</v>
      </c>
      <c s="36" r="G258" t="s">
        <v>29</v>
      </c>
      <c s="36" r="H258" t="s">
        <v>29</v>
      </c>
      <c s="36" r="I258" t="s">
        <v>29</v>
      </c>
      <c s="37" r="J258">
        <f>IF(IFERROR(K258,7)=7,"",RIGHT(K258,LEN(K258)-2)&amp;".")</f>
        <v/>
      </c>
      <c s="36" r="K258">
        <f>IFERROR(__xludf.dummyfunction("CONCATENATE(ArrayFormula(""; ""&amp;QUERY(Hallazgos!A:E,""SELECT B WHERE E CONTAINS '""&amp;B258&amp;""' LABEL B ''"")))"),"#N/A")</f>
        <v/>
      </c>
    </row>
    <row customHeight="1" s="134" r="259" ht="15.75" spans="1:11">
      <c s="34" r="A259" t="s">
        <v>628</v>
      </c>
      <c s="35" r="B259" t="s">
        <v>629</v>
      </c>
      <c s="36" r="C259" t="s">
        <v>84</v>
      </c>
      <c s="36" r="D259" t="s">
        <v>627</v>
      </c>
      <c s="36" r="E259" t="s">
        <v>127</v>
      </c>
      <c s="36" r="F259" t="s">
        <v>101</v>
      </c>
      <c s="36" r="G259" t="s">
        <v>29</v>
      </c>
      <c s="36" r="H259" t="s">
        <v>29</v>
      </c>
      <c s="36" r="I259" t="s">
        <v>29</v>
      </c>
      <c s="37" r="J259">
        <f>IF(IFERROR(K259,7)=7,"",RIGHT(K259,LEN(K259)-2)&amp;".")</f>
        <v/>
      </c>
      <c s="36" r="K259">
        <f>IFERROR(__xludf.dummyfunction("CONCATENATE(ArrayFormula(""; ""&amp;QUERY(Hallazgos!A:E,""SELECT B WHERE E CONTAINS '""&amp;B259&amp;""' LABEL B ''"")))"),"#N/A")</f>
        <v/>
      </c>
    </row>
    <row customHeight="1" s="134" r="260" ht="15.75" spans="1:11">
      <c s="34" r="A260" t="s">
        <v>630</v>
      </c>
      <c s="35" r="B260" t="s">
        <v>631</v>
      </c>
      <c s="36" r="C260" t="s">
        <v>87</v>
      </c>
      <c s="36" r="D260" t="s">
        <v>632</v>
      </c>
      <c s="36" r="E260" t="s">
        <v>226</v>
      </c>
      <c s="36" r="F260" t="s">
        <v>101</v>
      </c>
      <c s="36" r="G260" t="s">
        <v>29</v>
      </c>
      <c s="36" r="H260" t="s">
        <v>29</v>
      </c>
      <c s="36" r="I260" t="s">
        <v>29</v>
      </c>
      <c s="37" r="J260">
        <f>IF(IFERROR(K260,7)=7,"",RIGHT(K260,LEN(K260)-2)&amp;".")</f>
        <v/>
      </c>
      <c s="36" r="K260">
        <f>IFERROR(__xludf.dummyfunction("CONCATENATE(ArrayFormula(""; ""&amp;QUERY(Hallazgos!A:E,""SELECT B WHERE E CONTAINS '""&amp;B260&amp;""' LABEL B ''"")))"),"#N/A")</f>
        <v/>
      </c>
    </row>
    <row customHeight="1" s="134" r="261" ht="15.75" spans="1:11">
      <c s="34" r="A261" t="s">
        <v>633</v>
      </c>
      <c s="35" r="B261" t="s">
        <v>634</v>
      </c>
      <c s="36" r="C261" t="s">
        <v>87</v>
      </c>
      <c s="36" r="D261" t="s">
        <v>632</v>
      </c>
      <c s="36" r="E261" t="s">
        <v>142</v>
      </c>
      <c s="36" r="F261" t="s">
        <v>101</v>
      </c>
      <c s="36" r="G261" t="s">
        <v>29</v>
      </c>
      <c s="36" r="H261" t="s">
        <v>29</v>
      </c>
      <c s="36" r="I261" t="s">
        <v>29</v>
      </c>
      <c s="37" r="J261">
        <f>IF(IFERROR(K261,7)=7,"",RIGHT(K261,LEN(K261)-2)&amp;".")</f>
        <v/>
      </c>
      <c s="36" r="K261">
        <f>IFERROR(__xludf.dummyfunction("CONCATENATE(ArrayFormula(""; ""&amp;QUERY(Hallazgos!A:E,""SELECT B WHERE E CONTAINS '""&amp;B261&amp;""' LABEL B ''"")))"),"; Vulnerabilidad 4")</f>
        <v/>
      </c>
    </row>
    <row customHeight="1" s="134" r="262" ht="15.75" spans="1:11">
      <c s="34" r="A262" t="s">
        <v>635</v>
      </c>
      <c s="35" r="B262" t="s">
        <v>636</v>
      </c>
      <c s="36" r="C262" t="s">
        <v>87</v>
      </c>
      <c s="36" r="D262" t="s">
        <v>632</v>
      </c>
      <c s="36" r="E262" t="s">
        <v>142</v>
      </c>
      <c s="36" r="F262" t="s">
        <v>101</v>
      </c>
      <c s="36" r="G262" t="s">
        <v>29</v>
      </c>
      <c s="36" r="H262" t="s">
        <v>29</v>
      </c>
      <c s="36" r="I262" t="s">
        <v>29</v>
      </c>
      <c s="37" r="J262">
        <f>IF(IFERROR(K262,7)=7,"",RIGHT(K262,LEN(K262)-2)&amp;".")</f>
        <v/>
      </c>
      <c s="36" r="K262">
        <f>IFERROR(__xludf.dummyfunction("CONCATENATE(ArrayFormula(""; ""&amp;QUERY(Hallazgos!A:E,""SELECT B WHERE E CONTAINS '""&amp;B262&amp;""' LABEL B ''"")))"),"#N/A")</f>
        <v/>
      </c>
    </row>
    <row customHeight="1" s="134" r="263" ht="15.75" spans="1:11">
      <c s="34" r="A263" t="s">
        <v>637</v>
      </c>
      <c s="35" r="B263" t="s">
        <v>638</v>
      </c>
      <c s="36" r="C263" t="s">
        <v>84</v>
      </c>
      <c s="36" r="D263" t="s">
        <v>632</v>
      </c>
      <c s="36" r="E263" t="s">
        <v>160</v>
      </c>
      <c s="36" r="F263" t="s">
        <v>101</v>
      </c>
      <c s="36" r="G263" t="s">
        <v>29</v>
      </c>
      <c s="36" r="H263" t="s">
        <v>29</v>
      </c>
      <c s="36" r="I263" t="s">
        <v>29</v>
      </c>
      <c s="37" r="J263">
        <f>IF(IFERROR(K263,7)=7,"",RIGHT(K263,LEN(K263)-2)&amp;".")</f>
        <v/>
      </c>
      <c s="36" r="K263">
        <f>IFERROR(__xludf.dummyfunction("CONCATENATE(ArrayFormula(""; ""&amp;QUERY(Hallazgos!A:E,""SELECT B WHERE E CONTAINS '""&amp;B263&amp;""' LABEL B ''"")))"),"#N/A")</f>
        <v/>
      </c>
    </row>
    <row customHeight="1" s="134" r="264" ht="15.75" spans="1:11">
      <c s="34" r="A264" t="s">
        <v>639</v>
      </c>
      <c s="35" r="B264" t="s">
        <v>640</v>
      </c>
      <c s="36" r="C264" t="s">
        <v>84</v>
      </c>
      <c s="36" r="D264" t="s">
        <v>632</v>
      </c>
      <c s="36" r="E264" t="s">
        <v>160</v>
      </c>
      <c s="36" r="F264" t="s">
        <v>101</v>
      </c>
      <c s="36" r="G264" t="s">
        <v>29</v>
      </c>
      <c s="36" r="H264" t="s">
        <v>29</v>
      </c>
      <c s="36" r="I264" t="s">
        <v>29</v>
      </c>
      <c s="37" r="J264">
        <f>IF(IFERROR(K264,7)=7,"",RIGHT(K264,LEN(K264)-2)&amp;".")</f>
        <v/>
      </c>
      <c s="36" r="K264">
        <f>IFERROR(__xludf.dummyfunction("CONCATENATE(ArrayFormula(""; ""&amp;QUERY(Hallazgos!A:E,""SELECT B WHERE E CONTAINS '""&amp;B264&amp;""' LABEL B ''"")))"),"#N/A")</f>
        <v/>
      </c>
    </row>
    <row customHeight="1" s="134" r="265" ht="15.75" spans="1:11">
      <c s="34" r="A265" t="s">
        <v>641</v>
      </c>
      <c s="35" r="B265" t="s">
        <v>642</v>
      </c>
      <c s="36" r="C265" t="s">
        <v>66</v>
      </c>
      <c s="36" r="D265" t="s">
        <v>643</v>
      </c>
      <c s="36" r="E265" t="s">
        <v>134</v>
      </c>
      <c s="36" r="F265" t="s">
        <v>101</v>
      </c>
      <c s="36" r="G265" t="s">
        <v>29</v>
      </c>
      <c s="36" r="H265" t="s">
        <v>29</v>
      </c>
      <c s="36" r="I265" t="s">
        <v>29</v>
      </c>
      <c s="37" r="J265">
        <f>IF(IFERROR(K265,7)=7,"",RIGHT(K265,LEN(K265)-2)&amp;".")</f>
        <v/>
      </c>
      <c s="36" r="K265">
        <f>IFERROR(__xludf.dummyfunction("CONCATENATE(ArrayFormula(""; ""&amp;QUERY(Hallazgos!A:E,""SELECT B WHERE E CONTAINS '""&amp;B265&amp;""' LABEL B ''"")))"),"#N/A")</f>
        <v/>
      </c>
    </row>
    <row customHeight="1" s="134" r="266" ht="15.75" spans="1:11">
      <c s="34" r="A266" t="s">
        <v>644</v>
      </c>
      <c s="35" r="B266" t="s">
        <v>645</v>
      </c>
      <c s="36" r="C266" t="s">
        <v>66</v>
      </c>
      <c s="36" r="D266" t="s">
        <v>643</v>
      </c>
      <c s="36" r="E266" t="s">
        <v>160</v>
      </c>
      <c s="36" r="F266" t="s">
        <v>101</v>
      </c>
      <c s="36" r="G266" t="s">
        <v>29</v>
      </c>
      <c s="36" r="H266" t="s">
        <v>29</v>
      </c>
      <c s="36" r="I266" t="s">
        <v>29</v>
      </c>
      <c s="37" r="J266">
        <f>IF(IFERROR(K266,7)=7,"",RIGHT(K266,LEN(K266)-2)&amp;".")</f>
        <v/>
      </c>
      <c s="36" r="K266">
        <f>IFERROR(__xludf.dummyfunction("CONCATENATE(ArrayFormula(""; ""&amp;QUERY(Hallazgos!A:E,""SELECT B WHERE E CONTAINS '""&amp;B266&amp;""' LABEL B ''"")))"),"#N/A")</f>
        <v/>
      </c>
    </row>
    <row customHeight="1" s="134" r="267" ht="15.75" spans="1:11">
      <c s="34" r="A267" t="s">
        <v>646</v>
      </c>
      <c s="35" r="B267" t="s">
        <v>647</v>
      </c>
      <c s="36" r="C267" t="s">
        <v>66</v>
      </c>
      <c s="36" r="D267" t="s">
        <v>643</v>
      </c>
      <c s="36" r="E267" t="s">
        <v>100</v>
      </c>
      <c s="36" r="F267" t="s">
        <v>101</v>
      </c>
      <c s="36" r="G267" t="s">
        <v>29</v>
      </c>
      <c s="36" r="H267" t="s">
        <v>29</v>
      </c>
      <c s="36" r="I267" t="s">
        <v>29</v>
      </c>
      <c s="37" r="J267">
        <f>IF(IFERROR(K267,7)=7,"",RIGHT(K267,LEN(K267)-2)&amp;".")</f>
        <v/>
      </c>
      <c s="36" r="K267">
        <f>IFERROR(__xludf.dummyfunction("CONCATENATE(ArrayFormula(""; ""&amp;QUERY(Hallazgos!A:E,""SELECT B WHERE E CONTAINS '""&amp;B267&amp;""' LABEL B ''"")))"),"#N/A")</f>
        <v/>
      </c>
    </row>
    <row customHeight="1" s="134" r="268" ht="15.75" spans="1:11">
      <c s="34" r="A268" t="s">
        <v>648</v>
      </c>
      <c s="35" r="B268" t="s">
        <v>649</v>
      </c>
      <c s="36" r="C268" t="s">
        <v>87</v>
      </c>
      <c s="36" r="D268" t="s">
        <v>643</v>
      </c>
      <c s="36" r="E268" t="s">
        <v>226</v>
      </c>
      <c s="36" r="F268" t="s">
        <v>101</v>
      </c>
      <c s="36" r="G268" t="s">
        <v>29</v>
      </c>
      <c s="36" r="H268" t="s">
        <v>29</v>
      </c>
      <c s="36" r="I268" t="s">
        <v>29</v>
      </c>
      <c s="37" r="J268">
        <f>IF(IFERROR(K268,7)=7,"",RIGHT(K268,LEN(K268)-2)&amp;".")</f>
        <v/>
      </c>
      <c s="36" r="K268">
        <f>IFERROR(__xludf.dummyfunction("CONCATENATE(ArrayFormula(""; ""&amp;QUERY(Hallazgos!A:E,""SELECT B WHERE E CONTAINS '""&amp;B268&amp;""' LABEL B ''"")))"),"#N/A")</f>
        <v/>
      </c>
    </row>
    <row customHeight="1" s="134" r="269" ht="15.75" spans="1:11">
      <c s="34" r="A269" t="s">
        <v>650</v>
      </c>
      <c s="35" r="B269" t="s">
        <v>651</v>
      </c>
      <c s="36" r="C269" t="s">
        <v>66</v>
      </c>
      <c s="36" r="D269" t="s">
        <v>643</v>
      </c>
      <c s="36" r="E269" t="s">
        <v>226</v>
      </c>
      <c s="36" r="F269" t="s">
        <v>101</v>
      </c>
      <c s="36" r="G269" t="s">
        <v>29</v>
      </c>
      <c s="36" r="H269" t="s">
        <v>29</v>
      </c>
      <c s="36" r="I269" t="s">
        <v>29</v>
      </c>
      <c s="37" r="J269">
        <f>IF(IFERROR(K269,7)=7,"",RIGHT(K269,LEN(K269)-2)&amp;".")</f>
        <v/>
      </c>
      <c s="36" r="K269">
        <f>IFERROR(__xludf.dummyfunction("CONCATENATE(ArrayFormula(""; ""&amp;QUERY(Hallazgos!A:E,""SELECT B WHERE E CONTAINS '""&amp;B269&amp;""' LABEL B ''"")))"),"#N/A")</f>
        <v/>
      </c>
    </row>
    <row customHeight="1" s="134" r="270" ht="15.75" spans="1:11">
      <c s="34" r="A270" t="s">
        <v>652</v>
      </c>
      <c s="35" r="B270" t="s">
        <v>653</v>
      </c>
      <c s="36" r="C270" t="s">
        <v>66</v>
      </c>
      <c s="36" r="D270" t="s">
        <v>643</v>
      </c>
      <c s="36" r="E270" t="s">
        <v>68</v>
      </c>
      <c s="36" r="F270" t="s">
        <v>101</v>
      </c>
      <c s="36" r="G270" t="s">
        <v>29</v>
      </c>
      <c s="36" r="H270" t="s">
        <v>29</v>
      </c>
      <c s="36" r="I270" t="s">
        <v>29</v>
      </c>
      <c s="37" r="J270">
        <f>IF(IFERROR(K270,7)=7,"",RIGHT(K270,LEN(K270)-2)&amp;".")</f>
        <v/>
      </c>
      <c s="36" r="K270">
        <f>IFERROR(__xludf.dummyfunction("CONCATENATE(ArrayFormula(""; ""&amp;QUERY(Hallazgos!A:E,""SELECT B WHERE E CONTAINS '""&amp;B270&amp;""' LABEL B ''"")))"),"#N/A")</f>
        <v/>
      </c>
    </row>
    <row customHeight="1" s="134" r="271" ht="15.75" spans="1:11">
      <c s="34" r="A271" t="s">
        <v>654</v>
      </c>
      <c s="35" r="B271" t="s">
        <v>655</v>
      </c>
      <c s="36" r="C271" t="s">
        <v>84</v>
      </c>
      <c s="36" r="D271" t="s">
        <v>643</v>
      </c>
      <c s="36" r="E271" t="s">
        <v>68</v>
      </c>
      <c s="36" r="F271" t="s">
        <v>101</v>
      </c>
      <c s="36" r="G271" t="s">
        <v>29</v>
      </c>
      <c s="36" r="H271" t="s">
        <v>29</v>
      </c>
      <c s="36" r="I271" t="s">
        <v>29</v>
      </c>
      <c s="37" r="J271">
        <f>IF(IFERROR(K271,7)=7,"",RIGHT(K271,LEN(K271)-2)&amp;".")</f>
        <v/>
      </c>
      <c s="36" r="K271">
        <f>IFERROR(__xludf.dummyfunction("CONCATENATE(ArrayFormula(""; ""&amp;QUERY(Hallazgos!A:E,""SELECT B WHERE E CONTAINS '""&amp;B271&amp;""' LABEL B ''"")))"),"#N/A")</f>
        <v/>
      </c>
    </row>
    <row customHeight="1" s="134" r="272" ht="15.75" spans="1:11">
      <c s="34" r="A272" t="s">
        <v>656</v>
      </c>
      <c s="35" r="B272" t="s">
        <v>657</v>
      </c>
      <c s="36" r="C272" t="s">
        <v>66</v>
      </c>
      <c s="36" r="D272" t="s">
        <v>643</v>
      </c>
      <c s="36" r="E272" t="s">
        <v>226</v>
      </c>
      <c s="36" r="F272" t="s">
        <v>101</v>
      </c>
      <c s="36" r="G272" t="s">
        <v>29</v>
      </c>
      <c s="36" r="H272" t="s">
        <v>29</v>
      </c>
      <c s="36" r="I272" t="s">
        <v>29</v>
      </c>
      <c s="37" r="J272">
        <f>IF(IFERROR(K272,7)=7,"",RIGHT(K272,LEN(K272)-2)&amp;".")</f>
        <v/>
      </c>
      <c s="36" r="K272">
        <f>IFERROR(__xludf.dummyfunction("CONCATENATE(ArrayFormula(""; ""&amp;QUERY(Hallazgos!A:E,""SELECT B WHERE E CONTAINS '""&amp;B272&amp;""' LABEL B ''"")))"),"#N/A")</f>
        <v/>
      </c>
    </row>
    <row customHeight="1" s="134" r="273" ht="15.75" spans="1:11">
      <c s="34" r="A273" t="s">
        <v>658</v>
      </c>
      <c s="35" r="B273" t="s">
        <v>659</v>
      </c>
      <c s="36" r="C273" t="s">
        <v>66</v>
      </c>
      <c s="36" r="D273" t="s">
        <v>643</v>
      </c>
      <c s="36" r="E273" t="s">
        <v>226</v>
      </c>
      <c s="36" r="F273" t="s">
        <v>101</v>
      </c>
      <c s="36" r="G273" t="s">
        <v>29</v>
      </c>
      <c s="36" r="H273" t="s">
        <v>29</v>
      </c>
      <c s="36" r="I273" t="s">
        <v>29</v>
      </c>
      <c s="37" r="J273">
        <f>IF(IFERROR(K273,7)=7,"",RIGHT(K273,LEN(K273)-2)&amp;".")</f>
        <v/>
      </c>
      <c s="36" r="K273">
        <f>IFERROR(__xludf.dummyfunction("CONCATENATE(ArrayFormula(""; ""&amp;QUERY(Hallazgos!A:E,""SELECT B WHERE E CONTAINS '""&amp;B273&amp;""' LABEL B ''"")))"),"#N/A")</f>
        <v/>
      </c>
    </row>
    <row customHeight="1" s="134" r="274" ht="15.75" spans="1:11">
      <c s="34" r="A274" t="s">
        <v>660</v>
      </c>
      <c s="35" r="B274" t="s">
        <v>661</v>
      </c>
      <c s="36" r="C274" t="s">
        <v>66</v>
      </c>
      <c s="36" r="D274" t="s">
        <v>643</v>
      </c>
      <c s="36" r="E274" t="s">
        <v>127</v>
      </c>
      <c s="36" r="F274" t="s">
        <v>101</v>
      </c>
      <c s="36" r="G274" t="s">
        <v>29</v>
      </c>
      <c s="36" r="H274" t="s">
        <v>29</v>
      </c>
      <c s="36" r="I274" t="s">
        <v>29</v>
      </c>
      <c s="37" r="J274">
        <f>IF(IFERROR(K274,7)=7,"",RIGHT(K274,LEN(K274)-2)&amp;".")</f>
        <v/>
      </c>
      <c s="36" r="K274">
        <f>IFERROR(__xludf.dummyfunction("CONCATENATE(ArrayFormula(""; ""&amp;QUERY(Hallazgos!A:E,""SELECT B WHERE E CONTAINS '""&amp;B274&amp;""' LABEL B ''"")))"),"#N/A")</f>
        <v/>
      </c>
    </row>
    <row customHeight="1" s="134" r="275" ht="15.75" spans="1:11">
      <c s="34" r="A275" t="s">
        <v>662</v>
      </c>
      <c s="35" r="B275" t="s">
        <v>663</v>
      </c>
      <c s="36" r="C275" t="s">
        <v>66</v>
      </c>
      <c s="36" r="D275" t="s">
        <v>643</v>
      </c>
      <c s="36" r="E275" t="s">
        <v>142</v>
      </c>
      <c s="36" r="F275" t="s">
        <v>101</v>
      </c>
      <c s="36" r="G275" t="s">
        <v>29</v>
      </c>
      <c s="36" r="H275" t="s">
        <v>29</v>
      </c>
      <c s="36" r="I275" t="s">
        <v>29</v>
      </c>
      <c s="37" r="J275">
        <f>IF(IFERROR(K275,7)=7,"",RIGHT(K275,LEN(K275)-2)&amp;".")</f>
        <v/>
      </c>
      <c s="36" r="K275">
        <f>IFERROR(__xludf.dummyfunction("CONCATENATE(ArrayFormula(""; ""&amp;QUERY(Hallazgos!A:E,""SELECT B WHERE E CONTAINS '""&amp;B275&amp;""' LABEL B ''"")))"),"#N/A")</f>
        <v/>
      </c>
    </row>
    <row customHeight="1" s="134" r="276" ht="15.75" spans="1:11">
      <c s="34" r="A276" t="s">
        <v>664</v>
      </c>
      <c s="35" r="B276" t="s">
        <v>665</v>
      </c>
      <c s="36" r="C276" t="s">
        <v>66</v>
      </c>
      <c s="36" r="D276" t="s">
        <v>643</v>
      </c>
      <c s="36" r="E276" t="s">
        <v>142</v>
      </c>
      <c s="36" r="F276" t="s">
        <v>101</v>
      </c>
      <c s="36" r="G276" t="s">
        <v>29</v>
      </c>
      <c s="36" r="H276" t="s">
        <v>29</v>
      </c>
      <c s="36" r="I276" t="s">
        <v>29</v>
      </c>
      <c s="37" r="J276">
        <f>IF(IFERROR(K276,7)=7,"",RIGHT(K276,LEN(K276)-2)&amp;".")</f>
        <v/>
      </c>
      <c s="36" r="K276">
        <f>IFERROR(__xludf.dummyfunction("CONCATENATE(ArrayFormula(""; ""&amp;QUERY(Hallazgos!A:E,""SELECT B WHERE E CONTAINS '""&amp;B276&amp;""' LABEL B ''"")))"),"#N/A")</f>
        <v/>
      </c>
    </row>
    <row customHeight="1" s="134" r="277" ht="15.75" spans="1:11">
      <c s="34" r="A277" t="s">
        <v>666</v>
      </c>
      <c s="35" r="B277" t="s">
        <v>667</v>
      </c>
      <c s="36" r="C277" t="s">
        <v>66</v>
      </c>
      <c s="36" r="D277" t="s">
        <v>643</v>
      </c>
      <c s="36" r="E277" t="s">
        <v>122</v>
      </c>
      <c s="36" r="F277" t="s">
        <v>148</v>
      </c>
      <c s="36" r="G277" t="s">
        <v>29</v>
      </c>
      <c s="36" r="H277" t="s">
        <v>29</v>
      </c>
      <c s="36" r="I277" t="s">
        <v>29</v>
      </c>
      <c s="37" r="J277">
        <f>IF(IFERROR(K277,7)=7,"",RIGHT(K277,LEN(K277)-2)&amp;".")</f>
        <v/>
      </c>
      <c s="36" r="K277">
        <f>IFERROR(__xludf.dummyfunction("CONCATENATE(ArrayFormula(""; ""&amp;QUERY(Hallazgos!A:E,""SELECT B WHERE E CONTAINS '""&amp;B277&amp;""' LABEL B ''"")))"),"#N/A")</f>
        <v/>
      </c>
    </row>
    <row customHeight="1" s="134" r="278" ht="15.75" spans="1:11">
      <c s="34" r="A278" t="s">
        <v>668</v>
      </c>
      <c s="35" r="B278" t="s">
        <v>669</v>
      </c>
      <c s="36" r="C278" t="s">
        <v>66</v>
      </c>
      <c s="36" r="D278" t="s">
        <v>643</v>
      </c>
      <c s="36" r="E278" t="s">
        <v>122</v>
      </c>
      <c s="36" r="F278" t="s">
        <v>148</v>
      </c>
      <c s="36" r="G278" t="s">
        <v>29</v>
      </c>
      <c s="36" r="H278" t="s">
        <v>29</v>
      </c>
      <c s="36" r="I278" t="s">
        <v>29</v>
      </c>
      <c s="37" r="J278">
        <f>IF(IFERROR(K278,7)=7,"",RIGHT(K278,LEN(K278)-2)&amp;".")</f>
        <v/>
      </c>
      <c s="36" r="K278">
        <f>IFERROR(__xludf.dummyfunction("CONCATENATE(ArrayFormula(""; ""&amp;QUERY(Hallazgos!A:E,""SELECT B WHERE E CONTAINS '""&amp;B278&amp;""' LABEL B ''"")))"),"#N/A")</f>
        <v/>
      </c>
    </row>
    <row customHeight="1" s="134" r="279" ht="15.75" spans="1:11">
      <c s="34" r="A279" t="s">
        <v>670</v>
      </c>
      <c s="35" r="B279" t="s">
        <v>671</v>
      </c>
      <c s="36" r="C279" t="s">
        <v>87</v>
      </c>
      <c s="36" r="D279" t="s">
        <v>643</v>
      </c>
      <c s="36" r="E279" t="s">
        <v>226</v>
      </c>
      <c s="36" r="F279" t="s">
        <v>101</v>
      </c>
      <c s="36" r="G279" t="s">
        <v>29</v>
      </c>
      <c s="36" r="H279" t="s">
        <v>29</v>
      </c>
      <c s="36" r="I279" t="s">
        <v>29</v>
      </c>
      <c s="37" r="J279">
        <f>IF(IFERROR(K279,7)=7,"",RIGHT(K279,LEN(K279)-2)&amp;".")</f>
        <v/>
      </c>
      <c s="36" r="K279">
        <f>IFERROR(__xludf.dummyfunction("CONCATENATE(ArrayFormula(""; ""&amp;QUERY(Hallazgos!A:E,""SELECT B WHERE E CONTAINS '""&amp;B279&amp;""' LABEL B ''"")))"),"#N/A")</f>
        <v/>
      </c>
    </row>
    <row customHeight="1" s="134" r="280" ht="15.75" spans="1:11">
      <c s="34" r="A280" t="s">
        <v>672</v>
      </c>
      <c s="35" r="B280" t="s">
        <v>673</v>
      </c>
      <c s="36" r="C280" t="s">
        <v>66</v>
      </c>
      <c s="36" r="D280" t="s">
        <v>643</v>
      </c>
      <c s="36" r="E280" t="s">
        <v>100</v>
      </c>
      <c s="36" r="F280" t="s">
        <v>101</v>
      </c>
      <c s="36" r="G280" t="s">
        <v>29</v>
      </c>
      <c s="36" r="H280" t="s">
        <v>29</v>
      </c>
      <c s="36" r="I280" t="s">
        <v>29</v>
      </c>
      <c s="37" r="J280">
        <f>IF(IFERROR(K280,7)=7,"",RIGHT(K280,LEN(K280)-2)&amp;".")</f>
        <v/>
      </c>
      <c s="36" r="K280">
        <f>IFERROR(__xludf.dummyfunction("CONCATENATE(ArrayFormula(""; ""&amp;QUERY(Hallazgos!A:E,""SELECT B WHERE E CONTAINS '""&amp;B280&amp;""' LABEL B ''"")))"),"#N/A")</f>
        <v/>
      </c>
    </row>
    <row customHeight="1" s="134" r="281" ht="15.75" spans="1:11">
      <c s="34" r="A281" t="s">
        <v>674</v>
      </c>
      <c s="35" r="B281" t="s">
        <v>675</v>
      </c>
      <c s="36" r="C281" t="s">
        <v>66</v>
      </c>
      <c s="36" r="D281" t="s">
        <v>643</v>
      </c>
      <c s="36" r="E281" t="s">
        <v>155</v>
      </c>
      <c s="36" r="F281" t="s">
        <v>101</v>
      </c>
      <c s="36" r="G281" t="s">
        <v>29</v>
      </c>
      <c s="36" r="H281" t="s">
        <v>29</v>
      </c>
      <c s="36" r="I281" t="s">
        <v>29</v>
      </c>
      <c s="37" r="J281">
        <f>IF(IFERROR(K281,7)=7,"",RIGHT(K281,LEN(K281)-2)&amp;".")</f>
        <v/>
      </c>
      <c s="36" r="K281">
        <f>IFERROR(__xludf.dummyfunction("CONCATENATE(ArrayFormula(""; ""&amp;QUERY(Hallazgos!A:E,""SELECT B WHERE E CONTAINS '""&amp;B281&amp;""' LABEL B ''"")))"),"#N/A")</f>
        <v/>
      </c>
    </row>
    <row customHeight="1" s="134" r="282" ht="15.75" spans="1:11">
      <c s="34" r="A282" t="s">
        <v>676</v>
      </c>
      <c s="35" r="B282" t="s">
        <v>677</v>
      </c>
      <c s="36" r="C282" t="s">
        <v>66</v>
      </c>
      <c s="36" r="D282" t="s">
        <v>643</v>
      </c>
      <c s="36" r="E282" t="s">
        <v>223</v>
      </c>
      <c s="36" r="F282" t="s">
        <v>101</v>
      </c>
      <c s="36" r="G282" t="s">
        <v>29</v>
      </c>
      <c s="36" r="H282" t="s">
        <v>29</v>
      </c>
      <c s="36" r="I282" t="s">
        <v>29</v>
      </c>
      <c s="37" r="J282">
        <f>IF(IFERROR(K282,7)=7,"",RIGHT(K282,LEN(K282)-2)&amp;".")</f>
        <v/>
      </c>
      <c s="36" r="K282">
        <f>IFERROR(__xludf.dummyfunction("CONCATENATE(ArrayFormula(""; ""&amp;QUERY(Hallazgos!A:E,""SELECT B WHERE E CONTAINS '""&amp;B282&amp;""' LABEL B ''"")))"),"#N/A")</f>
        <v/>
      </c>
    </row>
    <row customHeight="1" s="134" r="283" ht="15.75" spans="1:11">
      <c s="34" r="A283" t="s">
        <v>678</v>
      </c>
      <c s="35" r="B283" t="s">
        <v>679</v>
      </c>
      <c s="36" r="C283" t="s">
        <v>84</v>
      </c>
      <c s="36" r="D283" t="s">
        <v>643</v>
      </c>
      <c s="36" r="E283" t="s">
        <v>68</v>
      </c>
      <c s="36" r="F283" t="s">
        <v>90</v>
      </c>
      <c s="36" r="G283" t="s">
        <v>29</v>
      </c>
      <c s="36" r="H283" t="s">
        <v>29</v>
      </c>
      <c s="36" r="I283" t="s">
        <v>29</v>
      </c>
      <c s="37" r="J283">
        <f>IF(IFERROR(K283,7)=7,"",RIGHT(K283,LEN(K283)-2)&amp;".")</f>
        <v/>
      </c>
      <c s="36" r="K283">
        <f>IFERROR(__xludf.dummyfunction("CONCATENATE(ArrayFormula(""; ""&amp;QUERY(Hallazgos!A:E,""SELECT B WHERE E CONTAINS '""&amp;B283&amp;""' LABEL B ''"")))"),"#N/A")</f>
        <v/>
      </c>
    </row>
    <row customHeight="1" s="134" r="284" ht="15.75" spans="1:11">
      <c s="34" r="A284" t="s">
        <v>680</v>
      </c>
      <c s="35" r="B284" t="s">
        <v>681</v>
      </c>
      <c s="36" r="C284" t="s">
        <v>66</v>
      </c>
      <c s="36" r="D284" t="s">
        <v>643</v>
      </c>
      <c s="36" r="E284" t="s">
        <v>234</v>
      </c>
      <c s="36" r="F284" t="s">
        <v>101</v>
      </c>
      <c s="36" r="G284" t="s">
        <v>29</v>
      </c>
      <c s="36" r="H284" t="s">
        <v>29</v>
      </c>
      <c s="36" r="I284" t="s">
        <v>29</v>
      </c>
      <c s="37" r="J284">
        <f>IF(IFERROR(K284,7)=7,"",RIGHT(K284,LEN(K284)-2)&amp;".")</f>
        <v/>
      </c>
      <c s="36" r="K284">
        <f>IFERROR(__xludf.dummyfunction("CONCATENATE(ArrayFormula(""; ""&amp;QUERY(Hallazgos!A:E,""SELECT B WHERE E CONTAINS '""&amp;B284&amp;""' LABEL B ''"")))"),"#N/A")</f>
        <v/>
      </c>
    </row>
    <row customHeight="1" s="134" r="285" ht="15.75" spans="1:11">
      <c s="34" r="A285" t="s">
        <v>682</v>
      </c>
      <c s="35" r="B285" t="s">
        <v>683</v>
      </c>
      <c s="36" r="C285" t="s">
        <v>66</v>
      </c>
      <c s="36" r="D285" t="s">
        <v>643</v>
      </c>
      <c s="36" r="E285" t="s">
        <v>127</v>
      </c>
      <c s="36" r="F285" t="s">
        <v>101</v>
      </c>
      <c s="36" r="G285" t="s">
        <v>29</v>
      </c>
      <c s="36" r="H285" t="s">
        <v>29</v>
      </c>
      <c s="36" r="I285" t="s">
        <v>29</v>
      </c>
      <c s="37" r="J285">
        <f>IF(IFERROR(K285,7)=7,"",RIGHT(K285,LEN(K285)-2)&amp;".")</f>
        <v/>
      </c>
      <c s="36" r="K285">
        <f>IFERROR(__xludf.dummyfunction("CONCATENATE(ArrayFormula(""; ""&amp;QUERY(Hallazgos!A:E,""SELECT B WHERE E CONTAINS '""&amp;B285&amp;""' LABEL B ''"")))"),"#N/A")</f>
        <v/>
      </c>
    </row>
    <row customHeight="1" s="134" r="286" ht="15.75" spans="1:11">
      <c s="34" r="A286" t="s">
        <v>684</v>
      </c>
      <c s="35" r="B286" t="s">
        <v>685</v>
      </c>
      <c s="36" r="C286" t="s">
        <v>84</v>
      </c>
      <c s="36" r="D286" t="s">
        <v>643</v>
      </c>
      <c s="36" r="E286" t="s">
        <v>68</v>
      </c>
      <c s="36" r="F286" t="s">
        <v>148</v>
      </c>
      <c s="36" r="G286" t="s">
        <v>29</v>
      </c>
      <c s="36" r="H286" t="s">
        <v>29</v>
      </c>
      <c s="36" r="I286" t="s">
        <v>29</v>
      </c>
      <c s="37" r="J286">
        <f>IF(IFERROR(K286,7)=7,"",RIGHT(K286,LEN(K286)-2)&amp;".")</f>
        <v/>
      </c>
      <c s="36" r="K286">
        <f>IFERROR(__xludf.dummyfunction("CONCATENATE(ArrayFormula(""; ""&amp;QUERY(Hallazgos!A:E,""SELECT B WHERE E CONTAINS '""&amp;B286&amp;""' LABEL B ''"")))"),"#N/A")</f>
        <v/>
      </c>
    </row>
    <row customHeight="1" s="134" r="287" ht="15.75" spans="1:11">
      <c s="34" r="A287" t="s">
        <v>686</v>
      </c>
      <c s="35" r="B287" t="s">
        <v>687</v>
      </c>
      <c s="36" r="C287" t="s">
        <v>84</v>
      </c>
      <c s="36" r="D287" t="s">
        <v>643</v>
      </c>
      <c s="36" r="E287" t="s">
        <v>68</v>
      </c>
      <c s="36" r="F287" t="s">
        <v>148</v>
      </c>
      <c s="36" r="G287" t="s">
        <v>29</v>
      </c>
      <c s="36" r="H287" t="s">
        <v>29</v>
      </c>
      <c s="36" r="I287" t="s">
        <v>29</v>
      </c>
      <c s="37" r="J287">
        <f>IF(IFERROR(K287,7)=7,"",RIGHT(K287,LEN(K287)-2)&amp;".")</f>
        <v/>
      </c>
      <c s="36" r="K287">
        <f>IFERROR(__xludf.dummyfunction("CONCATENATE(ArrayFormula(""; ""&amp;QUERY(Hallazgos!A:E,""SELECT B WHERE E CONTAINS '""&amp;B287&amp;""' LABEL B ''"")))"),"#N/A")</f>
        <v/>
      </c>
    </row>
    <row customHeight="1" s="134" r="288" ht="15.75" spans="1:11">
      <c s="34" r="A288" t="s">
        <v>688</v>
      </c>
      <c s="35" r="B288" t="s">
        <v>689</v>
      </c>
      <c s="36" r="C288" t="s">
        <v>66</v>
      </c>
      <c s="36" r="D288" t="s">
        <v>643</v>
      </c>
      <c s="36" r="E288" t="s">
        <v>690</v>
      </c>
      <c s="36" r="F288" t="s">
        <v>101</v>
      </c>
      <c s="36" r="G288" t="s">
        <v>29</v>
      </c>
      <c s="36" r="H288" t="s">
        <v>29</v>
      </c>
      <c s="36" r="I288" t="s">
        <v>29</v>
      </c>
      <c s="37" r="J288">
        <f>IF(IFERROR(K288,7)=7,"",RIGHT(K288,LEN(K288)-2)&amp;".")</f>
        <v/>
      </c>
      <c s="36" r="K288">
        <f>IFERROR(__xludf.dummyfunction("CONCATENATE(ArrayFormula(""; ""&amp;QUERY(Hallazgos!A:E,""SELECT B WHERE E CONTAINS '""&amp;B288&amp;""' LABEL B ''"")))"),"#N/A")</f>
        <v/>
      </c>
    </row>
    <row customHeight="1" s="134" r="289" ht="15.75" spans="1:11">
      <c s="34" r="A289" t="s">
        <v>691</v>
      </c>
      <c s="35" r="B289" t="s">
        <v>692</v>
      </c>
      <c s="36" r="C289" t="s">
        <v>66</v>
      </c>
      <c s="36" r="D289" t="s">
        <v>643</v>
      </c>
      <c s="36" r="E289" t="s">
        <v>160</v>
      </c>
      <c s="36" r="F289" t="s">
        <v>101</v>
      </c>
      <c s="36" r="G289" t="s">
        <v>29</v>
      </c>
      <c s="36" r="H289" t="s">
        <v>29</v>
      </c>
      <c s="36" r="I289" t="s">
        <v>29</v>
      </c>
      <c s="37" r="J289">
        <f>IF(IFERROR(K289,7)=7,"",RIGHT(K289,LEN(K289)-2)&amp;".")</f>
        <v/>
      </c>
      <c s="36" r="K289">
        <f>IFERROR(__xludf.dummyfunction("CONCATENATE(ArrayFormula(""; ""&amp;QUERY(Hallazgos!A:E,""SELECT B WHERE E CONTAINS '""&amp;B289&amp;""' LABEL B ''"")))"),"#N/A")</f>
        <v/>
      </c>
    </row>
    <row customHeight="1" s="134" r="290" ht="15.75" spans="1:11">
      <c s="34" r="A290" t="s">
        <v>693</v>
      </c>
      <c s="37" r="B290" t="s">
        <v>694</v>
      </c>
      <c s="36" r="C290" t="s">
        <v>66</v>
      </c>
      <c s="36" r="D290" t="s">
        <v>643</v>
      </c>
      <c s="36" r="E290" t="s">
        <v>226</v>
      </c>
      <c s="36" r="F290" t="s">
        <v>148</v>
      </c>
      <c s="36" r="G290" t="s">
        <v>29</v>
      </c>
      <c s="36" r="H290" t="s">
        <v>29</v>
      </c>
      <c s="36" r="I290" t="s">
        <v>29</v>
      </c>
      <c s="37" r="J290">
        <f>IF(IFERROR(K290,7)=7,"",RIGHT(K290,LEN(K290)-2)&amp;".")</f>
        <v/>
      </c>
      <c s="36" r="K290">
        <f>IFERROR(__xludf.dummyfunction("CONCATENATE(ArrayFormula(""; ""&amp;QUERY(Hallazgos!A:E,""SELECT B WHERE E CONTAINS '""&amp;B290&amp;""' LABEL B ''"")))"),"#N/A")</f>
        <v/>
      </c>
    </row>
    <row customHeight="1" s="134" r="291" ht="15.75" spans="1:11">
      <c s="34" r="A291" t="s">
        <v>695</v>
      </c>
      <c s="37" r="B291" t="s">
        <v>696</v>
      </c>
      <c s="36" r="C291" t="s">
        <v>84</v>
      </c>
      <c s="36" r="D291" t="s">
        <v>643</v>
      </c>
      <c s="36" r="E291" t="s">
        <v>68</v>
      </c>
      <c s="36" r="F291" t="s">
        <v>101</v>
      </c>
      <c s="36" r="G291" t="s">
        <v>29</v>
      </c>
      <c s="36" r="H291" t="s">
        <v>29</v>
      </c>
      <c s="36" r="I291" t="s">
        <v>29</v>
      </c>
      <c s="37" r="J291">
        <f>IF(IFERROR(K291,7)=7,"",RIGHT(K291,LEN(K291)-2)&amp;".")</f>
        <v/>
      </c>
      <c s="36" r="K291">
        <f>IFERROR(__xludf.dummyfunction("CONCATENATE(ArrayFormula(""; ""&amp;QUERY(Hallazgos!A:E,""SELECT B WHERE E CONTAINS '""&amp;B291&amp;""' LABEL B ''"")))"),"#N/A")</f>
        <v/>
      </c>
    </row>
    <row customHeight="1" s="134" r="292" ht="15.75" spans="1:11">
      <c s="34" r="A292" t="s">
        <v>697</v>
      </c>
      <c s="37" r="B292" t="s">
        <v>698</v>
      </c>
      <c s="36" r="C292" t="s">
        <v>84</v>
      </c>
      <c s="36" r="D292" t="s">
        <v>643</v>
      </c>
      <c s="36" r="E292" t="s">
        <v>68</v>
      </c>
      <c s="36" r="F292" t="s">
        <v>101</v>
      </c>
      <c s="36" r="G292" t="s">
        <v>29</v>
      </c>
      <c s="36" r="H292" t="s">
        <v>29</v>
      </c>
      <c s="36" r="I292" t="s">
        <v>29</v>
      </c>
      <c s="37" r="J292">
        <f>IF(IFERROR(K292,7)=7,"",RIGHT(K292,LEN(K292)-2)&amp;".")</f>
        <v/>
      </c>
      <c s="36" r="K292">
        <f>IFERROR(__xludf.dummyfunction("CONCATENATE(ArrayFormula(""; ""&amp;QUERY(Hallazgos!A:E,""SELECT B WHERE E CONTAINS '""&amp;B292&amp;""' LABEL B ''"")))"),"#N/A")</f>
        <v/>
      </c>
    </row>
    <row customHeight="1" s="134" r="293" ht="15.75" spans="1:11">
      <c s="34" r="A293" t="s">
        <v>699</v>
      </c>
      <c s="37" r="B293" t="s">
        <v>700</v>
      </c>
      <c s="36" r="C293" t="s">
        <v>279</v>
      </c>
      <c s="36" r="D293" t="s">
        <v>701</v>
      </c>
      <c s="36" r="E293" t="s">
        <v>100</v>
      </c>
      <c s="36" r="F293" t="s">
        <v>101</v>
      </c>
      <c s="36" r="G293" t="s">
        <v>29</v>
      </c>
      <c s="36" r="H293" t="s">
        <v>29</v>
      </c>
      <c s="36" r="I293" t="s">
        <v>29</v>
      </c>
      <c s="37" r="J293">
        <f>IF(IFERROR(K293,7)=7,"",RIGHT(K293,LEN(K293)-2)&amp;".")</f>
        <v/>
      </c>
      <c s="36" r="K293">
        <f>IFERROR(__xludf.dummyfunction("CONCATENATE(ArrayFormula(""; ""&amp;QUERY(Hallazgos!A:E,""SELECT B WHERE E CONTAINS '""&amp;B293&amp;""' LABEL B ''"")))"),"#N/A")</f>
        <v/>
      </c>
    </row>
    <row customHeight="1" s="134" r="294" ht="15.75" spans="1:11">
      <c s="34" r="A294" t="s">
        <v>702</v>
      </c>
      <c s="37" r="B294" t="s">
        <v>703</v>
      </c>
      <c s="36" r="C294" t="s">
        <v>279</v>
      </c>
      <c s="36" r="D294" t="s">
        <v>701</v>
      </c>
      <c s="36" r="E294" t="s">
        <v>226</v>
      </c>
      <c s="36" r="F294" t="s">
        <v>101</v>
      </c>
      <c s="36" r="G294" t="s">
        <v>29</v>
      </c>
      <c s="36" r="H294" t="s">
        <v>29</v>
      </c>
      <c s="36" r="I294" t="s">
        <v>29</v>
      </c>
      <c s="37" r="J294">
        <f>IF(IFERROR(K294,7)=7,"",RIGHT(K294,LEN(K294)-2)&amp;".")</f>
        <v/>
      </c>
      <c s="36" r="K294">
        <f>IFERROR(__xludf.dummyfunction("CONCATENATE(ArrayFormula(""; ""&amp;QUERY(Hallazgos!A:E,""SELECT B WHERE E CONTAINS '""&amp;B294&amp;""' LABEL B ''"")))"),"#N/A")</f>
        <v/>
      </c>
    </row>
    <row customHeight="1" s="134" r="295" ht="15.75" spans="1:11">
      <c s="34" r="A295" t="s">
        <v>704</v>
      </c>
      <c s="37" r="B295" t="s">
        <v>705</v>
      </c>
      <c s="36" r="C295" t="s">
        <v>84</v>
      </c>
      <c s="36" r="D295" t="s">
        <v>701</v>
      </c>
      <c s="36" r="E295" t="s">
        <v>450</v>
      </c>
      <c s="36" r="F295" t="s">
        <v>101</v>
      </c>
      <c s="36" r="G295" t="s">
        <v>29</v>
      </c>
      <c s="36" r="H295" t="s">
        <v>29</v>
      </c>
      <c s="36" r="I295" t="s">
        <v>29</v>
      </c>
      <c s="37" r="J295">
        <f>IF(IFERROR(K295,7)=7,"",RIGHT(K295,LEN(K295)-2)&amp;".")</f>
        <v/>
      </c>
      <c s="36" r="K295">
        <f>IFERROR(__xludf.dummyfunction("CONCATENATE(ArrayFormula(""; ""&amp;QUERY(Hallazgos!A:E,""SELECT B WHERE E CONTAINS '""&amp;B295&amp;""' LABEL B ''"")))"),"#N/A")</f>
        <v/>
      </c>
    </row>
    <row customHeight="1" s="134" r="296" ht="15.75" spans="1:11">
      <c s="34" r="A296" t="s">
        <v>706</v>
      </c>
      <c s="37" r="B296" t="s">
        <v>707</v>
      </c>
      <c s="36" r="C296" t="s">
        <v>279</v>
      </c>
      <c s="36" r="D296" t="s">
        <v>701</v>
      </c>
      <c s="36" r="E296" t="s">
        <v>450</v>
      </c>
      <c s="36" r="F296" t="s">
        <v>101</v>
      </c>
      <c s="36" r="G296" t="s">
        <v>29</v>
      </c>
      <c s="36" r="H296" t="s">
        <v>29</v>
      </c>
      <c s="36" r="I296" t="s">
        <v>29</v>
      </c>
      <c s="37" r="J296">
        <f>IF(IFERROR(K296,7)=7,"",RIGHT(K296,LEN(K296)-2)&amp;".")</f>
        <v/>
      </c>
      <c s="36" r="K296">
        <f>IFERROR(__xludf.dummyfunction("CONCATENATE(ArrayFormula(""; ""&amp;QUERY(Hallazgos!A:E,""SELECT B WHERE E CONTAINS '""&amp;B296&amp;""' LABEL B ''"")))"),"#N/A")</f>
        <v/>
      </c>
    </row>
    <row customHeight="1" s="134" r="297" ht="15.75" spans="1:11">
      <c s="30" r="A297" t="n"/>
      <c s="29" r="B297" t="n"/>
      <c s="29" r="C297" t="n"/>
      <c s="29" r="D297" t="n"/>
      <c s="30" r="E297" t="n"/>
      <c s="30" r="F297" t="n"/>
      <c s="30" r="G297" t="n"/>
      <c s="30" r="H297" t="n"/>
      <c s="30" r="I297" t="n"/>
      <c s="30" r="J297" t="n"/>
      <c s="30" r="K297" t="n"/>
    </row>
    <row customHeight="1" s="134" r="298" ht="15.75" spans="1:11">
      <c s="38" r="A298" t="n"/>
      <c s="39" r="B298" t="s">
        <v>708</v>
      </c>
      <c s="40" r="C298" t="s">
        <v>709</v>
      </c>
      <c s="40" r="D298" t="s">
        <v>710</v>
      </c>
      <c s="30" r="E298" t="n"/>
      <c s="30" r="F298" t="n"/>
      <c s="30" r="G298" t="n"/>
      <c s="30" r="H298" t="n"/>
      <c s="30" r="I298" t="n"/>
      <c s="30" r="J298" t="n"/>
      <c s="30" r="K298" t="n"/>
    </row>
    <row customHeight="1" s="134" r="299" ht="15.75" spans="1:11">
      <c s="38" r="A299" t="n"/>
      <c s="41" r="B299" t="s">
        <v>711</v>
      </c>
      <c s="36" r="C299">
        <f>COUNTIF(G3:G296,"Sí")</f>
        <v/>
      </c>
      <c s="36" r="D299">
        <f>COUNTIF(G14:G296,"No")</f>
        <v/>
      </c>
      <c s="30" r="E299" t="n"/>
      <c s="30" r="F299" t="n"/>
      <c s="30" r="G299" t="n"/>
      <c s="30" r="H299" t="n"/>
      <c s="30" r="I299" t="n"/>
      <c s="30" r="J299" t="n"/>
      <c s="30" r="K299" t="n"/>
    </row>
    <row customHeight="1" s="134" r="300" ht="15.75" spans="1:11">
      <c s="38" r="A300" t="n"/>
      <c s="41" r="B300" t="s">
        <v>712</v>
      </c>
      <c s="36" r="C300">
        <f>COUNTIF(H3:H296,"Sí")</f>
        <v/>
      </c>
      <c s="36" r="D300">
        <f>COUNTIF(H14:H296,"No")</f>
        <v/>
      </c>
      <c s="30" r="E300" t="n"/>
      <c s="30" r="F300" t="n"/>
      <c s="30" r="G300" t="n"/>
      <c s="30" r="H300" t="n"/>
      <c s="30" r="I300" t="n"/>
      <c s="30" r="J300" t="n"/>
      <c s="30" r="K300" t="n"/>
    </row>
    <row customHeight="1" s="134" r="301" ht="15.75" spans="1:11">
      <c s="38" r="A301" t="n"/>
      <c s="41" r="B301" t="s">
        <v>713</v>
      </c>
      <c s="36" r="C301">
        <f>COUNTIF(I3:I296,"Sí")</f>
        <v/>
      </c>
      <c s="36" r="D301">
        <f>COUNTIF(I14:I296,"No")</f>
        <v/>
      </c>
      <c s="30" r="E301" t="n"/>
      <c s="30" r="F301" t="n"/>
      <c s="30" r="G301" t="n"/>
      <c s="30" r="H301" t="n"/>
      <c s="30" r="I301" t="n"/>
      <c s="30" r="J301" t="n"/>
      <c s="30" r="K301" t="n"/>
    </row>
  </sheetData>
  <mergeCells count="1">
    <mergeCell ref="A1:G1"/>
  </mergeCells>
  <dataValidations count="1">
    <dataValidation allowBlank="0" operator="between" prompt="Click and enter a value from the list of items" showDropDown="0" showErrorMessage="0" showInputMessage="1" sqref="G3:G296 H3:H296 I3:I296"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7.xml><?xml version="1.0" encoding="utf-8"?>
<worksheet xmlns="http://schemas.openxmlformats.org/spreadsheetml/2006/main">
  <sheetPr filterMode="0">
    <outlinePr summaryBelow="1" summaryRight="1"/>
    <pageSetUpPr fitToPage="0"/>
  </sheetPr>
  <dimension ref="A1:O192"/>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Right" state="frozen" topLeftCell="C3" xSplit="2" ySplit="2"/>
      <selection activeCell="A1" activeCellId="0" pane="topLeft" sqref="A1"/>
      <selection activeCell="C1" activeCellId="0" pane="topRight" sqref="C1"/>
      <selection activeCell="A3" activeCellId="0" pane="bottomLeft" sqref="A3"/>
      <selection activeCell="C13" activeCellId="0" pane="bottomRight" sqref="C13"/>
    </sheetView>
  </sheetViews>
  <sheetFormatPr baseColWidth="8" defaultRowHeight="15.75" outlineLevelCol="0"/>
  <cols>
    <col customWidth="1" max="1" min="1" width="4.86224489795918"/>
    <col customWidth="1" max="2" min="2" width="24.1632653061224"/>
    <col customWidth="1" max="5" min="3" width="33.6122448979592"/>
    <col customWidth="1" max="6" min="6" width="25.3775510204082"/>
    <col customWidth="1" max="7" min="7" width="13.6326530612245"/>
    <col customWidth="1" max="8" min="8" width="10.2602040816327"/>
    <col customWidth="1" max="9" min="9" width="13.2295918367347"/>
    <col customWidth="1" max="12" min="10" width="26.0510204081633"/>
    <col customWidth="1" max="13" min="13" width="13.6326530612245"/>
    <col customWidth="1" max="15" min="14" width="33.2091836734694"/>
    <col customWidth="1" max="1025" min="16" width="13.6326530612245"/>
  </cols>
  <sheetData>
    <row customHeight="1" s="134" r="1" ht="15.75" spans="1:15">
      <c s="42" r="A1" t="s">
        <v>714</v>
      </c>
      <c s="43" r="C1" t="n"/>
      <c s="43" r="D1" t="n"/>
      <c s="43" r="E1" t="n"/>
      <c s="44" r="F1" t="n"/>
      <c s="45" r="G1" t="n"/>
      <c s="43" r="H1" t="n"/>
      <c s="43" r="I1" t="n"/>
      <c s="43" r="J1" t="n"/>
      <c s="43" r="K1" t="n"/>
      <c s="43" r="L1" t="n"/>
      <c s="43" r="M1" t="n"/>
      <c s="46" r="N1" t="n"/>
      <c s="46" r="O1" t="n"/>
    </row>
    <row customHeight="1" s="134" r="2" ht="15.75" spans="1:15">
      <c s="47" r="A2" t="s">
        <v>715</v>
      </c>
      <c s="48" r="B2" t="s">
        <v>716</v>
      </c>
      <c s="48" r="C2" t="s">
        <v>717</v>
      </c>
      <c s="48" r="D2" t="s">
        <v>718</v>
      </c>
      <c s="48" r="E2" t="s">
        <v>719</v>
      </c>
      <c s="48" r="F2" t="s">
        <v>720</v>
      </c>
      <c s="48" r="H2" t="s">
        <v>721</v>
      </c>
      <c s="48" r="I2" t="s">
        <v>722</v>
      </c>
      <c s="48" r="J2" t="s">
        <v>723</v>
      </c>
      <c s="48" r="K2" t="s">
        <v>724</v>
      </c>
      <c s="48" r="L2" t="s">
        <v>725</v>
      </c>
      <c s="48" r="M2" t="s">
        <v>726</v>
      </c>
      <c s="48" r="N2" t="s">
        <v>727</v>
      </c>
      <c s="48" r="O2" t="s">
        <v>728</v>
      </c>
    </row>
    <row customHeight="1" s="134" r="3" ht="13.8" spans="1:15">
      <c s="19" r="A3">
        <f aca="false" ref="A3:A3" t="array">IF(A2="#",1,""+1)</f>
        <v/>
      </c>
      <c s="18" r="B3" t="s">
        <v>729</v>
      </c>
      <c s="49" r="C3" t="s">
        <v>730</v>
      </c>
      <c s="18" r="D3" t="s">
        <v>731</v>
      </c>
      <c s="18" r="E3" t="s">
        <v>732</v>
      </c>
      <c s="50" r="F3">
        <f>CVSSv2!$A$4</f>
        <v/>
      </c>
      <c s="51" r="G3" t="s">
        <v>733</v>
      </c>
      <c s="52" r="H3" t="s"/>
      <c s="19" r="I3" t="n">
        <v>1</v>
      </c>
      <c s="18" r="J3" t="s">
        <v>734</v>
      </c>
      <c s="18" r="K3" t="s">
        <v>735</v>
      </c>
      <c s="18" r="L3" t="s">
        <v>736</v>
      </c>
      <c s="18" r="M3" t="s">
        <v>737</v>
      </c>
      <c s="18" r="N3" t="s">
        <v>738</v>
      </c>
      <c s="18" r="O3" t="s">
        <v>739</v>
      </c>
    </row>
    <row customHeight="1" s="134" r="4" ht="15.75" spans="1:15">
      <c s="53" r="F4">
        <f>CVSSv2!$A$5</f>
        <v/>
      </c>
      <c s="54" r="G4" t="s">
        <v>740</v>
      </c>
      <c r="N4" t="s">
        <v>741</v>
      </c>
      <c r="O4" t="s">
        <v>742</v>
      </c>
    </row>
    <row customHeight="1" s="134" r="5" ht="15.75" spans="1:15">
      <c s="53" r="F5">
        <f>CVSSv2!$A$6</f>
        <v/>
      </c>
      <c s="54" r="G5" t="s">
        <v>743</v>
      </c>
      <c r="N5" t="s">
        <v>744</v>
      </c>
      <c r="O5" t="s">
        <v>745</v>
      </c>
    </row>
    <row customHeight="1" s="134" r="6" ht="15.75" spans="1:15">
      <c s="53" r="F6">
        <f>CVSSv2!$A$7</f>
        <v/>
      </c>
      <c s="54" r="G6" t="s">
        <v>746</v>
      </c>
    </row>
    <row customHeight="1" s="134" r="7" ht="15.75" spans="1:15">
      <c s="53" r="F7">
        <f>CVSSv2!$A$8</f>
        <v/>
      </c>
      <c s="54" r="G7" t="s">
        <v>746</v>
      </c>
    </row>
    <row customHeight="1" s="134" r="8" ht="15.75" spans="1:15">
      <c s="53" r="F8">
        <f>CVSSv2!$A$9</f>
        <v/>
      </c>
      <c s="54" r="G8" t="s">
        <v>747</v>
      </c>
    </row>
    <row customHeight="1" s="134" r="9" ht="15.75" spans="1:15">
      <c s="53" r="F9">
        <f>CVSSv2!$A$10</f>
        <v/>
      </c>
      <c s="54" r="G9" t="s">
        <v>748</v>
      </c>
    </row>
    <row customHeight="1" s="134" r="10" ht="15.75" spans="1:15">
      <c s="53" r="F10">
        <f>CVSSv2!$A$11</f>
        <v/>
      </c>
      <c s="54" r="G10" t="s">
        <v>749</v>
      </c>
    </row>
    <row customHeight="1" s="134" r="11" ht="15.75" spans="1:15">
      <c s="53" r="F11">
        <f>CVSSv2!$A$12</f>
        <v/>
      </c>
      <c s="54" r="G11" t="s">
        <v>750</v>
      </c>
    </row>
    <row customHeight="1" s="134" r="12" ht="15.75" spans="1:15">
      <c s="55" r="F12">
        <f>"("&amp;CVSSv2!$B$4&amp;":"&amp;IF(G3=CVSSv2!$C$4,CVSSv2!$C$26,IF(G3=CVSSv2!$D$4,CVSSv2!$D$26,IF(G3=CVSSv2!$E$4,CVSSv2!$E$26,"")))&amp;"/"&amp;CVSSv2!$B$5&amp;":"&amp;IF(G4=CVSSv2!$C$5,CVSSv2!$C$27,IF(G4=CVSSv2!$D$5,CVSSv2!$D$27,IF(G4=CVSSv2!$E$5,CVSSv2!$E$27,"")))&amp;"/"&amp;CVSSv2!$B$6&amp;":"&amp;IF(G5=CVSSv2!$C$6,CVSSv2!$C$28,IF(G5=CVSSv2!$D$6,CVSSv2!$D$28,IF(G5=CVSSv2!$E$6,CVSSv2!$E$28,"")))&amp;"/"&amp;CVSSv2!$B$7&amp;":"&amp;IF(G6=CVSSv2!$C$7,CVSSv2!$C$29,IF(G6=CVSSv2!$D$7,CVSSv2!$D$29,IF(G6=CVSSv2!$E$7,CVSSv2!$E$29,"")))&amp;"/"&amp;CVSSv2!$B$8&amp;":"&amp;IF(G7=CVSSv2!$C$8,CVSSv2!$C$30,IF(G7=CVSSv2!$D$8,CVSSv2!$D$30,IF(G7=CVSSv2!$E$8,CVSSv2!$E$30,"")))&amp;"/"&amp;CVSSv2!$B$9&amp;":"&amp;IF(G8=CVSSv2!$C$9,CVSSv2!$C$31,IF(G8=CVSSv2!$D$9,CVSSv2!$D$31,IF(G8=CVSSv2!$E$9,CVSSv2!$E$31,"")))&amp;"/"&amp;CVSSv2!$B$10&amp;":"&amp;IF(G9=CVSSv2!$C$10,CVSSv2!$C$32,IF(G9=CVSSv2!$D$10,CVSSv2!$D$32,IF(G9=CVSSv2!$E$10,CVSSv2!$E$32,IF(G9=CVSSv2!$F$10,CVSSv2!$F$32,""))))&amp;"/"&amp;CVSSv2!$B$11&amp;":"&amp;IF(G10=CVSSv2!$C$11,CVSSv2!$C$33,IF(G10=CVSSv2!$D$11,CVSSv2!$D$33,IF(G10=CVSSv2!$E$11,CVSSv2!$E$33,IF(G10=CVSSv2!$F$11,CVSSv2!$F$33,""))))&amp;"/"&amp;CVSSv2!$B$12&amp;":"&amp;IF(G11=CVSSv2!$C$12,CVSSv2!$C$34,IF(G11=CVSSv2!$D$12,CVSSv2!$D$34,IF(G11=CVSSv2!$E$12,CVSSv2!$E$34,"")))&amp;")"</f>
        <v/>
      </c>
    </row>
    <row customHeight="1" s="134" r="13" ht="13.8" spans="1:15">
      <c s="19" r="A13">
        <f>IF(A12="#",1,A3+1)</f>
        <v/>
      </c>
      <c s="18" r="B13" t="s">
        <v>751</v>
      </c>
      <c s="49" r="C13" t="s">
        <v>752</v>
      </c>
      <c s="18" r="D13" t="s">
        <v>731</v>
      </c>
      <c s="18" r="E13" t="s">
        <v>753</v>
      </c>
      <c s="50" r="F13">
        <f>CVSSv2!$A$4</f>
        <v/>
      </c>
      <c s="51" r="G13" t="s">
        <v>733</v>
      </c>
      <c s="52" r="H13" t="s"/>
      <c s="19" r="I13" t="n">
        <v>1</v>
      </c>
      <c s="18" r="J13" t="s">
        <v>754</v>
      </c>
      <c s="18" r="K13" t="s">
        <v>755</v>
      </c>
      <c s="18" r="L13" t="s">
        <v>756</v>
      </c>
      <c s="18" r="M13" t="s">
        <v>737</v>
      </c>
      <c s="18" r="N13" t="s">
        <v>757</v>
      </c>
      <c s="18" r="O13" t="s">
        <v>758</v>
      </c>
    </row>
    <row customHeight="1" s="134" r="14" ht="15.75" spans="1:15">
      <c s="53" r="F14">
        <f>CVSSv2!$A$5</f>
        <v/>
      </c>
      <c s="54" r="G14" t="s">
        <v>740</v>
      </c>
    </row>
    <row customHeight="1" s="134" r="15" ht="15.75" spans="1:15">
      <c s="53" r="F15">
        <f>CVSSv2!$A$6</f>
        <v/>
      </c>
      <c s="54" r="G15" t="s">
        <v>743</v>
      </c>
    </row>
    <row customHeight="1" s="134" r="16" ht="15.75" spans="1:15">
      <c s="53" r="F16">
        <f>CVSSv2!$A$7</f>
        <v/>
      </c>
      <c s="54" r="G16" t="s">
        <v>746</v>
      </c>
    </row>
    <row customHeight="1" s="134" r="17" ht="15.75" spans="1:15">
      <c s="53" r="F17">
        <f>CVSSv2!$A$8</f>
        <v/>
      </c>
      <c s="54" r="G17" t="s">
        <v>746</v>
      </c>
    </row>
    <row customHeight="1" s="134" r="18" ht="15.75" spans="1:15">
      <c s="53" r="F18">
        <f>CVSSv2!$A$9</f>
        <v/>
      </c>
      <c s="54" r="G18" t="s">
        <v>747</v>
      </c>
    </row>
    <row customHeight="1" s="134" r="19" ht="15.75" spans="1:15">
      <c s="53" r="F19">
        <f>CVSSv2!$A$10</f>
        <v/>
      </c>
      <c s="54" r="G19" t="s">
        <v>759</v>
      </c>
    </row>
    <row customHeight="1" s="134" r="20" ht="15.75" spans="1:15">
      <c s="53" r="F20">
        <f>CVSSv2!$A$11</f>
        <v/>
      </c>
      <c s="54" r="G20" t="s">
        <v>749</v>
      </c>
    </row>
    <row customHeight="1" s="134" r="21" ht="15.75" spans="1:15">
      <c s="53" r="F21">
        <f>CVSSv2!$A$12</f>
        <v/>
      </c>
      <c s="54" r="G21" t="s">
        <v>760</v>
      </c>
    </row>
    <row customHeight="1" s="134" r="22" ht="15.75" spans="1:15">
      <c s="55" r="F22">
        <f>"("&amp;CVSSv2!$B$4&amp;":"&amp;IF(G13=CVSSv2!$C$4,CVSSv2!$C$26,IF(G13=CVSSv2!$D$4,CVSSv2!$D$26,IF(G13=CVSSv2!$E$4,CVSSv2!$E$26,"")))&amp;"/"&amp;CVSSv2!$B$5&amp;":"&amp;IF(G14=CVSSv2!$C$5,CVSSv2!$C$27,IF(G14=CVSSv2!$D$5,CVSSv2!$D$27,IF(G14=CVSSv2!$E$5,CVSSv2!$E$27,"")))&amp;"/"&amp;CVSSv2!$B$6&amp;":"&amp;IF(G15=CVSSv2!$C$6,CVSSv2!$C$28,IF(G15=CVSSv2!$D$6,CVSSv2!$D$28,IF(G15=CVSSv2!$E$6,CVSSv2!$E$28,"")))&amp;"/"&amp;CVSSv2!$B$7&amp;":"&amp;IF(G16=CVSSv2!$C$7,CVSSv2!$C$29,IF(G16=CVSSv2!$D$7,CVSSv2!$D$29,IF(G16=CVSSv2!$E$7,CVSSv2!$E$29,"")))&amp;"/"&amp;CVSSv2!$B$8&amp;":"&amp;IF(G17=CVSSv2!$C$8,CVSSv2!$C$30,IF(G17=CVSSv2!$D$8,CVSSv2!$D$30,IF(G17=CVSSv2!$E$8,CVSSv2!$E$30,"")))&amp;"/"&amp;CVSSv2!$B$9&amp;":"&amp;IF(G18=CVSSv2!$C$9,CVSSv2!$C$31,IF(G18=CVSSv2!$D$9,CVSSv2!$D$31,IF(G18=CVSSv2!$E$9,CVSSv2!$E$31,"")))&amp;"/"&amp;CVSSv2!$B$10&amp;":"&amp;IF(G19=CVSSv2!$C$10,CVSSv2!$C$32,IF(G19=CVSSv2!$D$10,CVSSv2!$D$32,IF(G19=CVSSv2!$E$10,CVSSv2!$E$32,IF(G19=CVSSv2!$F$10,CVSSv2!$F$32,""))))&amp;"/"&amp;CVSSv2!$B$11&amp;":"&amp;IF(G20=CVSSv2!$C$11,CVSSv2!$C$33,IF(G20=CVSSv2!$D$11,CVSSv2!$D$33,IF(G20=CVSSv2!$E$11,CVSSv2!$E$33,IF(G20=CVSSv2!$F$11,CVSSv2!$F$33,""))))&amp;"/"&amp;CVSSv2!$B$12&amp;":"&amp;IF(G21=CVSSv2!$C$12,CVSSv2!$C$34,IF(G21=CVSSv2!$D$12,CVSSv2!$D$34,IF(G21=CVSSv2!$E$12,CVSSv2!$E$34,"")))&amp;")"</f>
        <v/>
      </c>
    </row>
    <row customHeight="1" s="134" r="23" ht="15.75" spans="1:15">
      <c s="19" r="A23">
        <f>IF(A22="#",1,A13+1)</f>
        <v/>
      </c>
      <c s="18" r="B23" t="s">
        <v>761</v>
      </c>
      <c s="18" r="C23" t="s">
        <v>762</v>
      </c>
      <c s="18" r="D23" t="s">
        <v>731</v>
      </c>
      <c s="18" r="E23" t="s">
        <v>763</v>
      </c>
      <c s="50" r="F23">
        <f>CVSSv2!$A$4</f>
        <v/>
      </c>
      <c s="51" r="G23" t="s">
        <v>733</v>
      </c>
      <c s="52" r="H23" t="s"/>
      <c s="19" r="I23" t="n">
        <v>1</v>
      </c>
      <c s="18" r="J23" t="s">
        <v>764</v>
      </c>
      <c s="18" r="K23" t="s">
        <v>765</v>
      </c>
      <c s="18" r="L23" t="s">
        <v>766</v>
      </c>
      <c s="18" r="M23" t="s">
        <v>767</v>
      </c>
      <c s="18" r="N23" t="s">
        <v>768</v>
      </c>
      <c s="18" r="O23" t="s">
        <v>769</v>
      </c>
    </row>
    <row customHeight="1" s="134" r="24" ht="15.75" spans="1:15">
      <c s="53" r="F24">
        <f>CVSSv2!$A$5</f>
        <v/>
      </c>
      <c s="54" r="G24" t="s">
        <v>759</v>
      </c>
    </row>
    <row customHeight="1" s="134" r="25" ht="15.75" spans="1:15">
      <c s="53" r="F25">
        <f>CVSSv2!$A$6</f>
        <v/>
      </c>
      <c s="54" r="G25" t="s">
        <v>743</v>
      </c>
    </row>
    <row customHeight="1" s="134" r="26" ht="15.75" spans="1:15">
      <c s="53" r="F26">
        <f>CVSSv2!$A$7</f>
        <v/>
      </c>
      <c s="54" r="G26" t="s">
        <v>770</v>
      </c>
    </row>
    <row customHeight="1" s="134" r="27" ht="15.75" spans="1:15">
      <c s="53" r="F27">
        <f>CVSSv2!$A$8</f>
        <v/>
      </c>
      <c s="54" r="G27" t="s">
        <v>770</v>
      </c>
    </row>
    <row customHeight="1" s="134" r="28" ht="15.75" spans="1:15">
      <c s="53" r="F28">
        <f>CVSSv2!$A$9</f>
        <v/>
      </c>
      <c s="54" r="G28" t="s">
        <v>747</v>
      </c>
    </row>
    <row customHeight="1" s="134" r="29" ht="15.75" spans="1:15">
      <c s="53" r="F29">
        <f>CVSSv2!$A$10</f>
        <v/>
      </c>
      <c s="54" r="G29" t="s">
        <v>759</v>
      </c>
    </row>
    <row customHeight="1" s="134" r="30" ht="15.75" spans="1:15">
      <c s="53" r="F30">
        <f>CVSSv2!$A$11</f>
        <v/>
      </c>
      <c s="54" r="G30" t="s">
        <v>749</v>
      </c>
    </row>
    <row customHeight="1" s="134" r="31" ht="15.75" spans="1:15">
      <c s="53" r="F31">
        <f>CVSSv2!$A$12</f>
        <v/>
      </c>
      <c s="54" r="G31" t="s">
        <v>750</v>
      </c>
    </row>
    <row customHeight="1" s="134" r="32" ht="15.75" spans="1:15">
      <c s="55" r="F32">
        <f>"("&amp;CVSSv2!$B$4&amp;":"&amp;IF(G23=CVSSv2!$C$4,CVSSv2!$C$26,IF(G23=CVSSv2!$D$4,CVSSv2!$D$26,IF(G23=CVSSv2!$E$4,CVSSv2!$E$26,"")))&amp;"/"&amp;CVSSv2!$B$5&amp;":"&amp;IF(G24=CVSSv2!$C$5,CVSSv2!$C$27,IF(G24=CVSSv2!$D$5,CVSSv2!$D$27,IF(G24=CVSSv2!$E$5,CVSSv2!$E$27,"")))&amp;"/"&amp;CVSSv2!$B$6&amp;":"&amp;IF(G25=CVSSv2!$C$6,CVSSv2!$C$28,IF(G25=CVSSv2!$D$6,CVSSv2!$D$28,IF(G25=CVSSv2!$E$6,CVSSv2!$E$28,"")))&amp;"/"&amp;CVSSv2!$B$7&amp;":"&amp;IF(G26=CVSSv2!$C$7,CVSSv2!$C$29,IF(G26=CVSSv2!$D$7,CVSSv2!$D$29,IF(G26=CVSSv2!$E$7,CVSSv2!$E$29,"")))&amp;"/"&amp;CVSSv2!$B$8&amp;":"&amp;IF(G27=CVSSv2!$C$8,CVSSv2!$C$30,IF(G27=CVSSv2!$D$8,CVSSv2!$D$30,IF(G27=CVSSv2!$E$8,CVSSv2!$E$30,"")))&amp;"/"&amp;CVSSv2!$B$9&amp;":"&amp;IF(G28=CVSSv2!$C$9,CVSSv2!$C$31,IF(G28=CVSSv2!$D$9,CVSSv2!$D$31,IF(G28=CVSSv2!$E$9,CVSSv2!$E$31,"")))&amp;"/"&amp;CVSSv2!$B$10&amp;":"&amp;IF(G29=CVSSv2!$C$10,CVSSv2!$C$32,IF(G29=CVSSv2!$D$10,CVSSv2!$D$32,IF(G29=CVSSv2!$E$10,CVSSv2!$E$32,IF(G29=CVSSv2!$F$10,CVSSv2!$F$32,""))))&amp;"/"&amp;CVSSv2!$B$11&amp;":"&amp;IF(G30=CVSSv2!$C$11,CVSSv2!$C$33,IF(G30=CVSSv2!$D$11,CVSSv2!$D$33,IF(G30=CVSSv2!$E$11,CVSSv2!$E$33,IF(G30=CVSSv2!$F$11,CVSSv2!$F$33,""))))&amp;"/"&amp;CVSSv2!$B$12&amp;":"&amp;IF(G31=CVSSv2!$C$12,CVSSv2!$C$34,IF(G31=CVSSv2!$D$12,CVSSv2!$D$34,IF(G31=CVSSv2!$E$12,CVSSv2!$E$34,"")))&amp;")"</f>
        <v/>
      </c>
    </row>
    <row customHeight="1" s="134" r="33" ht="15.75" spans="1:15">
      <c s="19" r="A33">
        <f>IF(A32="#",1,A23+1)</f>
        <v/>
      </c>
      <c s="18" r="B33" t="s">
        <v>771</v>
      </c>
      <c s="18" r="C33" t="n"/>
      <c s="18" r="D33" t="n"/>
      <c s="18" r="E33">
        <f>IFERROR(__xludf.dummyfunction("CONCATENATE(ARRAYFORMULA(QUERY(QUERY(Indirect(C_Activos!$L$1&amp;""!A:F""),""SELECT A, B, C, D, E, F WHERE A MATCHES '""&amp;M33&amp;""'""),""select Col1"")&amp;"" ""&amp;QUERY(QUERY(Indirect(C_Activos!$L$1&amp;""!A:F""),""SELECT A, B, C, D, E, F WHERE A MATCHES '""&amp;M33&amp;""'""),""select Col2"")&amp;CHAR(10)&amp;""(Capa:""&amp;QUERY(QUERY(Indirect(C_Activos!$L$1&amp;""!A:F""),""SELECT A, B, C, D, E, F WHERE A MATCHES '""&amp;M33&amp;""'""),""select Col3"")&amp;"", Alcance:""&amp;QUERY(QUERY(Indirect(C_Activos!$L$1&amp;""!A:F""),""SELECT A, B, C, D, E, F WHERE A MATCHES '""&amp;M33&amp;""'""),""select Col5"")&amp;"", Activo:""&amp;QUERY(QUERY(Indirect(C_Activos!$L$1&amp;""!A:F""),""SELECT A, B, C, D, E, F WHERE A MATCHES '""&amp;M33&amp;""'""),""select Col4"")&amp;"", Fase:""&amp;QUERY(QUERY(Indirect(C_Activos!$L$1&amp;""!A:F""),""SELECT A, B, C, D, E, F WHERE A MATCHES '""&amp;M33&amp;""'""),""select Col6"")&amp;"")""&amp;CHAR(10)&amp;CHAR(10)))"),"REQ.0040 El sistema debe requerir autenticación para todos los recursos, excepto para aquellos específicamente clasificados como públicos.
(Capa:Capa de Aplicación, Alcance:Autorización, Activo:Recursos del sistema, Fase:Operación)
")</f>
        <v/>
      </c>
      <c s="50" r="F33">
        <f>CVSSv2!$A$4</f>
        <v/>
      </c>
      <c s="51" r="G33" t="s">
        <v>772</v>
      </c>
      <c s="52" r="H33">
        <f>ROUND(((0.6*(10.41*(1-(1-IF(G36=CVSSv2!$C$7,CVSSv2!$C$18,IF(G36=CVSSv2!$D$7,CVSSv2!$D$18,IF(G36=CVSSv2!$E$7,CVSSv2!$E$18,0))))*(1-IF(G37=CVSSv2!$C$8,CVSSv2!$C$19,IF(G37=CVSSv2!$D$8,CVSSv2!$D$19,IF(G37=CVSSv2!$E$8,CVSSv2!$E$19,0))))*(1-IF(G38=CVSSv2!$C$9,CVSSv2!$C$20,IF(G38=CVSSv2!$D$9,CVSSv2!$D$20,IF(G38=CVSSv2!$E$9,CVSSv2!$E$20,0))))))+0.4*(20*IF(G33=CVSSv2!$C$4,CVSSv2!$C$15,IF(G33=CVSSv2!$D$4,CVSSv2!$D$15,IF(G33=CVSSv2!$E$4,CVSSv2!$E$15,0)))*IF(G34=CVSSv2!$C$5,CVSSv2!$C$16,IF(G34=CVSSv2!$D$5,CVSSv2!$D$16,IF(G34=CVSSv2!$E$5,CVSSv2!$E$16,0)))*IF(G35=CVSSv2!$C$6,CVSSv2!$C$17,IF(G35=CVSSv2!$D$6,CVSSv2!$D$17,IF(G35=CVSSv2!$E$6,CVSSv2!$E$17,0))))-1.5)*(IF(10.41*(1-(1-IF(G36=CVSSv2!$C$7,CVSSv2!$C$18,IF(G36=CVSSv2!$D$7,CVSSv2!$D$18,IF(G36=CVSSv2!$E$7,CVSSv2!$E$18,0))))*(1-IF(G37=CVSSv2!$C$8,CVSSv2!$C$19,IF(G37=CVSSv2!$D$8,CVSSv2!$D$19,IF(G37=CVSSv2!$E$8,CVSSv2!$E$19,0))))*(1-IF(G38=CVSSv2!$C$9,CVSSv2!$C$20,IF(G38=CVSSv2!$D$9,CVSSv2!$D$20,IF(G38=CVSSv2!$E$9,CVSSv2!$E$20,0)))))=0,0,1.176)))*(IF(G39=CVSSv2!$C$10,CVSSv2!$C$21,IF(G39=CVSSv2!$D$10,CVSSv2!$D$21,IF(G39=CVSSv2!$E$10,CVSSv2!$E$21,IF(G39=CVSSv2!$F$10,CVSSv2!$F$21,0))))*IF(G40=CVSSv2!$C$11,CVSSv2!$C$22,IF(G40=CVSSv2!$D$11,CVSSv2!$D$22,IF(G40=CVSSv2!$E$11,CVSSv2!$E$22,IF(G40=CVSSv2!$F$11,CVSSv2!$F$22,0))))*IF(G41=CVSSv2!$C$12,CVSSv2!$C$23,IF(G41=CVSSv2!$D$12,CVSSv2!$D$23,IF(G41=CVSSv2!$E$12,CVSSv2!$E$23,0)))),1)</f>
        <v/>
      </c>
      <c s="19" r="I33" t="n">
        <v>4</v>
      </c>
      <c s="18" r="J33" t="n"/>
      <c s="18" r="K33" t="n"/>
      <c s="18" r="L33" t="n"/>
      <c s="18" r="M33" t="s">
        <v>773</v>
      </c>
      <c s="18" r="N33" t="s">
        <v>774</v>
      </c>
      <c s="18" r="O33" t="s">
        <v>775</v>
      </c>
    </row>
    <row customHeight="1" s="134" r="34" ht="15.75" spans="1:15">
      <c s="53" r="F34">
        <f>CVSSv2!$A$5</f>
        <v/>
      </c>
      <c s="54" r="G34" t="s">
        <v>776</v>
      </c>
    </row>
    <row customHeight="1" s="134" r="35" ht="15.75" spans="1:15">
      <c s="53" r="F35">
        <f>CVSSv2!$A$6</f>
        <v/>
      </c>
      <c s="54" r="G35" t="s">
        <v>743</v>
      </c>
    </row>
    <row customHeight="1" s="134" r="36" ht="15.75" spans="1:15">
      <c s="53" r="F36">
        <f>CVSSv2!$A$7</f>
        <v/>
      </c>
      <c s="54" r="G36" t="s">
        <v>746</v>
      </c>
    </row>
    <row customHeight="1" s="134" r="37" ht="15.75" spans="1:15">
      <c s="53" r="F37">
        <f>CVSSv2!$A$8</f>
        <v/>
      </c>
      <c s="54" r="G37" t="s">
        <v>746</v>
      </c>
    </row>
    <row customHeight="1" s="134" r="38" ht="15.75" spans="1:15">
      <c s="53" r="F38">
        <f>CVSSv2!$A$9</f>
        <v/>
      </c>
      <c s="54" r="G38" t="s">
        <v>746</v>
      </c>
    </row>
    <row customHeight="1" s="134" r="39" ht="15.75" spans="1:15">
      <c s="53" r="F39">
        <f>CVSSv2!$A$10</f>
        <v/>
      </c>
      <c s="54" r="G39" t="s">
        <v>759</v>
      </c>
    </row>
    <row customHeight="1" s="134" r="40" ht="15.75" spans="1:15">
      <c s="53" r="F40">
        <f>CVSSv2!$A$11</f>
        <v/>
      </c>
      <c s="54" r="G40" t="s">
        <v>777</v>
      </c>
    </row>
    <row customHeight="1" s="134" r="41" ht="15.75" spans="1:15">
      <c s="53" r="F41">
        <f>CVSSv2!$A$12</f>
        <v/>
      </c>
      <c s="54" r="G41" t="s">
        <v>750</v>
      </c>
    </row>
    <row customHeight="1" s="134" r="42" ht="15.75" spans="1:15">
      <c s="55" r="F42">
        <f>"("&amp;CVSSv2!$B$4&amp;":"&amp;IF(G33=CVSSv2!$C$4,CVSSv2!$C$26,IF(G33=CVSSv2!$D$4,CVSSv2!$D$26,IF(G33=CVSSv2!$E$4,CVSSv2!$E$26,"")))&amp;"/"&amp;CVSSv2!$B$5&amp;":"&amp;IF(G34=CVSSv2!$C$5,CVSSv2!$C$27,IF(G34=CVSSv2!$D$5,CVSSv2!$D$27,IF(G34=CVSSv2!$E$5,CVSSv2!$E$27,"")))&amp;"/"&amp;CVSSv2!$B$6&amp;":"&amp;IF(G35=CVSSv2!$C$6,CVSSv2!$C$28,IF(G35=CVSSv2!$D$6,CVSSv2!$D$28,IF(G35=CVSSv2!$E$6,CVSSv2!$E$28,"")))&amp;"/"&amp;CVSSv2!$B$7&amp;":"&amp;IF(G36=CVSSv2!$C$7,CVSSv2!$C$29,IF(G36=CVSSv2!$D$7,CVSSv2!$D$29,IF(G36=CVSSv2!$E$7,CVSSv2!$E$29,"")))&amp;"/"&amp;CVSSv2!$B$8&amp;":"&amp;IF(G37=CVSSv2!$C$8,CVSSv2!$C$30,IF(G37=CVSSv2!$D$8,CVSSv2!$D$30,IF(G37=CVSSv2!$E$8,CVSSv2!$E$30,"")))&amp;"/"&amp;CVSSv2!$B$9&amp;":"&amp;IF(G38=CVSSv2!$C$9,CVSSv2!$C$31,IF(G38=CVSSv2!$D$9,CVSSv2!$D$31,IF(G38=CVSSv2!$E$9,CVSSv2!$E$31,"")))&amp;"/"&amp;CVSSv2!$B$10&amp;":"&amp;IF(G39=CVSSv2!$C$10,CVSSv2!$C$32,IF(G39=CVSSv2!$D$10,CVSSv2!$D$32,IF(G39=CVSSv2!$E$10,CVSSv2!$E$32,IF(G39=CVSSv2!$F$10,CVSSv2!$F$32,""))))&amp;"/"&amp;CVSSv2!$B$11&amp;":"&amp;IF(G40=CVSSv2!$C$11,CVSSv2!$C$33,IF(G40=CVSSv2!$D$11,CVSSv2!$D$33,IF(G40=CVSSv2!$E$11,CVSSv2!$E$33,IF(G40=CVSSv2!$F$11,CVSSv2!$F$33,""))))&amp;"/"&amp;CVSSv2!$B$12&amp;":"&amp;IF(G41=CVSSv2!$C$12,CVSSv2!$C$34,IF(G41=CVSSv2!$D$12,CVSSv2!$D$34,IF(G41=CVSSv2!$E$12,CVSSv2!$E$34,"")))&amp;")"</f>
        <v/>
      </c>
    </row>
    <row customHeight="1" s="134" r="43" ht="15.75" spans="1:15">
      <c s="19" r="A43">
        <f>IF(A42="#",1,A33+1)</f>
        <v/>
      </c>
      <c s="18" r="B43" t="s">
        <v>778</v>
      </c>
      <c s="18" r="C43" t="n"/>
      <c s="18" r="D43" t="n"/>
      <c s="18" r="E43">
        <f>IFERROR(__xludf.dummyfunction("CONCATENATE(ARRAYFORMULA(QUERY(QUERY(Indirect(C_Activos!$L$1&amp;""!A:F""),""SELECT A, B, C, D, E, F WHERE A MATCHES '""&amp;M43&amp;""'""),""select Col1"")&amp;"" ""&amp;QUERY(QUERY(Indirect(C_Activos!$L$1&amp;""!A:F""),""SELECT A, B, C, D, E, F WHERE A MATCHES '""&amp;M43&amp;""'""),""select Col2"")&amp;CHAR(10)&amp;""(Capa:""&amp;QUERY(QUERY(Indirect(C_Activos!$L$1&amp;""!A:F""),""SELECT A, B, C, D, E, F WHERE A MATCHES '""&amp;M43&amp;""'""),""select Col3"")&amp;"", Alcance:""&amp;QUERY(QUERY(Indirect(C_Activos!$L$1&amp;""!A:F""),""SELECT A, B, C, D, E, F WHERE A MATCHES '""&amp;M43&amp;""'""),""select Col5"")&amp;"", Activo:""&amp;QUERY(QUERY(Indirect(C_Activos!$L$1&amp;""!A:F""),""SELECT A, B, C, D, E, F WHERE A MATCHES '""&amp;M43&amp;""'""),""select Col4"")&amp;"", Fase:""&amp;QUERY(QUERY(Indirect(C_Activos!$L$1&amp;""!A:F""),""SELECT A, B, C, D, E, F WHERE A MATCHES '""&amp;M43&amp;""'""),""select Col6"")&amp;"")""&amp;CHAR(10)&amp;CHAR(10)))"),"#VALUE!")</f>
        <v/>
      </c>
      <c s="50" r="F43">
        <f>CVSSv2!$A$4</f>
        <v/>
      </c>
      <c s="51" r="G43" t="s">
        <v>772</v>
      </c>
      <c s="52" r="H43">
        <f>ROUND(((0.6*(10.41*(1-(1-IF(G46=CVSSv2!$C$7,CVSSv2!$C$18,IF(G46=CVSSv2!$D$7,CVSSv2!$D$18,IF(G46=CVSSv2!$E$7,CVSSv2!$E$18,0))))*(1-IF(G47=CVSSv2!$C$8,CVSSv2!$C$19,IF(G47=CVSSv2!$D$8,CVSSv2!$D$19,IF(G47=CVSSv2!$E$8,CVSSv2!$E$19,0))))*(1-IF(G48=CVSSv2!$C$9,CVSSv2!$C$20,IF(G48=CVSSv2!$D$9,CVSSv2!$D$20,IF(G48=CVSSv2!$E$9,CVSSv2!$E$20,0))))))+0.4*(20*IF(G43=CVSSv2!$C$4,CVSSv2!$C$15,IF(G43=CVSSv2!$D$4,CVSSv2!$D$15,IF(G43=CVSSv2!$E$4,CVSSv2!$E$15,0)))*IF(G44=CVSSv2!$C$5,CVSSv2!$C$16,IF(G44=CVSSv2!$D$5,CVSSv2!$D$16,IF(G44=CVSSv2!$E$5,CVSSv2!$E$16,0)))*IF(G45=CVSSv2!$C$6,CVSSv2!$C$17,IF(G45=CVSSv2!$D$6,CVSSv2!$D$17,IF(G45=CVSSv2!$E$6,CVSSv2!$E$17,0))))-1.5)*(IF(10.41*(1-(1-IF(G46=CVSSv2!$C$7,CVSSv2!$C$18,IF(G46=CVSSv2!$D$7,CVSSv2!$D$18,IF(G46=CVSSv2!$E$7,CVSSv2!$E$18,0))))*(1-IF(G47=CVSSv2!$C$8,CVSSv2!$C$19,IF(G47=CVSSv2!$D$8,CVSSv2!$D$19,IF(G47=CVSSv2!$E$8,CVSSv2!$E$19,0))))*(1-IF(G48=CVSSv2!$C$9,CVSSv2!$C$20,IF(G48=CVSSv2!$D$9,CVSSv2!$D$20,IF(G48=CVSSv2!$E$9,CVSSv2!$E$20,0)))))=0,0,1.176)))*(IF(G49=CVSSv2!$C$10,CVSSv2!$C$21,IF(G49=CVSSv2!$D$10,CVSSv2!$D$21,IF(G49=CVSSv2!$E$10,CVSSv2!$E$21,IF(G49=CVSSv2!$F$10,CVSSv2!$F$21,0))))*IF(G50=CVSSv2!$C$11,CVSSv2!$C$22,IF(G50=CVSSv2!$D$11,CVSSv2!$D$22,IF(G50=CVSSv2!$E$11,CVSSv2!$E$22,IF(G50=CVSSv2!$F$11,CVSSv2!$F$22,0))))*IF(G51=CVSSv2!$C$12,CVSSv2!$C$23,IF(G51=CVSSv2!$D$12,CVSSv2!$D$23,IF(G51=CVSSv2!$E$12,CVSSv2!$E$23,0)))),1)</f>
        <v/>
      </c>
      <c s="19" r="I43" t="n">
        <v>5</v>
      </c>
      <c s="18" r="J43" t="n"/>
      <c s="18" r="K43" t="n"/>
      <c s="18" r="L43" t="n"/>
      <c s="18" r="M43" t="s">
        <v>779</v>
      </c>
      <c s="18" r="N43" t="s">
        <v>780</v>
      </c>
      <c s="18" r="O43" t="s">
        <v>781</v>
      </c>
    </row>
    <row customHeight="1" s="134" r="44" ht="15.75" spans="1:15">
      <c s="53" r="F44">
        <f>CVSSv2!$A$5</f>
        <v/>
      </c>
      <c s="54" r="G44" t="s">
        <v>776</v>
      </c>
    </row>
    <row customHeight="1" s="134" r="45" ht="15.75" spans="1:15">
      <c s="53" r="F45">
        <f>CVSSv2!$A$6</f>
        <v/>
      </c>
      <c s="54" r="G45" t="s">
        <v>743</v>
      </c>
    </row>
    <row customHeight="1" s="134" r="46" ht="15.75" spans="1:15">
      <c s="53" r="F46">
        <f>CVSSv2!$A$7</f>
        <v/>
      </c>
      <c s="54" r="G46" t="s">
        <v>746</v>
      </c>
    </row>
    <row customHeight="1" s="134" r="47" ht="15.75" spans="1:15">
      <c s="53" r="F47">
        <f>CVSSv2!$A$8</f>
        <v/>
      </c>
      <c s="54" r="G47" t="s">
        <v>746</v>
      </c>
    </row>
    <row customHeight="1" s="134" r="48" ht="15.75" spans="1:15">
      <c s="53" r="F48">
        <f>CVSSv2!$A$9</f>
        <v/>
      </c>
      <c s="54" r="G48" t="s">
        <v>746</v>
      </c>
    </row>
    <row customHeight="1" s="134" r="49" ht="15.75" spans="1:15">
      <c s="53" r="F49">
        <f>CVSSv2!$A$10</f>
        <v/>
      </c>
      <c s="54" r="G49" t="s">
        <v>759</v>
      </c>
    </row>
    <row customHeight="1" s="134" r="50" ht="15.75" spans="1:15">
      <c s="53" r="F50">
        <f>CVSSv2!$A$11</f>
        <v/>
      </c>
      <c s="54" r="G50" t="s">
        <v>777</v>
      </c>
    </row>
    <row customHeight="1" s="134" r="51" ht="15.75" spans="1:15">
      <c s="53" r="F51">
        <f>CVSSv2!$A$12</f>
        <v/>
      </c>
      <c s="54" r="G51" t="s">
        <v>750</v>
      </c>
    </row>
    <row customHeight="1" s="134" r="52" ht="15.75" spans="1:15">
      <c s="55" r="F52">
        <f>"("&amp;CVSSv2!$B$4&amp;":"&amp;IF(G43=CVSSv2!$C$4,CVSSv2!$C$26,IF(G43=CVSSv2!$D$4,CVSSv2!$D$26,IF(G43=CVSSv2!$E$4,CVSSv2!$E$26,"")))&amp;"/"&amp;CVSSv2!$B$5&amp;":"&amp;IF(G44=CVSSv2!$C$5,CVSSv2!$C$27,IF(G44=CVSSv2!$D$5,CVSSv2!$D$27,IF(G44=CVSSv2!$E$5,CVSSv2!$E$27,"")))&amp;"/"&amp;CVSSv2!$B$6&amp;":"&amp;IF(G45=CVSSv2!$C$6,CVSSv2!$C$28,IF(G45=CVSSv2!$D$6,CVSSv2!$D$28,IF(G45=CVSSv2!$E$6,CVSSv2!$E$28,"")))&amp;"/"&amp;CVSSv2!$B$7&amp;":"&amp;IF(G46=CVSSv2!$C$7,CVSSv2!$C$29,IF(G46=CVSSv2!$D$7,CVSSv2!$D$29,IF(G46=CVSSv2!$E$7,CVSSv2!$E$29,"")))&amp;"/"&amp;CVSSv2!$B$8&amp;":"&amp;IF(G47=CVSSv2!$C$8,CVSSv2!$C$30,IF(G47=CVSSv2!$D$8,CVSSv2!$D$30,IF(G47=CVSSv2!$E$8,CVSSv2!$E$30,"")))&amp;"/"&amp;CVSSv2!$B$9&amp;":"&amp;IF(G48=CVSSv2!$C$9,CVSSv2!$C$31,IF(G48=CVSSv2!$D$9,CVSSv2!$D$31,IF(G48=CVSSv2!$E$9,CVSSv2!$E$31,"")))&amp;"/"&amp;CVSSv2!$B$10&amp;":"&amp;IF(G49=CVSSv2!$C$10,CVSSv2!$C$32,IF(G49=CVSSv2!$D$10,CVSSv2!$D$32,IF(G49=CVSSv2!$E$10,CVSSv2!$E$32,IF(G49=CVSSv2!$F$10,CVSSv2!$F$32,""))))&amp;"/"&amp;CVSSv2!$B$11&amp;":"&amp;IF(G50=CVSSv2!$C$11,CVSSv2!$C$33,IF(G50=CVSSv2!$D$11,CVSSv2!$D$33,IF(G50=CVSSv2!$E$11,CVSSv2!$E$33,IF(G50=CVSSv2!$F$11,CVSSv2!$F$33,""))))&amp;"/"&amp;CVSSv2!$B$12&amp;":"&amp;IF(G51=CVSSv2!$C$12,CVSSv2!$C$34,IF(G51=CVSSv2!$D$12,CVSSv2!$D$34,IF(G51=CVSSv2!$E$12,CVSSv2!$E$34,"")))&amp;")"</f>
        <v/>
      </c>
    </row>
    <row customHeight="1" s="134" r="53" ht="15.75" spans="1:15">
      <c s="19" r="A53">
        <f>IF(A52="#",1,A43+1)</f>
        <v/>
      </c>
      <c s="18" r="B53" t="s">
        <v>782</v>
      </c>
      <c s="18" r="C53" t="n"/>
      <c s="18" r="D53" t="n"/>
      <c s="18" r="E53">
        <f>IFERROR(__xludf.dummyfunction("CONCATENATE(ARRAYFORMULA(QUERY(QUERY(Indirect(C_Activos!$L$1&amp;""!A:F""),""SELECT A, B, C, D, E, F WHERE A MATCHES '""&amp;M53&amp;""'""),""select Col1"")&amp;"" ""&amp;QUERY(QUERY(Indirect(C_Activos!$L$1&amp;""!A:F""),""SELECT A, B, C, D, E, F WHERE A MATCHES '""&amp;M53&amp;""'""),""select Col2"")&amp;CHAR(10)&amp;""(Capa:""&amp;QUERY(QUERY(Indirect(C_Activos!$L$1&amp;""!A:F""),""SELECT A, B, C, D, E, F WHERE A MATCHES '""&amp;M53&amp;""'""),""select Col3"")&amp;"", Alcance:""&amp;QUERY(QUERY(Indirect(C_Activos!$L$1&amp;""!A:F""),""SELECT A, B, C, D, E, F WHERE A MATCHES '""&amp;M53&amp;""'""),""select Col5"")&amp;"", Activo:""&amp;QUERY(QUERY(Indirect(C_Activos!$L$1&amp;""!A:F""),""SELECT A, B, C, D, E, F WHERE A MATCHES '""&amp;M53&amp;""'""),""select Col4"")&amp;"", Fase:""&amp;QUERY(QUERY(Indirect(C_Activos!$L$1&amp;""!A:F""),""SELECT A, B, C, D, E, F WHERE A MATCHES '""&amp;M53&amp;""'""),""select Col6"")&amp;"")""&amp;CHAR(10)&amp;CHAR(10)))"),"#VALUE!")</f>
        <v/>
      </c>
      <c s="50" r="F53">
        <f>CVSSv2!$A$4</f>
        <v/>
      </c>
      <c s="51" r="G53" t="s">
        <v>772</v>
      </c>
      <c s="52" r="H53">
        <f>ROUND(((0.6*(10.41*(1-(1-IF(G56=CVSSv2!$C$7,CVSSv2!$C$18,IF(G56=CVSSv2!$D$7,CVSSv2!$D$18,IF(G56=CVSSv2!$E$7,CVSSv2!$E$18,0))))*(1-IF(G57=CVSSv2!$C$8,CVSSv2!$C$19,IF(G57=CVSSv2!$D$8,CVSSv2!$D$19,IF(G57=CVSSv2!$E$8,CVSSv2!$E$19,0))))*(1-IF(G58=CVSSv2!$C$9,CVSSv2!$C$20,IF(G58=CVSSv2!$D$9,CVSSv2!$D$20,IF(G58=CVSSv2!$E$9,CVSSv2!$E$20,0))))))+0.4*(20*IF(G53=CVSSv2!$C$4,CVSSv2!$C$15,IF(G53=CVSSv2!$D$4,CVSSv2!$D$15,IF(G53=CVSSv2!$E$4,CVSSv2!$E$15,0)))*IF(G54=CVSSv2!$C$5,CVSSv2!$C$16,IF(G54=CVSSv2!$D$5,CVSSv2!$D$16,IF(G54=CVSSv2!$E$5,CVSSv2!$E$16,0)))*IF(G55=CVSSv2!$C$6,CVSSv2!$C$17,IF(G55=CVSSv2!$D$6,CVSSv2!$D$17,IF(G55=CVSSv2!$E$6,CVSSv2!$E$17,0))))-1.5)*(IF(10.41*(1-(1-IF(G56=CVSSv2!$C$7,CVSSv2!$C$18,IF(G56=CVSSv2!$D$7,CVSSv2!$D$18,IF(G56=CVSSv2!$E$7,CVSSv2!$E$18,0))))*(1-IF(G57=CVSSv2!$C$8,CVSSv2!$C$19,IF(G57=CVSSv2!$D$8,CVSSv2!$D$19,IF(G57=CVSSv2!$E$8,CVSSv2!$E$19,0))))*(1-IF(G58=CVSSv2!$C$9,CVSSv2!$C$20,IF(G58=CVSSv2!$D$9,CVSSv2!$D$20,IF(G58=CVSSv2!$E$9,CVSSv2!$E$20,0)))))=0,0,1.176)))*(IF(G59=CVSSv2!$C$10,CVSSv2!$C$21,IF(G59=CVSSv2!$D$10,CVSSv2!$D$21,IF(G59=CVSSv2!$E$10,CVSSv2!$E$21,IF(G59=CVSSv2!$F$10,CVSSv2!$F$21,0))))*IF(G60=CVSSv2!$C$11,CVSSv2!$C$22,IF(G60=CVSSv2!$D$11,CVSSv2!$D$22,IF(G60=CVSSv2!$E$11,CVSSv2!$E$22,IF(G60=CVSSv2!$F$11,CVSSv2!$F$22,0))))*IF(G61=CVSSv2!$C$12,CVSSv2!$C$23,IF(G61=CVSSv2!$D$12,CVSSv2!$D$23,IF(G61=CVSSv2!$E$12,CVSSv2!$E$23,0)))),1)</f>
        <v/>
      </c>
      <c s="19" r="I53" t="n">
        <v>6</v>
      </c>
      <c s="18" r="J53" t="n"/>
      <c s="18" r="K53" t="n"/>
      <c s="18" r="L53" t="n"/>
      <c s="18" r="M53" t="s">
        <v>779</v>
      </c>
      <c s="18" r="N53" t="s">
        <v>783</v>
      </c>
      <c s="18" r="O53" t="s">
        <v>784</v>
      </c>
    </row>
    <row customHeight="1" s="134" r="54" ht="15.75" spans="1:15">
      <c s="53" r="F54">
        <f>CVSSv2!$A$5</f>
        <v/>
      </c>
      <c s="54" r="G54" t="s">
        <v>776</v>
      </c>
    </row>
    <row customHeight="1" s="134" r="55" ht="15.75" spans="1:15">
      <c s="53" r="F55">
        <f>CVSSv2!$A$6</f>
        <v/>
      </c>
      <c s="54" r="G55" t="s">
        <v>743</v>
      </c>
    </row>
    <row customHeight="1" s="134" r="56" ht="15.75" spans="1:15">
      <c s="53" r="F56">
        <f>CVSSv2!$A$7</f>
        <v/>
      </c>
      <c s="54" r="G56" t="s">
        <v>746</v>
      </c>
    </row>
    <row customHeight="1" s="134" r="57" ht="15.75" spans="1:15">
      <c s="53" r="F57">
        <f>CVSSv2!$A$8</f>
        <v/>
      </c>
      <c s="54" r="G57" t="s">
        <v>746</v>
      </c>
    </row>
    <row customHeight="1" s="134" r="58" ht="15.75" spans="1:15">
      <c s="53" r="F58">
        <f>CVSSv2!$A$9</f>
        <v/>
      </c>
      <c s="54" r="G58" t="s">
        <v>746</v>
      </c>
    </row>
    <row customHeight="1" s="134" r="59" ht="15.75" spans="1:15">
      <c s="53" r="F59">
        <f>CVSSv2!$A$10</f>
        <v/>
      </c>
      <c s="54" r="G59" t="s">
        <v>759</v>
      </c>
    </row>
    <row customHeight="1" s="134" r="60" ht="15.75" spans="1:15">
      <c s="53" r="F60">
        <f>CVSSv2!$A$11</f>
        <v/>
      </c>
      <c s="54" r="G60" t="s">
        <v>777</v>
      </c>
    </row>
    <row customHeight="1" s="134" r="61" ht="15.75" spans="1:15">
      <c s="53" r="F61">
        <f>CVSSv2!$A$12</f>
        <v/>
      </c>
      <c s="54" r="G61" t="s">
        <v>750</v>
      </c>
    </row>
    <row customHeight="1" s="134" r="62" ht="15.75" spans="1:15">
      <c s="55" r="F62">
        <f>"("&amp;CVSSv2!$B$4&amp;":"&amp;IF(G53=CVSSv2!$C$4,CVSSv2!$C$26,IF(G53=CVSSv2!$D$4,CVSSv2!$D$26,IF(G53=CVSSv2!$E$4,CVSSv2!$E$26,"")))&amp;"/"&amp;CVSSv2!$B$5&amp;":"&amp;IF(G54=CVSSv2!$C$5,CVSSv2!$C$27,IF(G54=CVSSv2!$D$5,CVSSv2!$D$27,IF(G54=CVSSv2!$E$5,CVSSv2!$E$27,"")))&amp;"/"&amp;CVSSv2!$B$6&amp;":"&amp;IF(G55=CVSSv2!$C$6,CVSSv2!$C$28,IF(G55=CVSSv2!$D$6,CVSSv2!$D$28,IF(G55=CVSSv2!$E$6,CVSSv2!$E$28,"")))&amp;"/"&amp;CVSSv2!$B$7&amp;":"&amp;IF(G56=CVSSv2!$C$7,CVSSv2!$C$29,IF(G56=CVSSv2!$D$7,CVSSv2!$D$29,IF(G56=CVSSv2!$E$7,CVSSv2!$E$29,"")))&amp;"/"&amp;CVSSv2!$B$8&amp;":"&amp;IF(G57=CVSSv2!$C$8,CVSSv2!$C$30,IF(G57=CVSSv2!$D$8,CVSSv2!$D$30,IF(G57=CVSSv2!$E$8,CVSSv2!$E$30,"")))&amp;"/"&amp;CVSSv2!$B$9&amp;":"&amp;IF(G58=CVSSv2!$C$9,CVSSv2!$C$31,IF(G58=CVSSv2!$D$9,CVSSv2!$D$31,IF(G58=CVSSv2!$E$9,CVSSv2!$E$31,"")))&amp;"/"&amp;CVSSv2!$B$10&amp;":"&amp;IF(G59=CVSSv2!$C$10,CVSSv2!$C$32,IF(G59=CVSSv2!$D$10,CVSSv2!$D$32,IF(G59=CVSSv2!$E$10,CVSSv2!$E$32,IF(G59=CVSSv2!$F$10,CVSSv2!$F$32,""))))&amp;"/"&amp;CVSSv2!$B$11&amp;":"&amp;IF(G60=CVSSv2!$C$11,CVSSv2!$C$33,IF(G60=CVSSv2!$D$11,CVSSv2!$D$33,IF(G60=CVSSv2!$E$11,CVSSv2!$E$33,IF(G60=CVSSv2!$F$11,CVSSv2!$F$33,""))))&amp;"/"&amp;CVSSv2!$B$12&amp;":"&amp;IF(G61=CVSSv2!$C$12,CVSSv2!$C$34,IF(G61=CVSSv2!$D$12,CVSSv2!$D$34,IF(G61=CVSSv2!$E$12,CVSSv2!$E$34,"")))&amp;")"</f>
        <v/>
      </c>
    </row>
    <row customHeight="1" s="134" r="63" ht="15.75" spans="1:15">
      <c s="19" r="A63">
        <f>IF(A62="#",1,A53+1)</f>
        <v/>
      </c>
      <c s="18" r="B63" t="s">
        <v>785</v>
      </c>
      <c s="18" r="C63" t="n"/>
      <c s="18" r="D63" t="n"/>
      <c s="18" r="E63">
        <f>IFERROR(__xludf.dummyfunction("CONCATENATE(ARRAYFORMULA(QUERY(QUERY(Indirect(C_Activos!$L$1&amp;""!A:F""),""SELECT A, B, C, D, E, F WHERE A MATCHES '""&amp;M63&amp;""'""),""select Col1"")&amp;"" ""&amp;QUERY(QUERY(Indirect(C_Activos!$L$1&amp;""!A:F""),""SELECT A, B, C, D, E, F WHERE A MATCHES '""&amp;M63&amp;""'""),""select Col2"")&amp;CHAR(10)&amp;""(Capa:""&amp;QUERY(QUERY(Indirect(C_Activos!$L$1&amp;""!A:F""),""SELECT A, B, C, D, E, F WHERE A MATCHES '""&amp;M63&amp;""'""),""select Col3"")&amp;"", Alcance:""&amp;QUERY(QUERY(Indirect(C_Activos!$L$1&amp;""!A:F""),""SELECT A, B, C, D, E, F WHERE A MATCHES '""&amp;M63&amp;""'""),""select Col5"")&amp;"", Activo:""&amp;QUERY(QUERY(Indirect(C_Activos!$L$1&amp;""!A:F""),""SELECT A, B, C, D, E, F WHERE A MATCHES '""&amp;M63&amp;""'""),""select Col4"")&amp;"", Fase:""&amp;QUERY(QUERY(Indirect(C_Activos!$L$1&amp;""!A:F""),""SELECT A, B, C, D, E, F WHERE A MATCHES '""&amp;M63&amp;""'""),""select Col6"")&amp;"")""&amp;CHAR(10)&amp;CHAR(10)))"),"#VALUE!")</f>
        <v/>
      </c>
      <c s="50" r="F63">
        <f>CVSSv2!$A$4</f>
        <v/>
      </c>
      <c s="51" r="G63" t="s">
        <v>772</v>
      </c>
      <c s="52" r="H63">
        <f>ROUND(((0.6*(10.41*(1-(1-IF(G66=CVSSv2!$C$7,CVSSv2!$C$18,IF(G66=CVSSv2!$D$7,CVSSv2!$D$18,IF(G66=CVSSv2!$E$7,CVSSv2!$E$18,0))))*(1-IF(G67=CVSSv2!$C$8,CVSSv2!$C$19,IF(G67=CVSSv2!$D$8,CVSSv2!$D$19,IF(G67=CVSSv2!$E$8,CVSSv2!$E$19,0))))*(1-IF(G68=CVSSv2!$C$9,CVSSv2!$C$20,IF(G68=CVSSv2!$D$9,CVSSv2!$D$20,IF(G68=CVSSv2!$E$9,CVSSv2!$E$20,0))))))+0.4*(20*IF(G63=CVSSv2!$C$4,CVSSv2!$C$15,IF(G63=CVSSv2!$D$4,CVSSv2!$D$15,IF(G63=CVSSv2!$E$4,CVSSv2!$E$15,0)))*IF(G64=CVSSv2!$C$5,CVSSv2!$C$16,IF(G64=CVSSv2!$D$5,CVSSv2!$D$16,IF(G64=CVSSv2!$E$5,CVSSv2!$E$16,0)))*IF(G65=CVSSv2!$C$6,CVSSv2!$C$17,IF(G65=CVSSv2!$D$6,CVSSv2!$D$17,IF(G65=CVSSv2!$E$6,CVSSv2!$E$17,0))))-1.5)*(IF(10.41*(1-(1-IF(G66=CVSSv2!$C$7,CVSSv2!$C$18,IF(G66=CVSSv2!$D$7,CVSSv2!$D$18,IF(G66=CVSSv2!$E$7,CVSSv2!$E$18,0))))*(1-IF(G67=CVSSv2!$C$8,CVSSv2!$C$19,IF(G67=CVSSv2!$D$8,CVSSv2!$D$19,IF(G67=CVSSv2!$E$8,CVSSv2!$E$19,0))))*(1-IF(G68=CVSSv2!$C$9,CVSSv2!$C$20,IF(G68=CVSSv2!$D$9,CVSSv2!$D$20,IF(G68=CVSSv2!$E$9,CVSSv2!$E$20,0)))))=0,0,1.176)))*(IF(G69=CVSSv2!$C$10,CVSSv2!$C$21,IF(G69=CVSSv2!$D$10,CVSSv2!$D$21,IF(G69=CVSSv2!$E$10,CVSSv2!$E$21,IF(G69=CVSSv2!$F$10,CVSSv2!$F$21,0))))*IF(G70=CVSSv2!$C$11,CVSSv2!$C$22,IF(G70=CVSSv2!$D$11,CVSSv2!$D$22,IF(G70=CVSSv2!$E$11,CVSSv2!$E$22,IF(G70=CVSSv2!$F$11,CVSSv2!$F$22,0))))*IF(G71=CVSSv2!$C$12,CVSSv2!$C$23,IF(G71=CVSSv2!$D$12,CVSSv2!$D$23,IF(G71=CVSSv2!$E$12,CVSSv2!$E$23,0)))),1)</f>
        <v/>
      </c>
      <c s="19" r="I63" t="n">
        <v>7</v>
      </c>
      <c s="18" r="J63" t="n"/>
      <c s="18" r="K63" t="n"/>
      <c s="18" r="L63" t="n"/>
      <c s="18" r="M63" t="s">
        <v>779</v>
      </c>
      <c s="18" r="N63" t="s">
        <v>786</v>
      </c>
      <c s="18" r="O63" t="s">
        <v>787</v>
      </c>
    </row>
    <row customHeight="1" s="134" r="64" ht="15.75" spans="1:15">
      <c s="53" r="F64">
        <f>CVSSv2!$A$5</f>
        <v/>
      </c>
      <c s="54" r="G64" t="s">
        <v>776</v>
      </c>
    </row>
    <row customHeight="1" s="134" r="65" ht="15.75" spans="1:15">
      <c s="53" r="F65">
        <f>CVSSv2!$A$6</f>
        <v/>
      </c>
      <c s="54" r="G65" t="s">
        <v>743</v>
      </c>
    </row>
    <row customHeight="1" s="134" r="66" ht="15.75" spans="1:15">
      <c s="53" r="F66">
        <f>CVSSv2!$A$7</f>
        <v/>
      </c>
      <c s="54" r="G66" t="s">
        <v>746</v>
      </c>
    </row>
    <row customHeight="1" s="134" r="67" ht="15.75" spans="1:15">
      <c s="53" r="F67">
        <f>CVSSv2!$A$8</f>
        <v/>
      </c>
      <c s="54" r="G67" t="s">
        <v>746</v>
      </c>
    </row>
    <row customHeight="1" s="134" r="68" ht="15.75" spans="1:15">
      <c s="53" r="F68">
        <f>CVSSv2!$A$9</f>
        <v/>
      </c>
      <c s="54" r="G68" t="s">
        <v>746</v>
      </c>
    </row>
    <row customHeight="1" s="134" r="69" ht="15.75" spans="1:15">
      <c s="53" r="F69">
        <f>CVSSv2!$A$10</f>
        <v/>
      </c>
      <c s="54" r="G69" t="s">
        <v>759</v>
      </c>
    </row>
    <row customHeight="1" s="134" r="70" ht="15.75" spans="1:15">
      <c s="53" r="F70">
        <f>CVSSv2!$A$11</f>
        <v/>
      </c>
      <c s="54" r="G70" t="s">
        <v>777</v>
      </c>
    </row>
    <row customHeight="1" s="134" r="71" ht="15.75" spans="1:15">
      <c s="53" r="F71">
        <f>CVSSv2!$A$12</f>
        <v/>
      </c>
      <c s="54" r="G71" t="s">
        <v>750</v>
      </c>
    </row>
    <row customHeight="1" s="134" r="72" ht="15.75" spans="1:15">
      <c s="55" r="F72">
        <f>"("&amp;CVSSv2!$B$4&amp;":"&amp;IF(G63=CVSSv2!$C$4,CVSSv2!$C$26,IF(G63=CVSSv2!$D$4,CVSSv2!$D$26,IF(G63=CVSSv2!$E$4,CVSSv2!$E$26,"")))&amp;"/"&amp;CVSSv2!$B$5&amp;":"&amp;IF(G64=CVSSv2!$C$5,CVSSv2!$C$27,IF(G64=CVSSv2!$D$5,CVSSv2!$D$27,IF(G64=CVSSv2!$E$5,CVSSv2!$E$27,"")))&amp;"/"&amp;CVSSv2!$B$6&amp;":"&amp;IF(G65=CVSSv2!$C$6,CVSSv2!$C$28,IF(G65=CVSSv2!$D$6,CVSSv2!$D$28,IF(G65=CVSSv2!$E$6,CVSSv2!$E$28,"")))&amp;"/"&amp;CVSSv2!$B$7&amp;":"&amp;IF(G66=CVSSv2!$C$7,CVSSv2!$C$29,IF(G66=CVSSv2!$D$7,CVSSv2!$D$29,IF(G66=CVSSv2!$E$7,CVSSv2!$E$29,"")))&amp;"/"&amp;CVSSv2!$B$8&amp;":"&amp;IF(G67=CVSSv2!$C$8,CVSSv2!$C$30,IF(G67=CVSSv2!$D$8,CVSSv2!$D$30,IF(G67=CVSSv2!$E$8,CVSSv2!$E$30,"")))&amp;"/"&amp;CVSSv2!$B$9&amp;":"&amp;IF(G68=CVSSv2!$C$9,CVSSv2!$C$31,IF(G68=CVSSv2!$D$9,CVSSv2!$D$31,IF(G68=CVSSv2!$E$9,CVSSv2!$E$31,"")))&amp;"/"&amp;CVSSv2!$B$10&amp;":"&amp;IF(G69=CVSSv2!$C$10,CVSSv2!$C$32,IF(G69=CVSSv2!$D$10,CVSSv2!$D$32,IF(G69=CVSSv2!$E$10,CVSSv2!$E$32,IF(G69=CVSSv2!$F$10,CVSSv2!$F$32,""))))&amp;"/"&amp;CVSSv2!$B$11&amp;":"&amp;IF(G70=CVSSv2!$C$11,CVSSv2!$C$33,IF(G70=CVSSv2!$D$11,CVSSv2!$D$33,IF(G70=CVSSv2!$E$11,CVSSv2!$E$33,IF(G70=CVSSv2!$F$11,CVSSv2!$F$33,""))))&amp;"/"&amp;CVSSv2!$B$12&amp;":"&amp;IF(G71=CVSSv2!$C$12,CVSSv2!$C$34,IF(G71=CVSSv2!$D$12,CVSSv2!$D$34,IF(G71=CVSSv2!$E$12,CVSSv2!$E$34,"")))&amp;")"</f>
        <v/>
      </c>
    </row>
    <row customHeight="1" s="134" r="73" ht="15.75" spans="1:15">
      <c s="19" r="A73">
        <f>IF(A72="#",1,A63+1)</f>
        <v/>
      </c>
      <c s="18" r="B73" t="s">
        <v>788</v>
      </c>
      <c s="18" r="C73" t="n"/>
      <c s="18" r="D73" t="n"/>
      <c s="18" r="E73">
        <f>IFERROR(__xludf.dummyfunction("CONCATENATE(ARRAYFORMULA(QUERY(QUERY(Indirect(C_Activos!$L$1&amp;""!A:F""),""SELECT A, B, C, D, E, F WHERE A MATCHES '""&amp;M73&amp;""'""),""select Col1"")&amp;"" ""&amp;QUERY(QUERY(Indirect(C_Activos!$L$1&amp;""!A:F""),""SELECT A, B, C, D, E, F WHERE A MATCHES '""&amp;M73&amp;""'""),""select Col2"")&amp;CHAR(10)&amp;""(Capa:""&amp;QUERY(QUERY(Indirect(C_Activos!$L$1&amp;""!A:F""),""SELECT A, B, C, D, E, F WHERE A MATCHES '""&amp;M73&amp;""'""),""select Col3"")&amp;"", Alcance:""&amp;QUERY(QUERY(Indirect(C_Activos!$L$1&amp;""!A:F""),""SELECT A, B, C, D, E, F WHERE A MATCHES '""&amp;M73&amp;""'""),""select Col5"")&amp;"", Activo:""&amp;QUERY(QUERY(Indirect(C_Activos!$L$1&amp;""!A:F""),""SELECT A, B, C, D, E, F WHERE A MATCHES '""&amp;M73&amp;""'""),""select Col4"")&amp;"", Fase:""&amp;QUERY(QUERY(Indirect(C_Activos!$L$1&amp;""!A:F""),""SELECT A, B, C, D, E, F WHERE A MATCHES '""&amp;M73&amp;""'""),""select Col6"")&amp;"")""&amp;CHAR(10)&amp;CHAR(10)))"),"#VALUE!")</f>
        <v/>
      </c>
      <c s="50" r="F73">
        <f>CVSSv2!$A$4</f>
        <v/>
      </c>
      <c s="51" r="G73" t="s">
        <v>772</v>
      </c>
      <c s="52" r="H73">
        <f>ROUND(((0.6*(10.41*(1-(1-IF(G76=CVSSv2!$C$7,CVSSv2!$C$18,IF(G76=CVSSv2!$D$7,CVSSv2!$D$18,IF(G76=CVSSv2!$E$7,CVSSv2!$E$18,0))))*(1-IF(G77=CVSSv2!$C$8,CVSSv2!$C$19,IF(G77=CVSSv2!$D$8,CVSSv2!$D$19,IF(G77=CVSSv2!$E$8,CVSSv2!$E$19,0))))*(1-IF(G78=CVSSv2!$C$9,CVSSv2!$C$20,IF(G78=CVSSv2!$D$9,CVSSv2!$D$20,IF(G78=CVSSv2!$E$9,CVSSv2!$E$20,0))))))+0.4*(20*IF(G73=CVSSv2!$C$4,CVSSv2!$C$15,IF(G73=CVSSv2!$D$4,CVSSv2!$D$15,IF(G73=CVSSv2!$E$4,CVSSv2!$E$15,0)))*IF(G74=CVSSv2!$C$5,CVSSv2!$C$16,IF(G74=CVSSv2!$D$5,CVSSv2!$D$16,IF(G74=CVSSv2!$E$5,CVSSv2!$E$16,0)))*IF(G75=CVSSv2!$C$6,CVSSv2!$C$17,IF(G75=CVSSv2!$D$6,CVSSv2!$D$17,IF(G75=CVSSv2!$E$6,CVSSv2!$E$17,0))))-1.5)*(IF(10.41*(1-(1-IF(G76=CVSSv2!$C$7,CVSSv2!$C$18,IF(G76=CVSSv2!$D$7,CVSSv2!$D$18,IF(G76=CVSSv2!$E$7,CVSSv2!$E$18,0))))*(1-IF(G77=CVSSv2!$C$8,CVSSv2!$C$19,IF(G77=CVSSv2!$D$8,CVSSv2!$D$19,IF(G77=CVSSv2!$E$8,CVSSv2!$E$19,0))))*(1-IF(G78=CVSSv2!$C$9,CVSSv2!$C$20,IF(G78=CVSSv2!$D$9,CVSSv2!$D$20,IF(G78=CVSSv2!$E$9,CVSSv2!$E$20,0)))))=0,0,1.176)))*(IF(G79=CVSSv2!$C$10,CVSSv2!$C$21,IF(G79=CVSSv2!$D$10,CVSSv2!$D$21,IF(G79=CVSSv2!$E$10,CVSSv2!$E$21,IF(G79=CVSSv2!$F$10,CVSSv2!$F$21,0))))*IF(G80=CVSSv2!$C$11,CVSSv2!$C$22,IF(G80=CVSSv2!$D$11,CVSSv2!$D$22,IF(G80=CVSSv2!$E$11,CVSSv2!$E$22,IF(G80=CVSSv2!$F$11,CVSSv2!$F$22,0))))*IF(G81=CVSSv2!$C$12,CVSSv2!$C$23,IF(G81=CVSSv2!$D$12,CVSSv2!$D$23,IF(G81=CVSSv2!$E$12,CVSSv2!$E$23,0)))),1)</f>
        <v/>
      </c>
      <c s="19" r="I73" t="n">
        <v>8</v>
      </c>
      <c s="18" r="J73" t="n"/>
      <c s="18" r="K73" t="n"/>
      <c s="18" r="L73" t="n"/>
      <c s="18" r="M73" t="s">
        <v>779</v>
      </c>
      <c s="18" r="N73" t="s">
        <v>789</v>
      </c>
      <c s="18" r="O73" t="s">
        <v>790</v>
      </c>
    </row>
    <row customHeight="1" s="134" r="74" ht="15.75" spans="1:15">
      <c s="53" r="F74">
        <f>CVSSv2!$A$5</f>
        <v/>
      </c>
      <c s="54" r="G74" t="s">
        <v>776</v>
      </c>
    </row>
    <row customHeight="1" s="134" r="75" ht="15.75" spans="1:15">
      <c s="53" r="F75">
        <f>CVSSv2!$A$6</f>
        <v/>
      </c>
      <c s="54" r="G75" t="s">
        <v>743</v>
      </c>
    </row>
    <row customHeight="1" s="134" r="76" ht="15.75" spans="1:15">
      <c s="53" r="F76">
        <f>CVSSv2!$A$7</f>
        <v/>
      </c>
      <c s="54" r="G76" t="s">
        <v>746</v>
      </c>
    </row>
    <row customHeight="1" s="134" r="77" ht="15.75" spans="1:15">
      <c s="53" r="F77">
        <f>CVSSv2!$A$8</f>
        <v/>
      </c>
      <c s="54" r="G77" t="s">
        <v>746</v>
      </c>
    </row>
    <row customHeight="1" s="134" r="78" ht="15.75" spans="1:15">
      <c s="53" r="F78">
        <f>CVSSv2!$A$9</f>
        <v/>
      </c>
      <c s="54" r="G78" t="s">
        <v>746</v>
      </c>
    </row>
    <row customHeight="1" s="134" r="79" ht="15.75" spans="1:15">
      <c s="53" r="F79">
        <f>CVSSv2!$A$10</f>
        <v/>
      </c>
      <c s="54" r="G79" t="s">
        <v>759</v>
      </c>
    </row>
    <row customHeight="1" s="134" r="80" ht="15.75" spans="1:15">
      <c s="53" r="F80">
        <f>CVSSv2!$A$11</f>
        <v/>
      </c>
      <c s="54" r="G80" t="s">
        <v>777</v>
      </c>
    </row>
    <row customHeight="1" s="134" r="81" ht="15.75" spans="1:15">
      <c s="53" r="F81">
        <f>CVSSv2!$A$12</f>
        <v/>
      </c>
      <c s="54" r="G81" t="s">
        <v>750</v>
      </c>
    </row>
    <row customHeight="1" s="134" r="82" ht="15.75" spans="1:15">
      <c s="55" r="F82">
        <f>"("&amp;CVSSv2!$B$4&amp;":"&amp;IF(G73=CVSSv2!$C$4,CVSSv2!$C$26,IF(G73=CVSSv2!$D$4,CVSSv2!$D$26,IF(G73=CVSSv2!$E$4,CVSSv2!$E$26,"")))&amp;"/"&amp;CVSSv2!$B$5&amp;":"&amp;IF(G74=CVSSv2!$C$5,CVSSv2!$C$27,IF(G74=CVSSv2!$D$5,CVSSv2!$D$27,IF(G74=CVSSv2!$E$5,CVSSv2!$E$27,"")))&amp;"/"&amp;CVSSv2!$B$6&amp;":"&amp;IF(G75=CVSSv2!$C$6,CVSSv2!$C$28,IF(G75=CVSSv2!$D$6,CVSSv2!$D$28,IF(G75=CVSSv2!$E$6,CVSSv2!$E$28,"")))&amp;"/"&amp;CVSSv2!$B$7&amp;":"&amp;IF(G76=CVSSv2!$C$7,CVSSv2!$C$29,IF(G76=CVSSv2!$D$7,CVSSv2!$D$29,IF(G76=CVSSv2!$E$7,CVSSv2!$E$29,"")))&amp;"/"&amp;CVSSv2!$B$8&amp;":"&amp;IF(G77=CVSSv2!$C$8,CVSSv2!$C$30,IF(G77=CVSSv2!$D$8,CVSSv2!$D$30,IF(G77=CVSSv2!$E$8,CVSSv2!$E$30,"")))&amp;"/"&amp;CVSSv2!$B$9&amp;":"&amp;IF(G78=CVSSv2!$C$9,CVSSv2!$C$31,IF(G78=CVSSv2!$D$9,CVSSv2!$D$31,IF(G78=CVSSv2!$E$9,CVSSv2!$E$31,"")))&amp;"/"&amp;CVSSv2!$B$10&amp;":"&amp;IF(G79=CVSSv2!$C$10,CVSSv2!$C$32,IF(G79=CVSSv2!$D$10,CVSSv2!$D$32,IF(G79=CVSSv2!$E$10,CVSSv2!$E$32,IF(G79=CVSSv2!$F$10,CVSSv2!$F$32,""))))&amp;"/"&amp;CVSSv2!$B$11&amp;":"&amp;IF(G80=CVSSv2!$C$11,CVSSv2!$C$33,IF(G80=CVSSv2!$D$11,CVSSv2!$D$33,IF(G80=CVSSv2!$E$11,CVSSv2!$E$33,IF(G80=CVSSv2!$F$11,CVSSv2!$F$33,""))))&amp;"/"&amp;CVSSv2!$B$12&amp;":"&amp;IF(G81=CVSSv2!$C$12,CVSSv2!$C$34,IF(G81=CVSSv2!$D$12,CVSSv2!$D$34,IF(G81=CVSSv2!$E$12,CVSSv2!$E$34,"")))&amp;")"</f>
        <v/>
      </c>
    </row>
    <row customHeight="1" s="134" r="83" ht="15.75" spans="1:15">
      <c s="19" r="A83">
        <f>IF(A82="#",1,A73+1)</f>
        <v/>
      </c>
      <c s="18" r="B83" t="s">
        <v>791</v>
      </c>
      <c s="18" r="C83" t="n"/>
      <c s="18" r="D83" t="n"/>
      <c s="18" r="E83">
        <f>IFERROR(__xludf.dummyfunction("CONCATENATE(ARRAYFORMULA(QUERY(QUERY(Indirect(C_Activos!$L$1&amp;""!A:F""),""SELECT A, B, C, D, E, F WHERE A MATCHES '""&amp;M83&amp;""'""),""select Col1"")&amp;"" ""&amp;QUERY(QUERY(Indirect(C_Activos!$L$1&amp;""!A:F""),""SELECT A, B, C, D, E, F WHERE A MATCHES '""&amp;M83&amp;""'""),""select Col2"")&amp;CHAR(10)&amp;""(Capa:""&amp;QUERY(QUERY(Indirect(C_Activos!$L$1&amp;""!A:F""),""SELECT A, B, C, D, E, F WHERE A MATCHES '""&amp;M83&amp;""'""),""select Col3"")&amp;"", Alcance:""&amp;QUERY(QUERY(Indirect(C_Activos!$L$1&amp;""!A:F""),""SELECT A, B, C, D, E, F WHERE A MATCHES '""&amp;M83&amp;""'""),""select Col5"")&amp;"", Activo:""&amp;QUERY(QUERY(Indirect(C_Activos!$L$1&amp;""!A:F""),""SELECT A, B, C, D, E, F WHERE A MATCHES '""&amp;M83&amp;""'""),""select Col4"")&amp;"", Fase:""&amp;QUERY(QUERY(Indirect(C_Activos!$L$1&amp;""!A:F""),""SELECT A, B, C, D, E, F WHERE A MATCHES '""&amp;M83&amp;""'""),""select Col6"")&amp;"")""&amp;CHAR(10)&amp;CHAR(10)))"),"#VALUE!")</f>
        <v/>
      </c>
      <c s="50" r="F83">
        <f>CVSSv2!$A$4</f>
        <v/>
      </c>
      <c s="51" r="G83" t="s">
        <v>772</v>
      </c>
      <c s="52" r="H83">
        <f>ROUND(((0.6*(10.41*(1-(1-IF(G86=CVSSv2!$C$7,CVSSv2!$C$18,IF(G86=CVSSv2!$D$7,CVSSv2!$D$18,IF(G86=CVSSv2!$E$7,CVSSv2!$E$18,0))))*(1-IF(G87=CVSSv2!$C$8,CVSSv2!$C$19,IF(G87=CVSSv2!$D$8,CVSSv2!$D$19,IF(G87=CVSSv2!$E$8,CVSSv2!$E$19,0))))*(1-IF(G88=CVSSv2!$C$9,CVSSv2!$C$20,IF(G88=CVSSv2!$D$9,CVSSv2!$D$20,IF(G88=CVSSv2!$E$9,CVSSv2!$E$20,0))))))+0.4*(20*IF(G83=CVSSv2!$C$4,CVSSv2!$C$15,IF(G83=CVSSv2!$D$4,CVSSv2!$D$15,IF(G83=CVSSv2!$E$4,CVSSv2!$E$15,0)))*IF(G84=CVSSv2!$C$5,CVSSv2!$C$16,IF(G84=CVSSv2!$D$5,CVSSv2!$D$16,IF(G84=CVSSv2!$E$5,CVSSv2!$E$16,0)))*IF(G85=CVSSv2!$C$6,CVSSv2!$C$17,IF(G85=CVSSv2!$D$6,CVSSv2!$D$17,IF(G85=CVSSv2!$E$6,CVSSv2!$E$17,0))))-1.5)*(IF(10.41*(1-(1-IF(G86=CVSSv2!$C$7,CVSSv2!$C$18,IF(G86=CVSSv2!$D$7,CVSSv2!$D$18,IF(G86=CVSSv2!$E$7,CVSSv2!$E$18,0))))*(1-IF(G87=CVSSv2!$C$8,CVSSv2!$C$19,IF(G87=CVSSv2!$D$8,CVSSv2!$D$19,IF(G87=CVSSv2!$E$8,CVSSv2!$E$19,0))))*(1-IF(G88=CVSSv2!$C$9,CVSSv2!$C$20,IF(G88=CVSSv2!$D$9,CVSSv2!$D$20,IF(G88=CVSSv2!$E$9,CVSSv2!$E$20,0)))))=0,0,1.176)))*(IF(G89=CVSSv2!$C$10,CVSSv2!$C$21,IF(G89=CVSSv2!$D$10,CVSSv2!$D$21,IF(G89=CVSSv2!$E$10,CVSSv2!$E$21,IF(G89=CVSSv2!$F$10,CVSSv2!$F$21,0))))*IF(G90=CVSSv2!$C$11,CVSSv2!$C$22,IF(G90=CVSSv2!$D$11,CVSSv2!$D$22,IF(G90=CVSSv2!$E$11,CVSSv2!$E$22,IF(G90=CVSSv2!$F$11,CVSSv2!$F$22,0))))*IF(G91=CVSSv2!$C$12,CVSSv2!$C$23,IF(G91=CVSSv2!$D$12,CVSSv2!$D$23,IF(G91=CVSSv2!$E$12,CVSSv2!$E$23,0)))),1)</f>
        <v/>
      </c>
      <c s="19" r="I83" t="n">
        <v>9</v>
      </c>
      <c s="18" r="J83" t="n"/>
      <c s="18" r="K83" t="n"/>
      <c s="18" r="L83" t="n"/>
      <c s="18" r="M83" t="s">
        <v>779</v>
      </c>
      <c s="18" r="N83" t="s">
        <v>792</v>
      </c>
      <c s="18" r="O83" t="s">
        <v>793</v>
      </c>
    </row>
    <row customHeight="1" s="134" r="84" ht="15.75" spans="1:15">
      <c s="53" r="F84">
        <f>CVSSv2!$A$5</f>
        <v/>
      </c>
      <c s="54" r="G84" t="s">
        <v>776</v>
      </c>
    </row>
    <row customHeight="1" s="134" r="85" ht="15.75" spans="1:15">
      <c s="53" r="F85">
        <f>CVSSv2!$A$6</f>
        <v/>
      </c>
      <c s="54" r="G85" t="s">
        <v>743</v>
      </c>
    </row>
    <row customHeight="1" s="134" r="86" ht="15.75" spans="1:15">
      <c s="53" r="F86">
        <f>CVSSv2!$A$7</f>
        <v/>
      </c>
      <c s="54" r="G86" t="s">
        <v>746</v>
      </c>
    </row>
    <row customHeight="1" s="134" r="87" ht="15.75" spans="1:15">
      <c s="53" r="F87">
        <f>CVSSv2!$A$8</f>
        <v/>
      </c>
      <c s="54" r="G87" t="s">
        <v>746</v>
      </c>
    </row>
    <row customHeight="1" s="134" r="88" ht="15.75" spans="1:15">
      <c s="53" r="F88">
        <f>CVSSv2!$A$9</f>
        <v/>
      </c>
      <c s="54" r="G88" t="s">
        <v>746</v>
      </c>
    </row>
    <row customHeight="1" s="134" r="89" ht="15.75" spans="1:15">
      <c s="53" r="F89">
        <f>CVSSv2!$A$10</f>
        <v/>
      </c>
      <c s="54" r="G89" t="s">
        <v>759</v>
      </c>
    </row>
    <row customHeight="1" s="134" r="90" ht="15.75" spans="1:15">
      <c s="53" r="F90">
        <f>CVSSv2!$A$11</f>
        <v/>
      </c>
      <c s="54" r="G90" t="s">
        <v>777</v>
      </c>
    </row>
    <row customHeight="1" s="134" r="91" ht="15.75" spans="1:15">
      <c s="53" r="F91">
        <f>CVSSv2!$A$12</f>
        <v/>
      </c>
      <c s="54" r="G91" t="s">
        <v>750</v>
      </c>
    </row>
    <row customHeight="1" s="134" r="92" ht="15.75" spans="1:15">
      <c s="55" r="F92">
        <f>"("&amp;CVSSv2!$B$4&amp;":"&amp;IF(G83=CVSSv2!$C$4,CVSSv2!$C$26,IF(G83=CVSSv2!$D$4,CVSSv2!$D$26,IF(G83=CVSSv2!$E$4,CVSSv2!$E$26,"")))&amp;"/"&amp;CVSSv2!$B$5&amp;":"&amp;IF(G84=CVSSv2!$C$5,CVSSv2!$C$27,IF(G84=CVSSv2!$D$5,CVSSv2!$D$27,IF(G84=CVSSv2!$E$5,CVSSv2!$E$27,"")))&amp;"/"&amp;CVSSv2!$B$6&amp;":"&amp;IF(G85=CVSSv2!$C$6,CVSSv2!$C$28,IF(G85=CVSSv2!$D$6,CVSSv2!$D$28,IF(G85=CVSSv2!$E$6,CVSSv2!$E$28,"")))&amp;"/"&amp;CVSSv2!$B$7&amp;":"&amp;IF(G86=CVSSv2!$C$7,CVSSv2!$C$29,IF(G86=CVSSv2!$D$7,CVSSv2!$D$29,IF(G86=CVSSv2!$E$7,CVSSv2!$E$29,"")))&amp;"/"&amp;CVSSv2!$B$8&amp;":"&amp;IF(G87=CVSSv2!$C$8,CVSSv2!$C$30,IF(G87=CVSSv2!$D$8,CVSSv2!$D$30,IF(G87=CVSSv2!$E$8,CVSSv2!$E$30,"")))&amp;"/"&amp;CVSSv2!$B$9&amp;":"&amp;IF(G88=CVSSv2!$C$9,CVSSv2!$C$31,IF(G88=CVSSv2!$D$9,CVSSv2!$D$31,IF(G88=CVSSv2!$E$9,CVSSv2!$E$31,"")))&amp;"/"&amp;CVSSv2!$B$10&amp;":"&amp;IF(G89=CVSSv2!$C$10,CVSSv2!$C$32,IF(G89=CVSSv2!$D$10,CVSSv2!$D$32,IF(G89=CVSSv2!$E$10,CVSSv2!$E$32,IF(G89=CVSSv2!$F$10,CVSSv2!$F$32,""))))&amp;"/"&amp;CVSSv2!$B$11&amp;":"&amp;IF(G90=CVSSv2!$C$11,CVSSv2!$C$33,IF(G90=CVSSv2!$D$11,CVSSv2!$D$33,IF(G90=CVSSv2!$E$11,CVSSv2!$E$33,IF(G90=CVSSv2!$F$11,CVSSv2!$F$33,""))))&amp;"/"&amp;CVSSv2!$B$12&amp;":"&amp;IF(G91=CVSSv2!$C$12,CVSSv2!$C$34,IF(G91=CVSSv2!$D$12,CVSSv2!$D$34,IF(G91=CVSSv2!$E$12,CVSSv2!$E$34,"")))&amp;")"</f>
        <v/>
      </c>
    </row>
    <row customHeight="1" s="134" r="93" ht="15.75" spans="1:15">
      <c s="19" r="A93">
        <f>IF(A92="#",1,A83+1)</f>
        <v/>
      </c>
      <c s="18" r="B93" t="s">
        <v>794</v>
      </c>
      <c s="18" r="C93" t="n"/>
      <c s="18" r="D93" t="n"/>
      <c s="18" r="E93">
        <f>IFERROR(__xludf.dummyfunction("CONCATENATE(ARRAYFORMULA(QUERY(QUERY(Indirect(C_Activos!$L$1&amp;""!A:F""),""SELECT A, B, C, D, E, F WHERE A MATCHES '""&amp;M93&amp;""'""),""select Col1"")&amp;"" ""&amp;QUERY(QUERY(Indirect(C_Activos!$L$1&amp;""!A:F""),""SELECT A, B, C, D, E, F WHERE A MATCHES '""&amp;M93&amp;""'""),""select Col2"")&amp;CHAR(10)&amp;""(Capa:""&amp;QUERY(QUERY(Indirect(C_Activos!$L$1&amp;""!A:F""),""SELECT A, B, C, D, E, F WHERE A MATCHES '""&amp;M93&amp;""'""),""select Col3"")&amp;"", Alcance:""&amp;QUERY(QUERY(Indirect(C_Activos!$L$1&amp;""!A:F""),""SELECT A, B, C, D, E, F WHERE A MATCHES '""&amp;M93&amp;""'""),""select Col5"")&amp;"", Activo:""&amp;QUERY(QUERY(Indirect(C_Activos!$L$1&amp;""!A:F""),""SELECT A, B, C, D, E, F WHERE A MATCHES '""&amp;M93&amp;""'""),""select Col4"")&amp;"", Fase:""&amp;QUERY(QUERY(Indirect(C_Activos!$L$1&amp;""!A:F""),""SELECT A, B, C, D, E, F WHERE A MATCHES '""&amp;M93&amp;""'""),""select Col6"")&amp;"")""&amp;CHAR(10)&amp;CHAR(10)))"),"#VALUE!")</f>
        <v/>
      </c>
      <c s="50" r="F93">
        <f>CVSSv2!$A$4</f>
        <v/>
      </c>
      <c s="51" r="G93" t="s">
        <v>772</v>
      </c>
      <c s="52" r="H93">
        <f>ROUND(((0.6*(10.41*(1-(1-IF(G96=CVSSv2!$C$7,CVSSv2!$C$18,IF(G96=CVSSv2!$D$7,CVSSv2!$D$18,IF(G96=CVSSv2!$E$7,CVSSv2!$E$18,0))))*(1-IF(G97=CVSSv2!$C$8,CVSSv2!$C$19,IF(G97=CVSSv2!$D$8,CVSSv2!$D$19,IF(G97=CVSSv2!$E$8,CVSSv2!$E$19,0))))*(1-IF(G98=CVSSv2!$C$9,CVSSv2!$C$20,IF(G98=CVSSv2!$D$9,CVSSv2!$D$20,IF(G98=CVSSv2!$E$9,CVSSv2!$E$20,0))))))+0.4*(20*IF(G93=CVSSv2!$C$4,CVSSv2!$C$15,IF(G93=CVSSv2!$D$4,CVSSv2!$D$15,IF(G93=CVSSv2!$E$4,CVSSv2!$E$15,0)))*IF(G94=CVSSv2!$C$5,CVSSv2!$C$16,IF(G94=CVSSv2!$D$5,CVSSv2!$D$16,IF(G94=CVSSv2!$E$5,CVSSv2!$E$16,0)))*IF(G95=CVSSv2!$C$6,CVSSv2!$C$17,IF(G95=CVSSv2!$D$6,CVSSv2!$D$17,IF(G95=CVSSv2!$E$6,CVSSv2!$E$17,0))))-1.5)*(IF(10.41*(1-(1-IF(G96=CVSSv2!$C$7,CVSSv2!$C$18,IF(G96=CVSSv2!$D$7,CVSSv2!$D$18,IF(G96=CVSSv2!$E$7,CVSSv2!$E$18,0))))*(1-IF(G97=CVSSv2!$C$8,CVSSv2!$C$19,IF(G97=CVSSv2!$D$8,CVSSv2!$D$19,IF(G97=CVSSv2!$E$8,CVSSv2!$E$19,0))))*(1-IF(G98=CVSSv2!$C$9,CVSSv2!$C$20,IF(G98=CVSSv2!$D$9,CVSSv2!$D$20,IF(G98=CVSSv2!$E$9,CVSSv2!$E$20,0)))))=0,0,1.176)))*(IF(G99=CVSSv2!$C$10,CVSSv2!$C$21,IF(G99=CVSSv2!$D$10,CVSSv2!$D$21,IF(G99=CVSSv2!$E$10,CVSSv2!$E$21,IF(G99=CVSSv2!$F$10,CVSSv2!$F$21,0))))*IF(G100=CVSSv2!$C$11,CVSSv2!$C$22,IF(G100=CVSSv2!$D$11,CVSSv2!$D$22,IF(G100=CVSSv2!$E$11,CVSSv2!$E$22,IF(G100=CVSSv2!$F$11,CVSSv2!$F$22,0))))*IF(G101=CVSSv2!$C$12,CVSSv2!$C$23,IF(G101=CVSSv2!$D$12,CVSSv2!$D$23,IF(G101=CVSSv2!$E$12,CVSSv2!$E$23,0)))),1)</f>
        <v/>
      </c>
      <c s="19" r="I93" t="n">
        <v>10</v>
      </c>
      <c s="18" r="J93" t="n"/>
      <c s="18" r="K93" t="n"/>
      <c s="18" r="L93" t="n"/>
      <c s="18" r="M93" t="s">
        <v>779</v>
      </c>
      <c s="18" r="N93" t="s">
        <v>795</v>
      </c>
      <c s="18" r="O93" t="s">
        <v>796</v>
      </c>
    </row>
    <row customHeight="1" s="134" r="94" ht="15.75" spans="1:15">
      <c s="53" r="F94">
        <f>CVSSv2!$A$5</f>
        <v/>
      </c>
      <c s="54" r="G94" t="s">
        <v>776</v>
      </c>
    </row>
    <row customHeight="1" s="134" r="95" ht="15.75" spans="1:15">
      <c s="53" r="F95">
        <f>CVSSv2!$A$6</f>
        <v/>
      </c>
      <c s="54" r="G95" t="s">
        <v>743</v>
      </c>
    </row>
    <row customHeight="1" s="134" r="96" ht="15.75" spans="1:15">
      <c s="53" r="F96">
        <f>CVSSv2!$A$7</f>
        <v/>
      </c>
      <c s="54" r="G96" t="s">
        <v>746</v>
      </c>
    </row>
    <row customHeight="1" s="134" r="97" ht="15.75" spans="1:15">
      <c s="53" r="F97">
        <f>CVSSv2!$A$8</f>
        <v/>
      </c>
      <c s="54" r="G97" t="s">
        <v>746</v>
      </c>
    </row>
    <row customHeight="1" s="134" r="98" ht="15.75" spans="1:15">
      <c s="53" r="F98">
        <f>CVSSv2!$A$9</f>
        <v/>
      </c>
      <c s="54" r="G98" t="s">
        <v>746</v>
      </c>
    </row>
    <row customHeight="1" s="134" r="99" ht="15.75" spans="1:15">
      <c s="53" r="F99">
        <f>CVSSv2!$A$10</f>
        <v/>
      </c>
      <c s="54" r="G99" t="s">
        <v>759</v>
      </c>
    </row>
    <row customHeight="1" s="134" r="100" ht="15.75" spans="1:15">
      <c s="53" r="F100">
        <f>CVSSv2!$A$11</f>
        <v/>
      </c>
      <c s="54" r="G100" t="s">
        <v>777</v>
      </c>
    </row>
    <row customHeight="1" s="134" r="101" ht="15.75" spans="1:15">
      <c s="53" r="F101">
        <f>CVSSv2!$A$12</f>
        <v/>
      </c>
      <c s="54" r="G101" t="s">
        <v>750</v>
      </c>
    </row>
    <row customHeight="1" s="134" r="102" ht="15.75" spans="1:15">
      <c s="55" r="F102">
        <f>"("&amp;CVSSv2!$B$4&amp;":"&amp;IF(G93=CVSSv2!$C$4,CVSSv2!$C$26,IF(G93=CVSSv2!$D$4,CVSSv2!$D$26,IF(G93=CVSSv2!$E$4,CVSSv2!$E$26,"")))&amp;"/"&amp;CVSSv2!$B$5&amp;":"&amp;IF(G94=CVSSv2!$C$5,CVSSv2!$C$27,IF(G94=CVSSv2!$D$5,CVSSv2!$D$27,IF(G94=CVSSv2!$E$5,CVSSv2!$E$27,"")))&amp;"/"&amp;CVSSv2!$B$6&amp;":"&amp;IF(G95=CVSSv2!$C$6,CVSSv2!$C$28,IF(G95=CVSSv2!$D$6,CVSSv2!$D$28,IF(G95=CVSSv2!$E$6,CVSSv2!$E$28,"")))&amp;"/"&amp;CVSSv2!$B$7&amp;":"&amp;IF(G96=CVSSv2!$C$7,CVSSv2!$C$29,IF(G96=CVSSv2!$D$7,CVSSv2!$D$29,IF(G96=CVSSv2!$E$7,CVSSv2!$E$29,"")))&amp;"/"&amp;CVSSv2!$B$8&amp;":"&amp;IF(G97=CVSSv2!$C$8,CVSSv2!$C$30,IF(G97=CVSSv2!$D$8,CVSSv2!$D$30,IF(G97=CVSSv2!$E$8,CVSSv2!$E$30,"")))&amp;"/"&amp;CVSSv2!$B$9&amp;":"&amp;IF(G98=CVSSv2!$C$9,CVSSv2!$C$31,IF(G98=CVSSv2!$D$9,CVSSv2!$D$31,IF(G98=CVSSv2!$E$9,CVSSv2!$E$31,"")))&amp;"/"&amp;CVSSv2!$B$10&amp;":"&amp;IF(G99=CVSSv2!$C$10,CVSSv2!$C$32,IF(G99=CVSSv2!$D$10,CVSSv2!$D$32,IF(G99=CVSSv2!$E$10,CVSSv2!$E$32,IF(G99=CVSSv2!$F$10,CVSSv2!$F$32,""))))&amp;"/"&amp;CVSSv2!$B$11&amp;":"&amp;IF(G100=CVSSv2!$C$11,CVSSv2!$C$33,IF(G100=CVSSv2!$D$11,CVSSv2!$D$33,IF(G100=CVSSv2!$E$11,CVSSv2!$E$33,IF(G100=CVSSv2!$F$11,CVSSv2!$F$33,""))))&amp;"/"&amp;CVSSv2!$B$12&amp;":"&amp;IF(G101=CVSSv2!$C$12,CVSSv2!$C$34,IF(G101=CVSSv2!$D$12,CVSSv2!$D$34,IF(G101=CVSSv2!$E$12,CVSSv2!$E$34,"")))&amp;")"</f>
        <v/>
      </c>
    </row>
    <row customHeight="1" s="134" r="103" ht="15.75" spans="1:15">
      <c s="19" r="A103">
        <f>IF(A102="#",1,A93+1)</f>
        <v/>
      </c>
      <c s="18" r="B103" t="s">
        <v>797</v>
      </c>
      <c s="18" r="C103" t="n"/>
      <c s="18" r="D103" t="n"/>
      <c s="18" r="E103">
        <f>IFERROR(__xludf.dummyfunction("CONCATENATE(ARRAYFORMULA(QUERY(QUERY(Indirect(C_Activos!$L$1&amp;""!A:F""),""SELECT A, B, C, D, E, F WHERE A MATCHES '""&amp;M103&amp;""'""),""select Col1"")&amp;"" ""&amp;QUERY(QUERY(Indirect(C_Activos!$L$1&amp;""!A:F""),""SELECT A, B, C, D, E, F WHERE A MATCHES '""&amp;M103&amp;""'""),""select Col2"")&amp;CHAR(10)&amp;""(Capa:""&amp;QUERY(QUERY(Indirect(C_Activos!$L$1&amp;""!A:F""),""SELECT A, B, C, D, E, F WHERE A MATCHES '""&amp;M103&amp;""'""),""select Col3"")&amp;"", Alcance:""&amp;QUERY(QUERY(Indirect(C_Activos!$L$1&amp;""!A:F""),""SELECT A, B, C, D, E, F WHERE A MATCHES '""&amp;M103&amp;""'""),""select Col5"")&amp;"", Activo:""&amp;QUERY(QUERY(Indirect(C_Activos!$L$1&amp;""!A:F""),""SELECT A, B, C, D, E, F WHERE A MATCHES '""&amp;M103&amp;""'""),""select Col4"")&amp;"", Fase:""&amp;QUERY(QUERY(Indirect(C_Activos!$L$1&amp;""!A:F""),""SELECT A, B, C, D, E, F WHERE A MATCHES '""&amp;M103&amp;""'""),""select Col6"")&amp;"")""&amp;CHAR(10)&amp;CHAR(10)))"),"#VALUE!")</f>
        <v/>
      </c>
      <c s="50" r="F103">
        <f>CVSSv2!$A$4</f>
        <v/>
      </c>
      <c s="51" r="G103" t="s">
        <v>772</v>
      </c>
      <c s="52" r="H103">
        <f>ROUND(((0.6*(10.41*(1-(1-IF(G106=CVSSv2!$C$7,CVSSv2!$C$18,IF(G106=CVSSv2!$D$7,CVSSv2!$D$18,IF(G106=CVSSv2!$E$7,CVSSv2!$E$18,0))))*(1-IF(G107=CVSSv2!$C$8,CVSSv2!$C$19,IF(G107=CVSSv2!$D$8,CVSSv2!$D$19,IF(G107=CVSSv2!$E$8,CVSSv2!$E$19,0))))*(1-IF(G108=CVSSv2!$C$9,CVSSv2!$C$20,IF(G108=CVSSv2!$D$9,CVSSv2!$D$20,IF(G108=CVSSv2!$E$9,CVSSv2!$E$20,0))))))+0.4*(20*IF(G103=CVSSv2!$C$4,CVSSv2!$C$15,IF(G103=CVSSv2!$D$4,CVSSv2!$D$15,IF(G103=CVSSv2!$E$4,CVSSv2!$E$15,0)))*IF(G104=CVSSv2!$C$5,CVSSv2!$C$16,IF(G104=CVSSv2!$D$5,CVSSv2!$D$16,IF(G104=CVSSv2!$E$5,CVSSv2!$E$16,0)))*IF(G105=CVSSv2!$C$6,CVSSv2!$C$17,IF(G105=CVSSv2!$D$6,CVSSv2!$D$17,IF(G105=CVSSv2!$E$6,CVSSv2!$E$17,0))))-1.5)*(IF(10.41*(1-(1-IF(G106=CVSSv2!$C$7,CVSSv2!$C$18,IF(G106=CVSSv2!$D$7,CVSSv2!$D$18,IF(G106=CVSSv2!$E$7,CVSSv2!$E$18,0))))*(1-IF(G107=CVSSv2!$C$8,CVSSv2!$C$19,IF(G107=CVSSv2!$D$8,CVSSv2!$D$19,IF(G107=CVSSv2!$E$8,CVSSv2!$E$19,0))))*(1-IF(G108=CVSSv2!$C$9,CVSSv2!$C$20,IF(G108=CVSSv2!$D$9,CVSSv2!$D$20,IF(G108=CVSSv2!$E$9,CVSSv2!$E$20,0)))))=0,0,1.176)))*(IF(G109=CVSSv2!$C$10,CVSSv2!$C$21,IF(G109=CVSSv2!$D$10,CVSSv2!$D$21,IF(G109=CVSSv2!$E$10,CVSSv2!$E$21,IF(G109=CVSSv2!$F$10,CVSSv2!$F$21,0))))*IF(G110=CVSSv2!$C$11,CVSSv2!$C$22,IF(G110=CVSSv2!$D$11,CVSSv2!$D$22,IF(G110=CVSSv2!$E$11,CVSSv2!$E$22,IF(G110=CVSSv2!$F$11,CVSSv2!$F$22,0))))*IF(G111=CVSSv2!$C$12,CVSSv2!$C$23,IF(G111=CVSSv2!$D$12,CVSSv2!$D$23,IF(G111=CVSSv2!$E$12,CVSSv2!$E$23,0)))),1)</f>
        <v/>
      </c>
      <c s="19" r="I103" t="n">
        <v>11</v>
      </c>
      <c s="18" r="J103" t="n"/>
      <c s="18" r="K103" t="n"/>
      <c s="18" r="L103" t="n"/>
      <c s="18" r="M103" t="s">
        <v>779</v>
      </c>
      <c s="18" r="N103" t="s">
        <v>798</v>
      </c>
      <c s="18" r="O103" t="s">
        <v>799</v>
      </c>
    </row>
    <row customHeight="1" s="134" r="104" ht="15.75" spans="1:15">
      <c s="53" r="F104">
        <f>CVSSv2!$A$5</f>
        <v/>
      </c>
      <c s="54" r="G104" t="s">
        <v>776</v>
      </c>
    </row>
    <row customHeight="1" s="134" r="105" ht="15.75" spans="1:15">
      <c s="53" r="F105">
        <f>CVSSv2!$A$6</f>
        <v/>
      </c>
      <c s="54" r="G105" t="s">
        <v>743</v>
      </c>
    </row>
    <row customHeight="1" s="134" r="106" ht="15.75" spans="1:15">
      <c s="53" r="F106">
        <f>CVSSv2!$A$7</f>
        <v/>
      </c>
      <c s="54" r="G106" t="s">
        <v>746</v>
      </c>
    </row>
    <row customHeight="1" s="134" r="107" ht="15.75" spans="1:15">
      <c s="53" r="F107">
        <f>CVSSv2!$A$8</f>
        <v/>
      </c>
      <c s="54" r="G107" t="s">
        <v>746</v>
      </c>
    </row>
    <row customHeight="1" s="134" r="108" ht="15.75" spans="1:15">
      <c s="53" r="F108">
        <f>CVSSv2!$A$9</f>
        <v/>
      </c>
      <c s="54" r="G108" t="s">
        <v>746</v>
      </c>
    </row>
    <row customHeight="1" s="134" r="109" ht="15.75" spans="1:15">
      <c s="53" r="F109">
        <f>CVSSv2!$A$10</f>
        <v/>
      </c>
      <c s="54" r="G109" t="s">
        <v>759</v>
      </c>
    </row>
    <row customHeight="1" s="134" r="110" ht="15.75" spans="1:15">
      <c s="53" r="F110">
        <f>CVSSv2!$A$11</f>
        <v/>
      </c>
      <c s="54" r="G110" t="s">
        <v>777</v>
      </c>
    </row>
    <row customHeight="1" s="134" r="111" ht="15.75" spans="1:15">
      <c s="53" r="F111">
        <f>CVSSv2!$A$12</f>
        <v/>
      </c>
      <c s="54" r="G111" t="s">
        <v>750</v>
      </c>
    </row>
    <row customHeight="1" s="134" r="112" ht="15.75" spans="1:15">
      <c s="55" r="F112">
        <f>"("&amp;CVSSv2!$B$4&amp;":"&amp;IF(G103=CVSSv2!$C$4,CVSSv2!$C$26,IF(G103=CVSSv2!$D$4,CVSSv2!$D$26,IF(G103=CVSSv2!$E$4,CVSSv2!$E$26,"")))&amp;"/"&amp;CVSSv2!$B$5&amp;":"&amp;IF(G104=CVSSv2!$C$5,CVSSv2!$C$27,IF(G104=CVSSv2!$D$5,CVSSv2!$D$27,IF(G104=CVSSv2!$E$5,CVSSv2!$E$27,"")))&amp;"/"&amp;CVSSv2!$B$6&amp;":"&amp;IF(G105=CVSSv2!$C$6,CVSSv2!$C$28,IF(G105=CVSSv2!$D$6,CVSSv2!$D$28,IF(G105=CVSSv2!$E$6,CVSSv2!$E$28,"")))&amp;"/"&amp;CVSSv2!$B$7&amp;":"&amp;IF(G106=CVSSv2!$C$7,CVSSv2!$C$29,IF(G106=CVSSv2!$D$7,CVSSv2!$D$29,IF(G106=CVSSv2!$E$7,CVSSv2!$E$29,"")))&amp;"/"&amp;CVSSv2!$B$8&amp;":"&amp;IF(G107=CVSSv2!$C$8,CVSSv2!$C$30,IF(G107=CVSSv2!$D$8,CVSSv2!$D$30,IF(G107=CVSSv2!$E$8,CVSSv2!$E$30,"")))&amp;"/"&amp;CVSSv2!$B$9&amp;":"&amp;IF(G108=CVSSv2!$C$9,CVSSv2!$C$31,IF(G108=CVSSv2!$D$9,CVSSv2!$D$31,IF(G108=CVSSv2!$E$9,CVSSv2!$E$31,"")))&amp;"/"&amp;CVSSv2!$B$10&amp;":"&amp;IF(G109=CVSSv2!$C$10,CVSSv2!$C$32,IF(G109=CVSSv2!$D$10,CVSSv2!$D$32,IF(G109=CVSSv2!$E$10,CVSSv2!$E$32,IF(G109=CVSSv2!$F$10,CVSSv2!$F$32,""))))&amp;"/"&amp;CVSSv2!$B$11&amp;":"&amp;IF(G110=CVSSv2!$C$11,CVSSv2!$C$33,IF(G110=CVSSv2!$D$11,CVSSv2!$D$33,IF(G110=CVSSv2!$E$11,CVSSv2!$E$33,IF(G110=CVSSv2!$F$11,CVSSv2!$F$33,""))))&amp;"/"&amp;CVSSv2!$B$12&amp;":"&amp;IF(G111=CVSSv2!$C$12,CVSSv2!$C$34,IF(G111=CVSSv2!$D$12,CVSSv2!$D$34,IF(G111=CVSSv2!$E$12,CVSSv2!$E$34,"")))&amp;")"</f>
        <v/>
      </c>
    </row>
    <row customHeight="1" s="134" r="113" ht="15.75" spans="1:15">
      <c s="19" r="A113">
        <f>IF(A112="#",1,A103+1)</f>
        <v/>
      </c>
      <c s="18" r="B113" t="s">
        <v>800</v>
      </c>
      <c s="18" r="C113" t="n"/>
      <c s="18" r="D113" t="n"/>
      <c s="18" r="E113">
        <f>IFERROR(__xludf.dummyfunction("CONCATENATE(ARRAYFORMULA(QUERY(QUERY(Indirect(C_Activos!$L$1&amp;""!A:F""),""SELECT A, B, C, D, E, F WHERE A MATCHES '""&amp;M113&amp;""'""),""select Col1"")&amp;"" ""&amp;QUERY(QUERY(Indirect(C_Activos!$L$1&amp;""!A:F""),""SELECT A, B, C, D, E, F WHERE A MATCHES '""&amp;M113&amp;""'""),""select Col2"")&amp;CHAR(10)&amp;""(Capa:""&amp;QUERY(QUERY(Indirect(C_Activos!$L$1&amp;""!A:F""),""SELECT A, B, C, D, E, F WHERE A MATCHES '""&amp;M113&amp;""'""),""select Col3"")&amp;"", Alcance:""&amp;QUERY(QUERY(Indirect(C_Activos!$L$1&amp;""!A:F""),""SELECT A, B, C, D, E, F WHERE A MATCHES '""&amp;M113&amp;""'""),""select Col5"")&amp;"", Activo:""&amp;QUERY(QUERY(Indirect(C_Activos!$L$1&amp;""!A:F""),""SELECT A, B, C, D, E, F WHERE A MATCHES '""&amp;M113&amp;""'""),""select Col4"")&amp;"", Fase:""&amp;QUERY(QUERY(Indirect(C_Activos!$L$1&amp;""!A:F""),""SELECT A, B, C, D, E, F WHERE A MATCHES '""&amp;M113&amp;""'""),""select Col6"")&amp;"")""&amp;CHAR(10)&amp;CHAR(10)))"),"#VALUE!")</f>
        <v/>
      </c>
      <c s="50" r="F113">
        <f>CVSSv2!$A$4</f>
        <v/>
      </c>
      <c s="51" r="G113" t="s">
        <v>772</v>
      </c>
      <c s="52" r="H113">
        <f>ROUND(((0.6*(10.41*(1-(1-IF(G116=CVSSv2!$C$7,CVSSv2!$C$18,IF(G116=CVSSv2!$D$7,CVSSv2!$D$18,IF(G116=CVSSv2!$E$7,CVSSv2!$E$18,0))))*(1-IF(G117=CVSSv2!$C$8,CVSSv2!$C$19,IF(G117=CVSSv2!$D$8,CVSSv2!$D$19,IF(G117=CVSSv2!$E$8,CVSSv2!$E$19,0))))*(1-IF(G118=CVSSv2!$C$9,CVSSv2!$C$20,IF(G118=CVSSv2!$D$9,CVSSv2!$D$20,IF(G118=CVSSv2!$E$9,CVSSv2!$E$20,0))))))+0.4*(20*IF(G113=CVSSv2!$C$4,CVSSv2!$C$15,IF(G113=CVSSv2!$D$4,CVSSv2!$D$15,IF(G113=CVSSv2!$E$4,CVSSv2!$E$15,0)))*IF(G114=CVSSv2!$C$5,CVSSv2!$C$16,IF(G114=CVSSv2!$D$5,CVSSv2!$D$16,IF(G114=CVSSv2!$E$5,CVSSv2!$E$16,0)))*IF(G115=CVSSv2!$C$6,CVSSv2!$C$17,IF(G115=CVSSv2!$D$6,CVSSv2!$D$17,IF(G115=CVSSv2!$E$6,CVSSv2!$E$17,0))))-1.5)*(IF(10.41*(1-(1-IF(G116=CVSSv2!$C$7,CVSSv2!$C$18,IF(G116=CVSSv2!$D$7,CVSSv2!$D$18,IF(G116=CVSSv2!$E$7,CVSSv2!$E$18,0))))*(1-IF(G117=CVSSv2!$C$8,CVSSv2!$C$19,IF(G117=CVSSv2!$D$8,CVSSv2!$D$19,IF(G117=CVSSv2!$E$8,CVSSv2!$E$19,0))))*(1-IF(G118=CVSSv2!$C$9,CVSSv2!$C$20,IF(G118=CVSSv2!$D$9,CVSSv2!$D$20,IF(G118=CVSSv2!$E$9,CVSSv2!$E$20,0)))))=0,0,1.176)))*(IF(G119=CVSSv2!$C$10,CVSSv2!$C$21,IF(G119=CVSSv2!$D$10,CVSSv2!$D$21,IF(G119=CVSSv2!$E$10,CVSSv2!$E$21,IF(G119=CVSSv2!$F$10,CVSSv2!$F$21,0))))*IF(G120=CVSSv2!$C$11,CVSSv2!$C$22,IF(G120=CVSSv2!$D$11,CVSSv2!$D$22,IF(G120=CVSSv2!$E$11,CVSSv2!$E$22,IF(G120=CVSSv2!$F$11,CVSSv2!$F$22,0))))*IF(G121=CVSSv2!$C$12,CVSSv2!$C$23,IF(G121=CVSSv2!$D$12,CVSSv2!$D$23,IF(G121=CVSSv2!$E$12,CVSSv2!$E$23,0)))),1)</f>
        <v/>
      </c>
      <c s="19" r="I113" t="n">
        <v>12</v>
      </c>
      <c s="18" r="J113" t="n"/>
      <c s="18" r="K113" t="n"/>
      <c s="18" r="L113" t="n"/>
      <c s="18" r="M113" t="s">
        <v>779</v>
      </c>
      <c s="18" r="N113" t="s">
        <v>801</v>
      </c>
      <c s="18" r="O113" t="s">
        <v>802</v>
      </c>
    </row>
    <row customHeight="1" s="134" r="114" ht="15.75" spans="1:15">
      <c s="53" r="F114">
        <f>CVSSv2!$A$5</f>
        <v/>
      </c>
      <c s="54" r="G114" t="s">
        <v>776</v>
      </c>
    </row>
    <row customHeight="1" s="134" r="115" ht="15.75" spans="1:15">
      <c s="53" r="F115">
        <f>CVSSv2!$A$6</f>
        <v/>
      </c>
      <c s="54" r="G115" t="s">
        <v>743</v>
      </c>
    </row>
    <row customHeight="1" s="134" r="116" ht="15.75" spans="1:15">
      <c s="53" r="F116">
        <f>CVSSv2!$A$7</f>
        <v/>
      </c>
      <c s="54" r="G116" t="s">
        <v>746</v>
      </c>
    </row>
    <row customHeight="1" s="134" r="117" ht="15.75" spans="1:15">
      <c s="53" r="F117">
        <f>CVSSv2!$A$8</f>
        <v/>
      </c>
      <c s="54" r="G117" t="s">
        <v>746</v>
      </c>
    </row>
    <row customHeight="1" s="134" r="118" ht="15.75" spans="1:15">
      <c s="53" r="F118">
        <f>CVSSv2!$A$9</f>
        <v/>
      </c>
      <c s="54" r="G118" t="s">
        <v>746</v>
      </c>
    </row>
    <row customHeight="1" s="134" r="119" ht="15.75" spans="1:15">
      <c s="53" r="F119">
        <f>CVSSv2!$A$10</f>
        <v/>
      </c>
      <c s="54" r="G119" t="s">
        <v>759</v>
      </c>
    </row>
    <row customHeight="1" s="134" r="120" ht="15.75" spans="1:15">
      <c s="53" r="F120">
        <f>CVSSv2!$A$11</f>
        <v/>
      </c>
      <c s="54" r="G120" t="s">
        <v>777</v>
      </c>
    </row>
    <row customHeight="1" s="134" r="121" ht="15.75" spans="1:15">
      <c s="53" r="F121">
        <f>CVSSv2!$A$12</f>
        <v/>
      </c>
      <c s="54" r="G121" t="s">
        <v>750</v>
      </c>
    </row>
    <row customHeight="1" s="134" r="122" ht="15.75" spans="1:15">
      <c s="55" r="F122">
        <f>"("&amp;CVSSv2!$B$4&amp;":"&amp;IF(G113=CVSSv2!$C$4,CVSSv2!$C$26,IF(G113=CVSSv2!$D$4,CVSSv2!$D$26,IF(G113=CVSSv2!$E$4,CVSSv2!$E$26,"")))&amp;"/"&amp;CVSSv2!$B$5&amp;":"&amp;IF(G114=CVSSv2!$C$5,CVSSv2!$C$27,IF(G114=CVSSv2!$D$5,CVSSv2!$D$27,IF(G114=CVSSv2!$E$5,CVSSv2!$E$27,"")))&amp;"/"&amp;CVSSv2!$B$6&amp;":"&amp;IF(G115=CVSSv2!$C$6,CVSSv2!$C$28,IF(G115=CVSSv2!$D$6,CVSSv2!$D$28,IF(G115=CVSSv2!$E$6,CVSSv2!$E$28,"")))&amp;"/"&amp;CVSSv2!$B$7&amp;":"&amp;IF(G116=CVSSv2!$C$7,CVSSv2!$C$29,IF(G116=CVSSv2!$D$7,CVSSv2!$D$29,IF(G116=CVSSv2!$E$7,CVSSv2!$E$29,"")))&amp;"/"&amp;CVSSv2!$B$8&amp;":"&amp;IF(G117=CVSSv2!$C$8,CVSSv2!$C$30,IF(G117=CVSSv2!$D$8,CVSSv2!$D$30,IF(G117=CVSSv2!$E$8,CVSSv2!$E$30,"")))&amp;"/"&amp;CVSSv2!$B$9&amp;":"&amp;IF(G118=CVSSv2!$C$9,CVSSv2!$C$31,IF(G118=CVSSv2!$D$9,CVSSv2!$D$31,IF(G118=CVSSv2!$E$9,CVSSv2!$E$31,"")))&amp;"/"&amp;CVSSv2!$B$10&amp;":"&amp;IF(G119=CVSSv2!$C$10,CVSSv2!$C$32,IF(G119=CVSSv2!$D$10,CVSSv2!$D$32,IF(G119=CVSSv2!$E$10,CVSSv2!$E$32,IF(G119=CVSSv2!$F$10,CVSSv2!$F$32,""))))&amp;"/"&amp;CVSSv2!$B$11&amp;":"&amp;IF(G120=CVSSv2!$C$11,CVSSv2!$C$33,IF(G120=CVSSv2!$D$11,CVSSv2!$D$33,IF(G120=CVSSv2!$E$11,CVSSv2!$E$33,IF(G120=CVSSv2!$F$11,CVSSv2!$F$33,""))))&amp;"/"&amp;CVSSv2!$B$12&amp;":"&amp;IF(G121=CVSSv2!$C$12,CVSSv2!$C$34,IF(G121=CVSSv2!$D$12,CVSSv2!$D$34,IF(G121=CVSSv2!$E$12,CVSSv2!$E$34,"")))&amp;")"</f>
        <v/>
      </c>
    </row>
    <row customHeight="1" s="134" r="123" ht="15.75" spans="1:15">
      <c s="19" r="A123">
        <f>IF(A122="#",1,A113+1)</f>
        <v/>
      </c>
      <c s="18" r="B123" t="s">
        <v>803</v>
      </c>
      <c s="18" r="C123" t="n"/>
      <c s="18" r="D123" t="n"/>
      <c s="18" r="E123">
        <f>IFERROR(__xludf.dummyfunction("CONCATENATE(ARRAYFORMULA(QUERY(QUERY(Indirect(C_Activos!$L$1&amp;""!A:F""),""SELECT A, B, C, D, E, F WHERE A MATCHES '""&amp;M123&amp;""'""),""select Col1"")&amp;"" ""&amp;QUERY(QUERY(Indirect(C_Activos!$L$1&amp;""!A:F""),""SELECT A, B, C, D, E, F WHERE A MATCHES '""&amp;M123&amp;""'""),""select Col2"")&amp;CHAR(10)&amp;""(Capa:""&amp;QUERY(QUERY(Indirect(C_Activos!$L$1&amp;""!A:F""),""SELECT A, B, C, D, E, F WHERE A MATCHES '""&amp;M123&amp;""'""),""select Col3"")&amp;"", Alcance:""&amp;QUERY(QUERY(Indirect(C_Activos!$L$1&amp;""!A:F""),""SELECT A, B, C, D, E, F WHERE A MATCHES '""&amp;M123&amp;""'""),""select Col5"")&amp;"", Activo:""&amp;QUERY(QUERY(Indirect(C_Activos!$L$1&amp;""!A:F""),""SELECT A, B, C, D, E, F WHERE A MATCHES '""&amp;M123&amp;""'""),""select Col4"")&amp;"", Fase:""&amp;QUERY(QUERY(Indirect(C_Activos!$L$1&amp;""!A:F""),""SELECT A, B, C, D, E, F WHERE A MATCHES '""&amp;M123&amp;""'""),""select Col6"")&amp;"")""&amp;CHAR(10)&amp;CHAR(10)))"),"#VALUE!")</f>
        <v/>
      </c>
      <c s="50" r="F123">
        <f>CVSSv2!$A$4</f>
        <v/>
      </c>
      <c s="51" r="G123" t="s">
        <v>772</v>
      </c>
      <c s="52" r="H123">
        <f>ROUND(((0.6*(10.41*(1-(1-IF(G126=CVSSv2!$C$7,CVSSv2!$C$18,IF(G126=CVSSv2!$D$7,CVSSv2!$D$18,IF(G126=CVSSv2!$E$7,CVSSv2!$E$18,0))))*(1-IF(G127=CVSSv2!$C$8,CVSSv2!$C$19,IF(G127=CVSSv2!$D$8,CVSSv2!$D$19,IF(G127=CVSSv2!$E$8,CVSSv2!$E$19,0))))*(1-IF(G128=CVSSv2!$C$9,CVSSv2!$C$20,IF(G128=CVSSv2!$D$9,CVSSv2!$D$20,IF(G128=CVSSv2!$E$9,CVSSv2!$E$20,0))))))+0.4*(20*IF(G123=CVSSv2!$C$4,CVSSv2!$C$15,IF(G123=CVSSv2!$D$4,CVSSv2!$D$15,IF(G123=CVSSv2!$E$4,CVSSv2!$E$15,0)))*IF(G124=CVSSv2!$C$5,CVSSv2!$C$16,IF(G124=CVSSv2!$D$5,CVSSv2!$D$16,IF(G124=CVSSv2!$E$5,CVSSv2!$E$16,0)))*IF(G125=CVSSv2!$C$6,CVSSv2!$C$17,IF(G125=CVSSv2!$D$6,CVSSv2!$D$17,IF(G125=CVSSv2!$E$6,CVSSv2!$E$17,0))))-1.5)*(IF(10.41*(1-(1-IF(G126=CVSSv2!$C$7,CVSSv2!$C$18,IF(G126=CVSSv2!$D$7,CVSSv2!$D$18,IF(G126=CVSSv2!$E$7,CVSSv2!$E$18,0))))*(1-IF(G127=CVSSv2!$C$8,CVSSv2!$C$19,IF(G127=CVSSv2!$D$8,CVSSv2!$D$19,IF(G127=CVSSv2!$E$8,CVSSv2!$E$19,0))))*(1-IF(G128=CVSSv2!$C$9,CVSSv2!$C$20,IF(G128=CVSSv2!$D$9,CVSSv2!$D$20,IF(G128=CVSSv2!$E$9,CVSSv2!$E$20,0)))))=0,0,1.176)))*(IF(G129=CVSSv2!$C$10,CVSSv2!$C$21,IF(G129=CVSSv2!$D$10,CVSSv2!$D$21,IF(G129=CVSSv2!$E$10,CVSSv2!$E$21,IF(G129=CVSSv2!$F$10,CVSSv2!$F$21,0))))*IF(G130=CVSSv2!$C$11,CVSSv2!$C$22,IF(G130=CVSSv2!$D$11,CVSSv2!$D$22,IF(G130=CVSSv2!$E$11,CVSSv2!$E$22,IF(G130=CVSSv2!$F$11,CVSSv2!$F$22,0))))*IF(G131=CVSSv2!$C$12,CVSSv2!$C$23,IF(G131=CVSSv2!$D$12,CVSSv2!$D$23,IF(G131=CVSSv2!$E$12,CVSSv2!$E$23,0)))),1)</f>
        <v/>
      </c>
      <c s="19" r="I123" t="n">
        <v>13</v>
      </c>
      <c s="18" r="J123" t="n"/>
      <c s="18" r="K123" t="n"/>
      <c s="18" r="L123" t="n"/>
      <c s="18" r="M123" t="s">
        <v>779</v>
      </c>
      <c s="18" r="N123" t="s">
        <v>804</v>
      </c>
      <c s="18" r="O123" t="s">
        <v>805</v>
      </c>
    </row>
    <row customHeight="1" s="134" r="124" ht="15.75" spans="1:15">
      <c s="53" r="F124">
        <f>CVSSv2!$A$5</f>
        <v/>
      </c>
      <c s="54" r="G124" t="s">
        <v>776</v>
      </c>
    </row>
    <row customHeight="1" s="134" r="125" ht="15.75" spans="1:15">
      <c s="53" r="F125">
        <f>CVSSv2!$A$6</f>
        <v/>
      </c>
      <c s="54" r="G125" t="s">
        <v>743</v>
      </c>
    </row>
    <row customHeight="1" s="134" r="126" ht="15.75" spans="1:15">
      <c s="53" r="F126">
        <f>CVSSv2!$A$7</f>
        <v/>
      </c>
      <c s="54" r="G126" t="s">
        <v>746</v>
      </c>
    </row>
    <row customHeight="1" s="134" r="127" ht="15.75" spans="1:15">
      <c s="53" r="F127">
        <f>CVSSv2!$A$8</f>
        <v/>
      </c>
      <c s="54" r="G127" t="s">
        <v>746</v>
      </c>
    </row>
    <row customHeight="1" s="134" r="128" ht="15.75" spans="1:15">
      <c s="53" r="F128">
        <f>CVSSv2!$A$9</f>
        <v/>
      </c>
      <c s="54" r="G128" t="s">
        <v>746</v>
      </c>
    </row>
    <row customHeight="1" s="134" r="129" ht="15.75" spans="1:15">
      <c s="53" r="F129">
        <f>CVSSv2!$A$10</f>
        <v/>
      </c>
      <c s="54" r="G129" t="s">
        <v>759</v>
      </c>
    </row>
    <row customHeight="1" s="134" r="130" ht="15.75" spans="1:15">
      <c s="53" r="F130">
        <f>CVSSv2!$A$11</f>
        <v/>
      </c>
      <c s="54" r="G130" t="s">
        <v>777</v>
      </c>
    </row>
    <row customHeight="1" s="134" r="131" ht="15.75" spans="1:15">
      <c s="53" r="F131">
        <f>CVSSv2!$A$12</f>
        <v/>
      </c>
      <c s="54" r="G131" t="s">
        <v>750</v>
      </c>
    </row>
    <row customHeight="1" s="134" r="132" ht="15.75" spans="1:15">
      <c s="55" r="F132">
        <f>"("&amp;CVSSv2!$B$4&amp;":"&amp;IF(G123=CVSSv2!$C$4,CVSSv2!$C$26,IF(G123=CVSSv2!$D$4,CVSSv2!$D$26,IF(G123=CVSSv2!$E$4,CVSSv2!$E$26,"")))&amp;"/"&amp;CVSSv2!$B$5&amp;":"&amp;IF(G124=CVSSv2!$C$5,CVSSv2!$C$27,IF(G124=CVSSv2!$D$5,CVSSv2!$D$27,IF(G124=CVSSv2!$E$5,CVSSv2!$E$27,"")))&amp;"/"&amp;CVSSv2!$B$6&amp;":"&amp;IF(G125=CVSSv2!$C$6,CVSSv2!$C$28,IF(G125=CVSSv2!$D$6,CVSSv2!$D$28,IF(G125=CVSSv2!$E$6,CVSSv2!$E$28,"")))&amp;"/"&amp;CVSSv2!$B$7&amp;":"&amp;IF(G126=CVSSv2!$C$7,CVSSv2!$C$29,IF(G126=CVSSv2!$D$7,CVSSv2!$D$29,IF(G126=CVSSv2!$E$7,CVSSv2!$E$29,"")))&amp;"/"&amp;CVSSv2!$B$8&amp;":"&amp;IF(G127=CVSSv2!$C$8,CVSSv2!$C$30,IF(G127=CVSSv2!$D$8,CVSSv2!$D$30,IF(G127=CVSSv2!$E$8,CVSSv2!$E$30,"")))&amp;"/"&amp;CVSSv2!$B$9&amp;":"&amp;IF(G128=CVSSv2!$C$9,CVSSv2!$C$31,IF(G128=CVSSv2!$D$9,CVSSv2!$D$31,IF(G128=CVSSv2!$E$9,CVSSv2!$E$31,"")))&amp;"/"&amp;CVSSv2!$B$10&amp;":"&amp;IF(G129=CVSSv2!$C$10,CVSSv2!$C$32,IF(G129=CVSSv2!$D$10,CVSSv2!$D$32,IF(G129=CVSSv2!$E$10,CVSSv2!$E$32,IF(G129=CVSSv2!$F$10,CVSSv2!$F$32,""))))&amp;"/"&amp;CVSSv2!$B$11&amp;":"&amp;IF(G130=CVSSv2!$C$11,CVSSv2!$C$33,IF(G130=CVSSv2!$D$11,CVSSv2!$D$33,IF(G130=CVSSv2!$E$11,CVSSv2!$E$33,IF(G130=CVSSv2!$F$11,CVSSv2!$F$33,""))))&amp;"/"&amp;CVSSv2!$B$12&amp;":"&amp;IF(G131=CVSSv2!$C$12,CVSSv2!$C$34,IF(G131=CVSSv2!$D$12,CVSSv2!$D$34,IF(G131=CVSSv2!$E$12,CVSSv2!$E$34,"")))&amp;")"</f>
        <v/>
      </c>
    </row>
    <row customHeight="1" s="134" r="133" ht="15.75" spans="1:15">
      <c s="19" r="A133">
        <f>IF(A132="#",1,A123+1)</f>
        <v/>
      </c>
      <c s="18" r="B133" t="s">
        <v>806</v>
      </c>
      <c s="18" r="C133" t="n"/>
      <c s="18" r="D133" t="n"/>
      <c s="18" r="E133">
        <f>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
      </c>
      <c s="50" r="F133">
        <f>CVSSv2!$A$4</f>
        <v/>
      </c>
      <c s="51" r="G133" t="s">
        <v>772</v>
      </c>
      <c s="52" r="H133">
        <f>ROUND(((0.6*(10.41*(1-(1-IF(G136=CVSSv2!$C$7,CVSSv2!$C$18,IF(G136=CVSSv2!$D$7,CVSSv2!$D$18,IF(G136=CVSSv2!$E$7,CVSSv2!$E$18,0))))*(1-IF(G137=CVSSv2!$C$8,CVSSv2!$C$19,IF(G137=CVSSv2!$D$8,CVSSv2!$D$19,IF(G137=CVSSv2!$E$8,CVSSv2!$E$19,0))))*(1-IF(G138=CVSSv2!$C$9,CVSSv2!$C$20,IF(G138=CVSSv2!$D$9,CVSSv2!$D$20,IF(G138=CVSSv2!$E$9,CVSSv2!$E$20,0))))))+0.4*(20*IF(G133=CVSSv2!$C$4,CVSSv2!$C$15,IF(G133=CVSSv2!$D$4,CVSSv2!$D$15,IF(G133=CVSSv2!$E$4,CVSSv2!$E$15,0)))*IF(G134=CVSSv2!$C$5,CVSSv2!$C$16,IF(G134=CVSSv2!$D$5,CVSSv2!$D$16,IF(G134=CVSSv2!$E$5,CVSSv2!$E$16,0)))*IF(G135=CVSSv2!$C$6,CVSSv2!$C$17,IF(G135=CVSSv2!$D$6,CVSSv2!$D$17,IF(G135=CVSSv2!$E$6,CVSSv2!$E$17,0))))-1.5)*(IF(10.41*(1-(1-IF(G136=CVSSv2!$C$7,CVSSv2!$C$18,IF(G136=CVSSv2!$D$7,CVSSv2!$D$18,IF(G136=CVSSv2!$E$7,CVSSv2!$E$18,0))))*(1-IF(G137=CVSSv2!$C$8,CVSSv2!$C$19,IF(G137=CVSSv2!$D$8,CVSSv2!$D$19,IF(G137=CVSSv2!$E$8,CVSSv2!$E$19,0))))*(1-IF(G138=CVSSv2!$C$9,CVSSv2!$C$20,IF(G138=CVSSv2!$D$9,CVSSv2!$D$20,IF(G138=CVSSv2!$E$9,CVSSv2!$E$20,0)))))=0,0,1.176)))*(IF(G139=CVSSv2!$C$10,CVSSv2!$C$21,IF(G139=CVSSv2!$D$10,CVSSv2!$D$21,IF(G139=CVSSv2!$E$10,CVSSv2!$E$21,IF(G139=CVSSv2!$F$10,CVSSv2!$F$21,0))))*IF(G140=CVSSv2!$C$11,CVSSv2!$C$22,IF(G140=CVSSv2!$D$11,CVSSv2!$D$22,IF(G140=CVSSv2!$E$11,CVSSv2!$E$22,IF(G140=CVSSv2!$F$11,CVSSv2!$F$22,0))))*IF(G141=CVSSv2!$C$12,CVSSv2!$C$23,IF(G141=CVSSv2!$D$12,CVSSv2!$D$23,IF(G141=CVSSv2!$E$12,CVSSv2!$E$23,0)))),1)</f>
        <v/>
      </c>
      <c s="19" r="I133" t="n">
        <v>14</v>
      </c>
      <c s="18" r="J133" t="n"/>
      <c s="18" r="K133" t="n"/>
      <c s="18" r="L133" t="n"/>
      <c s="18" r="M133" t="s">
        <v>779</v>
      </c>
      <c s="18" r="N133" t="s">
        <v>807</v>
      </c>
      <c s="18" r="O133" t="s">
        <v>808</v>
      </c>
    </row>
    <row customHeight="1" s="134" r="134" ht="15.75" spans="1:15">
      <c s="53" r="F134">
        <f>CVSSv2!$A$5</f>
        <v/>
      </c>
      <c s="54" r="G134" t="s">
        <v>776</v>
      </c>
    </row>
    <row customHeight="1" s="134" r="135" ht="15.75" spans="1:15">
      <c s="53" r="F135">
        <f>CVSSv2!$A$6</f>
        <v/>
      </c>
      <c s="54" r="G135" t="s">
        <v>743</v>
      </c>
    </row>
    <row customHeight="1" s="134" r="136" ht="15.75" spans="1:15">
      <c s="53" r="F136">
        <f>CVSSv2!$A$7</f>
        <v/>
      </c>
      <c s="54" r="G136" t="s">
        <v>746</v>
      </c>
    </row>
    <row customHeight="1" s="134" r="137" ht="15.75" spans="1:15">
      <c s="53" r="F137">
        <f>CVSSv2!$A$8</f>
        <v/>
      </c>
      <c s="54" r="G137" t="s">
        <v>746</v>
      </c>
    </row>
    <row customHeight="1" s="134" r="138" ht="15.75" spans="1:15">
      <c s="53" r="F138">
        <f>CVSSv2!$A$9</f>
        <v/>
      </c>
      <c s="54" r="G138" t="s">
        <v>746</v>
      </c>
    </row>
    <row customHeight="1" s="134" r="139" ht="15.75" spans="1:15">
      <c s="53" r="F139">
        <f>CVSSv2!$A$10</f>
        <v/>
      </c>
      <c s="54" r="G139" t="s">
        <v>759</v>
      </c>
    </row>
    <row customHeight="1" s="134" r="140" ht="15.75" spans="1:15">
      <c s="53" r="F140">
        <f>CVSSv2!$A$11</f>
        <v/>
      </c>
      <c s="54" r="G140" t="s">
        <v>777</v>
      </c>
    </row>
    <row customHeight="1" s="134" r="141" ht="15.75" spans="1:15">
      <c s="53" r="F141">
        <f>CVSSv2!$A$12</f>
        <v/>
      </c>
      <c s="54" r="G141" t="s">
        <v>750</v>
      </c>
    </row>
    <row customHeight="1" s="134" r="142" ht="15.75" spans="1:15">
      <c s="55" r="F142">
        <f>"("&amp;CVSSv2!$B$4&amp;":"&amp;IF(G133=CVSSv2!$C$4,CVSSv2!$C$26,IF(G133=CVSSv2!$D$4,CVSSv2!$D$26,IF(G133=CVSSv2!$E$4,CVSSv2!$E$26,"")))&amp;"/"&amp;CVSSv2!$B$5&amp;":"&amp;IF(G134=CVSSv2!$C$5,CVSSv2!$C$27,IF(G134=CVSSv2!$D$5,CVSSv2!$D$27,IF(G134=CVSSv2!$E$5,CVSSv2!$E$27,"")))&amp;"/"&amp;CVSSv2!$B$6&amp;":"&amp;IF(G135=CVSSv2!$C$6,CVSSv2!$C$28,IF(G135=CVSSv2!$D$6,CVSSv2!$D$28,IF(G135=CVSSv2!$E$6,CVSSv2!$E$28,"")))&amp;"/"&amp;CVSSv2!$B$7&amp;":"&amp;IF(G136=CVSSv2!$C$7,CVSSv2!$C$29,IF(G136=CVSSv2!$D$7,CVSSv2!$D$29,IF(G136=CVSSv2!$E$7,CVSSv2!$E$29,"")))&amp;"/"&amp;CVSSv2!$B$8&amp;":"&amp;IF(G137=CVSSv2!$C$8,CVSSv2!$C$30,IF(G137=CVSSv2!$D$8,CVSSv2!$D$30,IF(G137=CVSSv2!$E$8,CVSSv2!$E$30,"")))&amp;"/"&amp;CVSSv2!$B$9&amp;":"&amp;IF(G138=CVSSv2!$C$9,CVSSv2!$C$31,IF(G138=CVSSv2!$D$9,CVSSv2!$D$31,IF(G138=CVSSv2!$E$9,CVSSv2!$E$31,"")))&amp;"/"&amp;CVSSv2!$B$10&amp;":"&amp;IF(G139=CVSSv2!$C$10,CVSSv2!$C$32,IF(G139=CVSSv2!$D$10,CVSSv2!$D$32,IF(G139=CVSSv2!$E$10,CVSSv2!$E$32,IF(G139=CVSSv2!$F$10,CVSSv2!$F$32,""))))&amp;"/"&amp;CVSSv2!$B$11&amp;":"&amp;IF(G140=CVSSv2!$C$11,CVSSv2!$C$33,IF(G140=CVSSv2!$D$11,CVSSv2!$D$33,IF(G140=CVSSv2!$E$11,CVSSv2!$E$33,IF(G140=CVSSv2!$F$11,CVSSv2!$F$33,""))))&amp;"/"&amp;CVSSv2!$B$12&amp;":"&amp;IF(G141=CVSSv2!$C$12,CVSSv2!$C$34,IF(G141=CVSSv2!$D$12,CVSSv2!$D$34,IF(G141=CVSSv2!$E$12,CVSSv2!$E$34,"")))&amp;")"</f>
        <v/>
      </c>
    </row>
    <row customHeight="1" s="134" r="143" ht="15.75" spans="1:15">
      <c s="19" r="A143">
        <f>IF(A142="#",1,A133+1)</f>
        <v/>
      </c>
      <c s="18" r="B143" t="s">
        <v>809</v>
      </c>
      <c s="18" r="C143" t="n"/>
      <c s="18" r="D143" t="n"/>
      <c s="18" r="E143">
        <f>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
      </c>
      <c s="50" r="F143">
        <f>CVSSv2!$A$4</f>
        <v/>
      </c>
      <c s="51" r="G143" t="s">
        <v>772</v>
      </c>
      <c s="52" r="H143">
        <f>ROUND(((0.6*(10.41*(1-(1-IF(G146=CVSSv2!$C$7,CVSSv2!$C$18,IF(G146=CVSSv2!$D$7,CVSSv2!$D$18,IF(G146=CVSSv2!$E$7,CVSSv2!$E$18,0))))*(1-IF(G147=CVSSv2!$C$8,CVSSv2!$C$19,IF(G147=CVSSv2!$D$8,CVSSv2!$D$19,IF(G147=CVSSv2!$E$8,CVSSv2!$E$19,0))))*(1-IF(G148=CVSSv2!$C$9,CVSSv2!$C$20,IF(G148=CVSSv2!$D$9,CVSSv2!$D$20,IF(G148=CVSSv2!$E$9,CVSSv2!$E$20,0))))))+0.4*(20*IF(G143=CVSSv2!$C$4,CVSSv2!$C$15,IF(G143=CVSSv2!$D$4,CVSSv2!$D$15,IF(G143=CVSSv2!$E$4,CVSSv2!$E$15,0)))*IF(G144=CVSSv2!$C$5,CVSSv2!$C$16,IF(G144=CVSSv2!$D$5,CVSSv2!$D$16,IF(G144=CVSSv2!$E$5,CVSSv2!$E$16,0)))*IF(G145=CVSSv2!$C$6,CVSSv2!$C$17,IF(G145=CVSSv2!$D$6,CVSSv2!$D$17,IF(G145=CVSSv2!$E$6,CVSSv2!$E$17,0))))-1.5)*(IF(10.41*(1-(1-IF(G146=CVSSv2!$C$7,CVSSv2!$C$18,IF(G146=CVSSv2!$D$7,CVSSv2!$D$18,IF(G146=CVSSv2!$E$7,CVSSv2!$E$18,0))))*(1-IF(G147=CVSSv2!$C$8,CVSSv2!$C$19,IF(G147=CVSSv2!$D$8,CVSSv2!$D$19,IF(G147=CVSSv2!$E$8,CVSSv2!$E$19,0))))*(1-IF(G148=CVSSv2!$C$9,CVSSv2!$C$20,IF(G148=CVSSv2!$D$9,CVSSv2!$D$20,IF(G148=CVSSv2!$E$9,CVSSv2!$E$20,0)))))=0,0,1.176)))*(IF(G149=CVSSv2!$C$10,CVSSv2!$C$21,IF(G149=CVSSv2!$D$10,CVSSv2!$D$21,IF(G149=CVSSv2!$E$10,CVSSv2!$E$21,IF(G149=CVSSv2!$F$10,CVSSv2!$F$21,0))))*IF(G150=CVSSv2!$C$11,CVSSv2!$C$22,IF(G150=CVSSv2!$D$11,CVSSv2!$D$22,IF(G150=CVSSv2!$E$11,CVSSv2!$E$22,IF(G150=CVSSv2!$F$11,CVSSv2!$F$22,0))))*IF(G151=CVSSv2!$C$12,CVSSv2!$C$23,IF(G151=CVSSv2!$D$12,CVSSv2!$D$23,IF(G151=CVSSv2!$E$12,CVSSv2!$E$23,0)))),1)</f>
        <v/>
      </c>
      <c s="19" r="I143" t="n">
        <v>15</v>
      </c>
      <c s="18" r="J143" t="n"/>
      <c s="18" r="K143" t="n"/>
      <c s="18" r="L143" t="n"/>
      <c s="18" r="M143" t="s">
        <v>779</v>
      </c>
      <c s="18" r="N143" t="s">
        <v>810</v>
      </c>
      <c s="18" r="O143" t="s">
        <v>811</v>
      </c>
    </row>
    <row customHeight="1" s="134" r="144" ht="15.75" spans="1:15">
      <c s="53" r="F144">
        <f>CVSSv2!$A$5</f>
        <v/>
      </c>
      <c s="54" r="G144" t="s">
        <v>776</v>
      </c>
    </row>
    <row customHeight="1" s="134" r="145" ht="15.75" spans="1:15">
      <c s="53" r="F145">
        <f>CVSSv2!$A$6</f>
        <v/>
      </c>
      <c s="54" r="G145" t="s">
        <v>743</v>
      </c>
    </row>
    <row customHeight="1" s="134" r="146" ht="15.75" spans="1:15">
      <c s="53" r="F146">
        <f>CVSSv2!$A$7</f>
        <v/>
      </c>
      <c s="54" r="G146" t="s">
        <v>746</v>
      </c>
    </row>
    <row customHeight="1" s="134" r="147" ht="15.75" spans="1:15">
      <c s="53" r="F147">
        <f>CVSSv2!$A$8</f>
        <v/>
      </c>
      <c s="54" r="G147" t="s">
        <v>746</v>
      </c>
    </row>
    <row customHeight="1" s="134" r="148" ht="15.75" spans="1:15">
      <c s="53" r="F148">
        <f>CVSSv2!$A$9</f>
        <v/>
      </c>
      <c s="54" r="G148" t="s">
        <v>746</v>
      </c>
    </row>
    <row customHeight="1" s="134" r="149" ht="15.75" spans="1:15">
      <c s="53" r="F149">
        <f>CVSSv2!$A$10</f>
        <v/>
      </c>
      <c s="54" r="G149" t="s">
        <v>759</v>
      </c>
    </row>
    <row customHeight="1" s="134" r="150" ht="15.75" spans="1:15">
      <c s="53" r="F150">
        <f>CVSSv2!$A$11</f>
        <v/>
      </c>
      <c s="54" r="G150" t="s">
        <v>777</v>
      </c>
    </row>
    <row customHeight="1" s="134" r="151" ht="15.75" spans="1:15">
      <c s="53" r="F151">
        <f>CVSSv2!$A$12</f>
        <v/>
      </c>
      <c s="54" r="G151" t="s">
        <v>750</v>
      </c>
    </row>
    <row customHeight="1" s="134" r="152" ht="15.75" spans="1:15">
      <c s="55" r="F152">
        <f>"("&amp;CVSSv2!$B$4&amp;":"&amp;IF(G143=CVSSv2!$C$4,CVSSv2!$C$26,IF(G143=CVSSv2!$D$4,CVSSv2!$D$26,IF(G143=CVSSv2!$E$4,CVSSv2!$E$26,"")))&amp;"/"&amp;CVSSv2!$B$5&amp;":"&amp;IF(G144=CVSSv2!$C$5,CVSSv2!$C$27,IF(G144=CVSSv2!$D$5,CVSSv2!$D$27,IF(G144=CVSSv2!$E$5,CVSSv2!$E$27,"")))&amp;"/"&amp;CVSSv2!$B$6&amp;":"&amp;IF(G145=CVSSv2!$C$6,CVSSv2!$C$28,IF(G145=CVSSv2!$D$6,CVSSv2!$D$28,IF(G145=CVSSv2!$E$6,CVSSv2!$E$28,"")))&amp;"/"&amp;CVSSv2!$B$7&amp;":"&amp;IF(G146=CVSSv2!$C$7,CVSSv2!$C$29,IF(G146=CVSSv2!$D$7,CVSSv2!$D$29,IF(G146=CVSSv2!$E$7,CVSSv2!$E$29,"")))&amp;"/"&amp;CVSSv2!$B$8&amp;":"&amp;IF(G147=CVSSv2!$C$8,CVSSv2!$C$30,IF(G147=CVSSv2!$D$8,CVSSv2!$D$30,IF(G147=CVSSv2!$E$8,CVSSv2!$E$30,"")))&amp;"/"&amp;CVSSv2!$B$9&amp;":"&amp;IF(G148=CVSSv2!$C$9,CVSSv2!$C$31,IF(G148=CVSSv2!$D$9,CVSSv2!$D$31,IF(G148=CVSSv2!$E$9,CVSSv2!$E$31,"")))&amp;"/"&amp;CVSSv2!$B$10&amp;":"&amp;IF(G149=CVSSv2!$C$10,CVSSv2!$C$32,IF(G149=CVSSv2!$D$10,CVSSv2!$D$32,IF(G149=CVSSv2!$E$10,CVSSv2!$E$32,IF(G149=CVSSv2!$F$10,CVSSv2!$F$32,""))))&amp;"/"&amp;CVSSv2!$B$11&amp;":"&amp;IF(G150=CVSSv2!$C$11,CVSSv2!$C$33,IF(G150=CVSSv2!$D$11,CVSSv2!$D$33,IF(G150=CVSSv2!$E$11,CVSSv2!$E$33,IF(G150=CVSSv2!$F$11,CVSSv2!$F$33,""))))&amp;"/"&amp;CVSSv2!$B$12&amp;":"&amp;IF(G151=CVSSv2!$C$12,CVSSv2!$C$34,IF(G151=CVSSv2!$D$12,CVSSv2!$D$34,IF(G151=CVSSv2!$E$12,CVSSv2!$E$34,"")))&amp;")"</f>
        <v/>
      </c>
    </row>
    <row customHeight="1" s="134" r="153" ht="15.75" spans="1:15">
      <c s="19" r="A153">
        <f>IF(A152="#",1,A143+1)</f>
        <v/>
      </c>
      <c s="18" r="B153" t="s">
        <v>812</v>
      </c>
      <c s="18" r="C153" t="n"/>
      <c s="18" r="D153" t="n"/>
      <c s="18" r="E153">
        <f>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
      </c>
      <c s="50" r="F153">
        <f>CVSSv2!$A$4</f>
        <v/>
      </c>
      <c s="51" r="G153" t="s">
        <v>772</v>
      </c>
      <c s="52" r="H153">
        <f>ROUND(((0.6*(10.41*(1-(1-IF(G156=CVSSv2!$C$7,CVSSv2!$C$18,IF(G156=CVSSv2!$D$7,CVSSv2!$D$18,IF(G156=CVSSv2!$E$7,CVSSv2!$E$18,0))))*(1-IF(G157=CVSSv2!$C$8,CVSSv2!$C$19,IF(G157=CVSSv2!$D$8,CVSSv2!$D$19,IF(G157=CVSSv2!$E$8,CVSSv2!$E$19,0))))*(1-IF(G158=CVSSv2!$C$9,CVSSv2!$C$20,IF(G158=CVSSv2!$D$9,CVSSv2!$D$20,IF(G158=CVSSv2!$E$9,CVSSv2!$E$20,0))))))+0.4*(20*IF(G153=CVSSv2!$C$4,CVSSv2!$C$15,IF(G153=CVSSv2!$D$4,CVSSv2!$D$15,IF(G153=CVSSv2!$E$4,CVSSv2!$E$15,0)))*IF(G154=CVSSv2!$C$5,CVSSv2!$C$16,IF(G154=CVSSv2!$D$5,CVSSv2!$D$16,IF(G154=CVSSv2!$E$5,CVSSv2!$E$16,0)))*IF(G155=CVSSv2!$C$6,CVSSv2!$C$17,IF(G155=CVSSv2!$D$6,CVSSv2!$D$17,IF(G155=CVSSv2!$E$6,CVSSv2!$E$17,0))))-1.5)*(IF(10.41*(1-(1-IF(G156=CVSSv2!$C$7,CVSSv2!$C$18,IF(G156=CVSSv2!$D$7,CVSSv2!$D$18,IF(G156=CVSSv2!$E$7,CVSSv2!$E$18,0))))*(1-IF(G157=CVSSv2!$C$8,CVSSv2!$C$19,IF(G157=CVSSv2!$D$8,CVSSv2!$D$19,IF(G157=CVSSv2!$E$8,CVSSv2!$E$19,0))))*(1-IF(G158=CVSSv2!$C$9,CVSSv2!$C$20,IF(G158=CVSSv2!$D$9,CVSSv2!$D$20,IF(G158=CVSSv2!$E$9,CVSSv2!$E$20,0)))))=0,0,1.176)))*(IF(G159=CVSSv2!$C$10,CVSSv2!$C$21,IF(G159=CVSSv2!$D$10,CVSSv2!$D$21,IF(G159=CVSSv2!$E$10,CVSSv2!$E$21,IF(G159=CVSSv2!$F$10,CVSSv2!$F$21,0))))*IF(G160=CVSSv2!$C$11,CVSSv2!$C$22,IF(G160=CVSSv2!$D$11,CVSSv2!$D$22,IF(G160=CVSSv2!$E$11,CVSSv2!$E$22,IF(G160=CVSSv2!$F$11,CVSSv2!$F$22,0))))*IF(G161=CVSSv2!$C$12,CVSSv2!$C$23,IF(G161=CVSSv2!$D$12,CVSSv2!$D$23,IF(G161=CVSSv2!$E$12,CVSSv2!$E$23,0)))),1)</f>
        <v/>
      </c>
      <c s="19" r="I153" t="n">
        <v>16</v>
      </c>
      <c s="18" r="J153" t="n"/>
      <c s="18" r="K153" t="n"/>
      <c s="18" r="L153" t="n"/>
      <c s="18" r="M153" t="s">
        <v>779</v>
      </c>
      <c s="18" r="N153" t="s">
        <v>813</v>
      </c>
      <c s="18" r="O153" t="s">
        <v>814</v>
      </c>
    </row>
    <row customHeight="1" s="134" r="154" ht="15.75" spans="1:15">
      <c s="53" r="F154">
        <f>CVSSv2!$A$5</f>
        <v/>
      </c>
      <c s="54" r="G154" t="s">
        <v>776</v>
      </c>
    </row>
    <row customHeight="1" s="134" r="155" ht="15.75" spans="1:15">
      <c s="53" r="F155">
        <f>CVSSv2!$A$6</f>
        <v/>
      </c>
      <c s="54" r="G155" t="s">
        <v>743</v>
      </c>
    </row>
    <row customHeight="1" s="134" r="156" ht="15.75" spans="1:15">
      <c s="53" r="F156">
        <f>CVSSv2!$A$7</f>
        <v/>
      </c>
      <c s="54" r="G156" t="s">
        <v>746</v>
      </c>
    </row>
    <row customHeight="1" s="134" r="157" ht="15.75" spans="1:15">
      <c s="53" r="F157">
        <f>CVSSv2!$A$8</f>
        <v/>
      </c>
      <c s="54" r="G157" t="s">
        <v>746</v>
      </c>
    </row>
    <row customHeight="1" s="134" r="158" ht="15.75" spans="1:15">
      <c s="53" r="F158">
        <f>CVSSv2!$A$9</f>
        <v/>
      </c>
      <c s="54" r="G158" t="s">
        <v>746</v>
      </c>
    </row>
    <row customHeight="1" s="134" r="159" ht="15.75" spans="1:15">
      <c s="53" r="F159">
        <f>CVSSv2!$A$10</f>
        <v/>
      </c>
      <c s="54" r="G159" t="s">
        <v>759</v>
      </c>
    </row>
    <row customHeight="1" s="134" r="160" ht="15.75" spans="1:15">
      <c s="53" r="F160">
        <f>CVSSv2!$A$11</f>
        <v/>
      </c>
      <c s="54" r="G160" t="s">
        <v>777</v>
      </c>
    </row>
    <row customHeight="1" s="134" r="161" ht="15.75" spans="1:15">
      <c s="53" r="F161">
        <f>CVSSv2!$A$12</f>
        <v/>
      </c>
      <c s="54" r="G161" t="s">
        <v>750</v>
      </c>
    </row>
    <row customHeight="1" s="134" r="162" ht="15.75" spans="1:15">
      <c s="55" r="F162">
        <f>"("&amp;CVSSv2!$B$4&amp;":"&amp;IF(G153=CVSSv2!$C$4,CVSSv2!$C$26,IF(G153=CVSSv2!$D$4,CVSSv2!$D$26,IF(G153=CVSSv2!$E$4,CVSSv2!$E$26,"")))&amp;"/"&amp;CVSSv2!$B$5&amp;":"&amp;IF(G154=CVSSv2!$C$5,CVSSv2!$C$27,IF(G154=CVSSv2!$D$5,CVSSv2!$D$27,IF(G154=CVSSv2!$E$5,CVSSv2!$E$27,"")))&amp;"/"&amp;CVSSv2!$B$6&amp;":"&amp;IF(G155=CVSSv2!$C$6,CVSSv2!$C$28,IF(G155=CVSSv2!$D$6,CVSSv2!$D$28,IF(G155=CVSSv2!$E$6,CVSSv2!$E$28,"")))&amp;"/"&amp;CVSSv2!$B$7&amp;":"&amp;IF(G156=CVSSv2!$C$7,CVSSv2!$C$29,IF(G156=CVSSv2!$D$7,CVSSv2!$D$29,IF(G156=CVSSv2!$E$7,CVSSv2!$E$29,"")))&amp;"/"&amp;CVSSv2!$B$8&amp;":"&amp;IF(G157=CVSSv2!$C$8,CVSSv2!$C$30,IF(G157=CVSSv2!$D$8,CVSSv2!$D$30,IF(G157=CVSSv2!$E$8,CVSSv2!$E$30,"")))&amp;"/"&amp;CVSSv2!$B$9&amp;":"&amp;IF(G158=CVSSv2!$C$9,CVSSv2!$C$31,IF(G158=CVSSv2!$D$9,CVSSv2!$D$31,IF(G158=CVSSv2!$E$9,CVSSv2!$E$31,"")))&amp;"/"&amp;CVSSv2!$B$10&amp;":"&amp;IF(G159=CVSSv2!$C$10,CVSSv2!$C$32,IF(G159=CVSSv2!$D$10,CVSSv2!$D$32,IF(G159=CVSSv2!$E$10,CVSSv2!$E$32,IF(G159=CVSSv2!$F$10,CVSSv2!$F$32,""))))&amp;"/"&amp;CVSSv2!$B$11&amp;":"&amp;IF(G160=CVSSv2!$C$11,CVSSv2!$C$33,IF(G160=CVSSv2!$D$11,CVSSv2!$D$33,IF(G160=CVSSv2!$E$11,CVSSv2!$E$33,IF(G160=CVSSv2!$F$11,CVSSv2!$F$33,""))))&amp;"/"&amp;CVSSv2!$B$12&amp;":"&amp;IF(G161=CVSSv2!$C$12,CVSSv2!$C$34,IF(G161=CVSSv2!$D$12,CVSSv2!$D$34,IF(G161=CVSSv2!$E$12,CVSSv2!$E$34,"")))&amp;")"</f>
        <v/>
      </c>
    </row>
    <row customHeight="1" s="134" r="163" ht="15.75" spans="1:15">
      <c s="19" r="A163">
        <f>IF(A162="#",1,A153+1)</f>
        <v/>
      </c>
      <c s="18" r="B163" t="s">
        <v>815</v>
      </c>
      <c s="18" r="C163" t="n"/>
      <c s="18" r="D163" t="n"/>
      <c s="18" r="E163">
        <f>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
      </c>
      <c s="50" r="F163">
        <f>CVSSv2!$A$4</f>
        <v/>
      </c>
      <c s="51" r="G163" t="s">
        <v>772</v>
      </c>
      <c s="52" r="H163">
        <f>ROUND(((0.6*(10.41*(1-(1-IF(G166=CVSSv2!$C$7,CVSSv2!$C$18,IF(G166=CVSSv2!$D$7,CVSSv2!$D$18,IF(G166=CVSSv2!$E$7,CVSSv2!$E$18,0))))*(1-IF(G167=CVSSv2!$C$8,CVSSv2!$C$19,IF(G167=CVSSv2!$D$8,CVSSv2!$D$19,IF(G167=CVSSv2!$E$8,CVSSv2!$E$19,0))))*(1-IF(G168=CVSSv2!$C$9,CVSSv2!$C$20,IF(G168=CVSSv2!$D$9,CVSSv2!$D$20,IF(G168=CVSSv2!$E$9,CVSSv2!$E$20,0))))))+0.4*(20*IF(G163=CVSSv2!$C$4,CVSSv2!$C$15,IF(G163=CVSSv2!$D$4,CVSSv2!$D$15,IF(G163=CVSSv2!$E$4,CVSSv2!$E$15,0)))*IF(G164=CVSSv2!$C$5,CVSSv2!$C$16,IF(G164=CVSSv2!$D$5,CVSSv2!$D$16,IF(G164=CVSSv2!$E$5,CVSSv2!$E$16,0)))*IF(G165=CVSSv2!$C$6,CVSSv2!$C$17,IF(G165=CVSSv2!$D$6,CVSSv2!$D$17,IF(G165=CVSSv2!$E$6,CVSSv2!$E$17,0))))-1.5)*(IF(10.41*(1-(1-IF(G166=CVSSv2!$C$7,CVSSv2!$C$18,IF(G166=CVSSv2!$D$7,CVSSv2!$D$18,IF(G166=CVSSv2!$E$7,CVSSv2!$E$18,0))))*(1-IF(G167=CVSSv2!$C$8,CVSSv2!$C$19,IF(G167=CVSSv2!$D$8,CVSSv2!$D$19,IF(G167=CVSSv2!$E$8,CVSSv2!$E$19,0))))*(1-IF(G168=CVSSv2!$C$9,CVSSv2!$C$20,IF(G168=CVSSv2!$D$9,CVSSv2!$D$20,IF(G168=CVSSv2!$E$9,CVSSv2!$E$20,0)))))=0,0,1.176)))*(IF(G169=CVSSv2!$C$10,CVSSv2!$C$21,IF(G169=CVSSv2!$D$10,CVSSv2!$D$21,IF(G169=CVSSv2!$E$10,CVSSv2!$E$21,IF(G169=CVSSv2!$F$10,CVSSv2!$F$21,0))))*IF(G170=CVSSv2!$C$11,CVSSv2!$C$22,IF(G170=CVSSv2!$D$11,CVSSv2!$D$22,IF(G170=CVSSv2!$E$11,CVSSv2!$E$22,IF(G170=CVSSv2!$F$11,CVSSv2!$F$22,0))))*IF(G171=CVSSv2!$C$12,CVSSv2!$C$23,IF(G171=CVSSv2!$D$12,CVSSv2!$D$23,IF(G171=CVSSv2!$E$12,CVSSv2!$E$23,0)))),1)</f>
        <v/>
      </c>
      <c s="19" r="I163" t="n">
        <v>17</v>
      </c>
      <c s="18" r="J163" t="n"/>
      <c s="18" r="K163" t="n"/>
      <c s="18" r="L163" t="n"/>
      <c s="18" r="M163" t="s">
        <v>779</v>
      </c>
      <c s="18" r="N163" t="s">
        <v>816</v>
      </c>
      <c s="18" r="O163" t="s">
        <v>817</v>
      </c>
    </row>
    <row customHeight="1" s="134" r="164" ht="15.75" spans="1:15">
      <c s="53" r="F164">
        <f>CVSSv2!$A$5</f>
        <v/>
      </c>
      <c s="54" r="G164" t="s">
        <v>776</v>
      </c>
    </row>
    <row customHeight="1" s="134" r="165" ht="15.75" spans="1:15">
      <c s="53" r="F165">
        <f>CVSSv2!$A$6</f>
        <v/>
      </c>
      <c s="54" r="G165" t="s">
        <v>743</v>
      </c>
    </row>
    <row customHeight="1" s="134" r="166" ht="15.75" spans="1:15">
      <c s="53" r="F166">
        <f>CVSSv2!$A$7</f>
        <v/>
      </c>
      <c s="54" r="G166" t="s">
        <v>746</v>
      </c>
    </row>
    <row customHeight="1" s="134" r="167" ht="15.75" spans="1:15">
      <c s="53" r="F167">
        <f>CVSSv2!$A$8</f>
        <v/>
      </c>
      <c s="54" r="G167" t="s">
        <v>746</v>
      </c>
    </row>
    <row customHeight="1" s="134" r="168" ht="15.75" spans="1:15">
      <c s="53" r="F168">
        <f>CVSSv2!$A$9</f>
        <v/>
      </c>
      <c s="54" r="G168" t="s">
        <v>746</v>
      </c>
    </row>
    <row customHeight="1" s="134" r="169" ht="15.75" spans="1:15">
      <c s="53" r="F169">
        <f>CVSSv2!$A$10</f>
        <v/>
      </c>
      <c s="54" r="G169" t="s">
        <v>759</v>
      </c>
    </row>
    <row customHeight="1" s="134" r="170" ht="15.75" spans="1:15">
      <c s="53" r="F170">
        <f>CVSSv2!$A$11</f>
        <v/>
      </c>
      <c s="54" r="G170" t="s">
        <v>777</v>
      </c>
    </row>
    <row customHeight="1" s="134" r="171" ht="15.75" spans="1:15">
      <c s="53" r="F171">
        <f>CVSSv2!$A$12</f>
        <v/>
      </c>
      <c s="54" r="G171" t="s">
        <v>750</v>
      </c>
    </row>
    <row customHeight="1" s="134" r="172" ht="15.75" spans="1:15">
      <c s="55" r="F172">
        <f>"("&amp;CVSSv2!$B$4&amp;":"&amp;IF(G163=CVSSv2!$C$4,CVSSv2!$C$26,IF(G163=CVSSv2!$D$4,CVSSv2!$D$26,IF(G163=CVSSv2!$E$4,CVSSv2!$E$26,"")))&amp;"/"&amp;CVSSv2!$B$5&amp;":"&amp;IF(G164=CVSSv2!$C$5,CVSSv2!$C$27,IF(G164=CVSSv2!$D$5,CVSSv2!$D$27,IF(G164=CVSSv2!$E$5,CVSSv2!$E$27,"")))&amp;"/"&amp;CVSSv2!$B$6&amp;":"&amp;IF(G165=CVSSv2!$C$6,CVSSv2!$C$28,IF(G165=CVSSv2!$D$6,CVSSv2!$D$28,IF(G165=CVSSv2!$E$6,CVSSv2!$E$28,"")))&amp;"/"&amp;CVSSv2!$B$7&amp;":"&amp;IF(G166=CVSSv2!$C$7,CVSSv2!$C$29,IF(G166=CVSSv2!$D$7,CVSSv2!$D$29,IF(G166=CVSSv2!$E$7,CVSSv2!$E$29,"")))&amp;"/"&amp;CVSSv2!$B$8&amp;":"&amp;IF(G167=CVSSv2!$C$8,CVSSv2!$C$30,IF(G167=CVSSv2!$D$8,CVSSv2!$D$30,IF(G167=CVSSv2!$E$8,CVSSv2!$E$30,"")))&amp;"/"&amp;CVSSv2!$B$9&amp;":"&amp;IF(G168=CVSSv2!$C$9,CVSSv2!$C$31,IF(G168=CVSSv2!$D$9,CVSSv2!$D$31,IF(G168=CVSSv2!$E$9,CVSSv2!$E$31,"")))&amp;"/"&amp;CVSSv2!$B$10&amp;":"&amp;IF(G169=CVSSv2!$C$10,CVSSv2!$C$32,IF(G169=CVSSv2!$D$10,CVSSv2!$D$32,IF(G169=CVSSv2!$E$10,CVSSv2!$E$32,IF(G169=CVSSv2!$F$10,CVSSv2!$F$32,""))))&amp;"/"&amp;CVSSv2!$B$11&amp;":"&amp;IF(G170=CVSSv2!$C$11,CVSSv2!$C$33,IF(G170=CVSSv2!$D$11,CVSSv2!$D$33,IF(G170=CVSSv2!$E$11,CVSSv2!$E$33,IF(G170=CVSSv2!$F$11,CVSSv2!$F$33,""))))&amp;"/"&amp;CVSSv2!$B$12&amp;":"&amp;IF(G171=CVSSv2!$C$12,CVSSv2!$C$34,IF(G171=CVSSv2!$D$12,CVSSv2!$D$34,IF(G171=CVSSv2!$E$12,CVSSv2!$E$34,"")))&amp;")"</f>
        <v/>
      </c>
    </row>
    <row customHeight="1" s="134" r="173" ht="15.75" spans="1:15">
      <c s="19" r="A173">
        <f>IF(A172="#",1,A163+1)</f>
        <v/>
      </c>
      <c s="18" r="B173" t="s">
        <v>818</v>
      </c>
      <c s="18" r="C173" t="n"/>
      <c s="18" r="D173" t="n"/>
      <c s="18" r="E173">
        <f>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
      </c>
      <c s="50" r="F173">
        <f>CVSSv2!$A$4</f>
        <v/>
      </c>
      <c s="51" r="G173" t="s">
        <v>772</v>
      </c>
      <c s="52" r="H173">
        <f>ROUND(((0.6*(10.41*(1-(1-IF(G176=CVSSv2!$C$7,CVSSv2!$C$18,IF(G176=CVSSv2!$D$7,CVSSv2!$D$18,IF(G176=CVSSv2!$E$7,CVSSv2!$E$18,0))))*(1-IF(G177=CVSSv2!$C$8,CVSSv2!$C$19,IF(G177=CVSSv2!$D$8,CVSSv2!$D$19,IF(G177=CVSSv2!$E$8,CVSSv2!$E$19,0))))*(1-IF(G178=CVSSv2!$C$9,CVSSv2!$C$20,IF(G178=CVSSv2!$D$9,CVSSv2!$D$20,IF(G178=CVSSv2!$E$9,CVSSv2!$E$20,0))))))+0.4*(20*IF(G173=CVSSv2!$C$4,CVSSv2!$C$15,IF(G173=CVSSv2!$D$4,CVSSv2!$D$15,IF(G173=CVSSv2!$E$4,CVSSv2!$E$15,0)))*IF(G174=CVSSv2!$C$5,CVSSv2!$C$16,IF(G174=CVSSv2!$D$5,CVSSv2!$D$16,IF(G174=CVSSv2!$E$5,CVSSv2!$E$16,0)))*IF(G175=CVSSv2!$C$6,CVSSv2!$C$17,IF(G175=CVSSv2!$D$6,CVSSv2!$D$17,IF(G175=CVSSv2!$E$6,CVSSv2!$E$17,0))))-1.5)*(IF(10.41*(1-(1-IF(G176=CVSSv2!$C$7,CVSSv2!$C$18,IF(G176=CVSSv2!$D$7,CVSSv2!$D$18,IF(G176=CVSSv2!$E$7,CVSSv2!$E$18,0))))*(1-IF(G177=CVSSv2!$C$8,CVSSv2!$C$19,IF(G177=CVSSv2!$D$8,CVSSv2!$D$19,IF(G177=CVSSv2!$E$8,CVSSv2!$E$19,0))))*(1-IF(G178=CVSSv2!$C$9,CVSSv2!$C$20,IF(G178=CVSSv2!$D$9,CVSSv2!$D$20,IF(G178=CVSSv2!$E$9,CVSSv2!$E$20,0)))))=0,0,1.176)))*(IF(G179=CVSSv2!$C$10,CVSSv2!$C$21,IF(G179=CVSSv2!$D$10,CVSSv2!$D$21,IF(G179=CVSSv2!$E$10,CVSSv2!$E$21,IF(G179=CVSSv2!$F$10,CVSSv2!$F$21,0))))*IF(G180=CVSSv2!$C$11,CVSSv2!$C$22,IF(G180=CVSSv2!$D$11,CVSSv2!$D$22,IF(G180=CVSSv2!$E$11,CVSSv2!$E$22,IF(G180=CVSSv2!$F$11,CVSSv2!$F$22,0))))*IF(G181=CVSSv2!$C$12,CVSSv2!$C$23,IF(G181=CVSSv2!$D$12,CVSSv2!$D$23,IF(G181=CVSSv2!$E$12,CVSSv2!$E$23,0)))),1)</f>
        <v/>
      </c>
      <c s="19" r="I173" t="n">
        <v>18</v>
      </c>
      <c s="18" r="J173" t="n"/>
      <c s="18" r="K173" t="n"/>
      <c s="18" r="L173" t="n"/>
      <c s="18" r="M173" t="s">
        <v>779</v>
      </c>
      <c s="18" r="N173" t="s">
        <v>819</v>
      </c>
      <c s="18" r="O173" t="s">
        <v>820</v>
      </c>
    </row>
    <row customHeight="1" s="134" r="174" ht="15.75" spans="1:15">
      <c s="53" r="F174">
        <f>CVSSv2!$A$5</f>
        <v/>
      </c>
      <c s="54" r="G174" t="s">
        <v>776</v>
      </c>
    </row>
    <row customHeight="1" s="134" r="175" ht="15.75" spans="1:15">
      <c s="53" r="F175">
        <f>CVSSv2!$A$6</f>
        <v/>
      </c>
      <c s="54" r="G175" t="s">
        <v>743</v>
      </c>
    </row>
    <row customHeight="1" s="134" r="176" ht="15.75" spans="1:15">
      <c s="53" r="F176">
        <f>CVSSv2!$A$7</f>
        <v/>
      </c>
      <c s="54" r="G176" t="s">
        <v>746</v>
      </c>
    </row>
    <row customHeight="1" s="134" r="177" ht="15.75" spans="1:15">
      <c s="53" r="F177">
        <f>CVSSv2!$A$8</f>
        <v/>
      </c>
      <c s="54" r="G177" t="s">
        <v>746</v>
      </c>
    </row>
    <row customHeight="1" s="134" r="178" ht="15.75" spans="1:15">
      <c s="53" r="F178">
        <f>CVSSv2!$A$9</f>
        <v/>
      </c>
      <c s="54" r="G178" t="s">
        <v>746</v>
      </c>
    </row>
    <row customHeight="1" s="134" r="179" ht="15.75" spans="1:15">
      <c s="53" r="F179">
        <f>CVSSv2!$A$10</f>
        <v/>
      </c>
      <c s="54" r="G179" t="s">
        <v>759</v>
      </c>
    </row>
    <row customHeight="1" s="134" r="180" ht="15.75" spans="1:15">
      <c s="53" r="F180">
        <f>CVSSv2!$A$11</f>
        <v/>
      </c>
      <c s="54" r="G180" t="s">
        <v>777</v>
      </c>
    </row>
    <row customHeight="1" s="134" r="181" ht="15.75" spans="1:15">
      <c s="53" r="F181">
        <f>CVSSv2!$A$12</f>
        <v/>
      </c>
      <c s="54" r="G181" t="s">
        <v>750</v>
      </c>
    </row>
    <row customHeight="1" s="134" r="182" ht="15.75" spans="1:15">
      <c s="55" r="F182">
        <f>"("&amp;CVSSv2!$B$4&amp;":"&amp;IF(G173=CVSSv2!$C$4,CVSSv2!$C$26,IF(G173=CVSSv2!$D$4,CVSSv2!$D$26,IF(G173=CVSSv2!$E$4,CVSSv2!$E$26,"")))&amp;"/"&amp;CVSSv2!$B$5&amp;":"&amp;IF(G174=CVSSv2!$C$5,CVSSv2!$C$27,IF(G174=CVSSv2!$D$5,CVSSv2!$D$27,IF(G174=CVSSv2!$E$5,CVSSv2!$E$27,"")))&amp;"/"&amp;CVSSv2!$B$6&amp;":"&amp;IF(G175=CVSSv2!$C$6,CVSSv2!$C$28,IF(G175=CVSSv2!$D$6,CVSSv2!$D$28,IF(G175=CVSSv2!$E$6,CVSSv2!$E$28,"")))&amp;"/"&amp;CVSSv2!$B$7&amp;":"&amp;IF(G176=CVSSv2!$C$7,CVSSv2!$C$29,IF(G176=CVSSv2!$D$7,CVSSv2!$D$29,IF(G176=CVSSv2!$E$7,CVSSv2!$E$29,"")))&amp;"/"&amp;CVSSv2!$B$8&amp;":"&amp;IF(G177=CVSSv2!$C$8,CVSSv2!$C$30,IF(G177=CVSSv2!$D$8,CVSSv2!$D$30,IF(G177=CVSSv2!$E$8,CVSSv2!$E$30,"")))&amp;"/"&amp;CVSSv2!$B$9&amp;":"&amp;IF(G178=CVSSv2!$C$9,CVSSv2!$C$31,IF(G178=CVSSv2!$D$9,CVSSv2!$D$31,IF(G178=CVSSv2!$E$9,CVSSv2!$E$31,"")))&amp;"/"&amp;CVSSv2!$B$10&amp;":"&amp;IF(G179=CVSSv2!$C$10,CVSSv2!$C$32,IF(G179=CVSSv2!$D$10,CVSSv2!$D$32,IF(G179=CVSSv2!$E$10,CVSSv2!$E$32,IF(G179=CVSSv2!$F$10,CVSSv2!$F$32,""))))&amp;"/"&amp;CVSSv2!$B$11&amp;":"&amp;IF(G180=CVSSv2!$C$11,CVSSv2!$C$33,IF(G180=CVSSv2!$D$11,CVSSv2!$D$33,IF(G180=CVSSv2!$E$11,CVSSv2!$E$33,IF(G180=CVSSv2!$F$11,CVSSv2!$F$33,""))))&amp;"/"&amp;CVSSv2!$B$12&amp;":"&amp;IF(G181=CVSSv2!$C$12,CVSSv2!$C$34,IF(G181=CVSSv2!$D$12,CVSSv2!$D$34,IF(G181=CVSSv2!$E$12,CVSSv2!$E$34,"")))&amp;")"</f>
        <v/>
      </c>
    </row>
    <row customHeight="1" s="134" r="183" ht="15.75" spans="1:15">
      <c s="19" r="A183">
        <f>IF(A182="#",1,A173+1)</f>
        <v/>
      </c>
      <c s="18" r="B183" t="s">
        <v>821</v>
      </c>
      <c s="18" r="C183" t="n"/>
      <c s="18" r="D183" t="n"/>
      <c s="18" r="E183">
        <f>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
      </c>
      <c s="50" r="F183">
        <f>CVSSv2!$A$4</f>
        <v/>
      </c>
      <c s="51" r="G183" t="s">
        <v>772</v>
      </c>
      <c s="52" r="H183">
        <f>ROUND(((0.6*(10.41*(1-(1-IF(G186=CVSSv2!$C$7,CVSSv2!$C$18,IF(G186=CVSSv2!$D$7,CVSSv2!$D$18,IF(G186=CVSSv2!$E$7,CVSSv2!$E$18,0))))*(1-IF(G187=CVSSv2!$C$8,CVSSv2!$C$19,IF(G187=CVSSv2!$D$8,CVSSv2!$D$19,IF(G187=CVSSv2!$E$8,CVSSv2!$E$19,0))))*(1-IF(G188=CVSSv2!$C$9,CVSSv2!$C$20,IF(G188=CVSSv2!$D$9,CVSSv2!$D$20,IF(G188=CVSSv2!$E$9,CVSSv2!$E$20,0))))))+0.4*(20*IF(G183=CVSSv2!$C$4,CVSSv2!$C$15,IF(G183=CVSSv2!$D$4,CVSSv2!$D$15,IF(G183=CVSSv2!$E$4,CVSSv2!$E$15,0)))*IF(G184=CVSSv2!$C$5,CVSSv2!$C$16,IF(G184=CVSSv2!$D$5,CVSSv2!$D$16,IF(G184=CVSSv2!$E$5,CVSSv2!$E$16,0)))*IF(G185=CVSSv2!$C$6,CVSSv2!$C$17,IF(G185=CVSSv2!$D$6,CVSSv2!$D$17,IF(G185=CVSSv2!$E$6,CVSSv2!$E$17,0))))-1.5)*(IF(10.41*(1-(1-IF(G186=CVSSv2!$C$7,CVSSv2!$C$18,IF(G186=CVSSv2!$D$7,CVSSv2!$D$18,IF(G186=CVSSv2!$E$7,CVSSv2!$E$18,0))))*(1-IF(G187=CVSSv2!$C$8,CVSSv2!$C$19,IF(G187=CVSSv2!$D$8,CVSSv2!$D$19,IF(G187=CVSSv2!$E$8,CVSSv2!$E$19,0))))*(1-IF(G188=CVSSv2!$C$9,CVSSv2!$C$20,IF(G188=CVSSv2!$D$9,CVSSv2!$D$20,IF(G188=CVSSv2!$E$9,CVSSv2!$E$20,0)))))=0,0,1.176)))*(IF(G189=CVSSv2!$C$10,CVSSv2!$C$21,IF(G189=CVSSv2!$D$10,CVSSv2!$D$21,IF(G189=CVSSv2!$E$10,CVSSv2!$E$21,IF(G189=CVSSv2!$F$10,CVSSv2!$F$21,0))))*IF(G190=CVSSv2!$C$11,CVSSv2!$C$22,IF(G190=CVSSv2!$D$11,CVSSv2!$D$22,IF(G190=CVSSv2!$E$11,CVSSv2!$E$22,IF(G190=CVSSv2!$F$11,CVSSv2!$F$22,0))))*IF(G191=CVSSv2!$C$12,CVSSv2!$C$23,IF(G191=CVSSv2!$D$12,CVSSv2!$D$23,IF(G191=CVSSv2!$E$12,CVSSv2!$E$23,0)))),1)</f>
        <v/>
      </c>
      <c s="19" r="I183" t="n">
        <v>19</v>
      </c>
      <c s="18" r="J183" t="n"/>
      <c s="18" r="K183" t="n"/>
      <c s="18" r="L183" t="n"/>
      <c s="18" r="M183" t="s">
        <v>779</v>
      </c>
      <c s="18" r="N183" t="s">
        <v>822</v>
      </c>
      <c s="18" r="O183" t="s">
        <v>823</v>
      </c>
    </row>
    <row customHeight="1" s="134" r="184" ht="15.75" spans="1:15">
      <c s="53" r="F184">
        <f>CVSSv2!$A$5</f>
        <v/>
      </c>
      <c s="54" r="G184" t="s">
        <v>776</v>
      </c>
    </row>
    <row customHeight="1" s="134" r="185" ht="15.75" spans="1:15">
      <c s="53" r="F185">
        <f>CVSSv2!$A$6</f>
        <v/>
      </c>
      <c s="54" r="G185" t="s">
        <v>743</v>
      </c>
    </row>
    <row customHeight="1" s="134" r="186" ht="15.75" spans="1:15">
      <c s="53" r="F186">
        <f>CVSSv2!$A$7</f>
        <v/>
      </c>
      <c s="54" r="G186" t="s">
        <v>746</v>
      </c>
    </row>
    <row customHeight="1" s="134" r="187" ht="15.75" spans="1:15">
      <c s="53" r="F187">
        <f>CVSSv2!$A$8</f>
        <v/>
      </c>
      <c s="54" r="G187" t="s">
        <v>746</v>
      </c>
    </row>
    <row customHeight="1" s="134" r="188" ht="15.75" spans="1:15">
      <c s="53" r="F188">
        <f>CVSSv2!$A$9</f>
        <v/>
      </c>
      <c s="54" r="G188" t="s">
        <v>746</v>
      </c>
    </row>
    <row customHeight="1" s="134" r="189" ht="15.75" spans="1:15">
      <c s="53" r="F189">
        <f>CVSSv2!$A$10</f>
        <v/>
      </c>
      <c s="54" r="G189" t="s">
        <v>759</v>
      </c>
    </row>
    <row customHeight="1" s="134" r="190" ht="15.75" spans="1:15">
      <c s="53" r="F190">
        <f>CVSSv2!$A$11</f>
        <v/>
      </c>
      <c s="54" r="G190" t="s">
        <v>777</v>
      </c>
    </row>
    <row customHeight="1" s="134" r="191" ht="15.75" spans="1:15">
      <c s="53" r="F191">
        <f>CVSSv2!$A$12</f>
        <v/>
      </c>
      <c s="54" r="G191" t="s">
        <v>750</v>
      </c>
    </row>
    <row customHeight="1" s="134" r="192" ht="15.75" spans="1:15">
      <c s="55" r="F192">
        <f>"("&amp;CVSSv2!$B$4&amp;":"&amp;IF(G183=CVSSv2!$C$4,CVSSv2!$C$26,IF(G183=CVSSv2!$D$4,CVSSv2!$D$26,IF(G183=CVSSv2!$E$4,CVSSv2!$E$26,"")))&amp;"/"&amp;CVSSv2!$B$5&amp;":"&amp;IF(G184=CVSSv2!$C$5,CVSSv2!$C$27,IF(G184=CVSSv2!$D$5,CVSSv2!$D$27,IF(G184=CVSSv2!$E$5,CVSSv2!$E$27,"")))&amp;"/"&amp;CVSSv2!$B$6&amp;":"&amp;IF(G185=CVSSv2!$C$6,CVSSv2!$C$28,IF(G185=CVSSv2!$D$6,CVSSv2!$D$28,IF(G185=CVSSv2!$E$6,CVSSv2!$E$28,"")))&amp;"/"&amp;CVSSv2!$B$7&amp;":"&amp;IF(G186=CVSSv2!$C$7,CVSSv2!$C$29,IF(G186=CVSSv2!$D$7,CVSSv2!$D$29,IF(G186=CVSSv2!$E$7,CVSSv2!$E$29,"")))&amp;"/"&amp;CVSSv2!$B$8&amp;":"&amp;IF(G187=CVSSv2!$C$8,CVSSv2!$C$30,IF(G187=CVSSv2!$D$8,CVSSv2!$D$30,IF(G187=CVSSv2!$E$8,CVSSv2!$E$30,"")))&amp;"/"&amp;CVSSv2!$B$9&amp;":"&amp;IF(G188=CVSSv2!$C$9,CVSSv2!$C$31,IF(G188=CVSSv2!$D$9,CVSSv2!$D$31,IF(G188=CVSSv2!$E$9,CVSSv2!$E$31,"")))&amp;"/"&amp;CVSSv2!$B$10&amp;":"&amp;IF(G189=CVSSv2!$C$10,CVSSv2!$C$32,IF(G189=CVSSv2!$D$10,CVSSv2!$D$32,IF(G189=CVSSv2!$E$10,CVSSv2!$E$32,IF(G189=CVSSv2!$F$10,CVSSv2!$F$32,""))))&amp;"/"&amp;CVSSv2!$B$11&amp;":"&amp;IF(G190=CVSSv2!$C$11,CVSSv2!$C$33,IF(G190=CVSSv2!$D$11,CVSSv2!$D$33,IF(G190=CVSSv2!$E$11,CVSSv2!$E$33,IF(G190=CVSSv2!$F$11,CVSSv2!$F$33,""))))&amp;"/"&amp;CVSSv2!$B$12&amp;":"&amp;IF(G191=CVSSv2!$C$12,CVSSv2!$C$34,IF(G191=CVSSv2!$D$12,CVSSv2!$D$34,IF(G191=CVSSv2!$E$12,CVSSv2!$E$34,"")))&amp;")"</f>
        <v/>
      </c>
    </row>
  </sheetData>
  <mergeCells count="268">
    <mergeCell ref="A1:B1"/>
    <mergeCell ref="F2:G2"/>
    <mergeCell ref="A3:A12"/>
    <mergeCell ref="B3:B12"/>
    <mergeCell ref="C3:C12"/>
    <mergeCell ref="D3:D12"/>
    <mergeCell ref="E3:E12"/>
    <mergeCell ref="H3:H12"/>
    <mergeCell ref="I3:I12"/>
    <mergeCell ref="J3:J12"/>
    <mergeCell ref="K3:K12"/>
    <mergeCell ref="L3:L12"/>
    <mergeCell ref="M3:M12"/>
    <mergeCell ref="N3:N12"/>
    <mergeCell ref="O3:O12"/>
    <mergeCell ref="F12:G12"/>
    <mergeCell ref="A13:A22"/>
    <mergeCell ref="B13:B22"/>
    <mergeCell ref="C13:C22"/>
    <mergeCell ref="D13:D22"/>
    <mergeCell ref="E13:E22"/>
    <mergeCell ref="H13:H22"/>
    <mergeCell ref="I13:I22"/>
    <mergeCell ref="J13:J22"/>
    <mergeCell ref="K13:K22"/>
    <mergeCell ref="L13:L22"/>
    <mergeCell ref="M13:M22"/>
    <mergeCell ref="N13:N22"/>
    <mergeCell ref="O13:O22"/>
    <mergeCell ref="F22:G22"/>
    <mergeCell ref="A23:A32"/>
    <mergeCell ref="B23:B32"/>
    <mergeCell ref="C23:C32"/>
    <mergeCell ref="D23:D32"/>
    <mergeCell ref="E23:E32"/>
    <mergeCell ref="H23:H32"/>
    <mergeCell ref="I23:I32"/>
    <mergeCell ref="J23:J32"/>
    <mergeCell ref="K23:K32"/>
    <mergeCell ref="L23:L32"/>
    <mergeCell ref="M23:M32"/>
    <mergeCell ref="N23:N32"/>
    <mergeCell ref="O23:O32"/>
    <mergeCell ref="F32:G32"/>
    <mergeCell ref="A33:A42"/>
    <mergeCell ref="B33:B42"/>
    <mergeCell ref="C33:C42"/>
    <mergeCell ref="D33:D42"/>
    <mergeCell ref="E33:E42"/>
    <mergeCell ref="H33:H42"/>
    <mergeCell ref="I33:I42"/>
    <mergeCell ref="J33:J42"/>
    <mergeCell ref="K33:K42"/>
    <mergeCell ref="L33:L42"/>
    <mergeCell ref="M33:M42"/>
    <mergeCell ref="N33:N42"/>
    <mergeCell ref="O33:O42"/>
    <mergeCell ref="F42:G42"/>
    <mergeCell ref="A43:A52"/>
    <mergeCell ref="B43:B52"/>
    <mergeCell ref="C43:C52"/>
    <mergeCell ref="D43:D52"/>
    <mergeCell ref="E43:E52"/>
    <mergeCell ref="H43:H52"/>
    <mergeCell ref="I43:I52"/>
    <mergeCell ref="J43:J52"/>
    <mergeCell ref="K43:K52"/>
    <mergeCell ref="L43:L52"/>
    <mergeCell ref="M43:M52"/>
    <mergeCell ref="N43:N52"/>
    <mergeCell ref="O43:O52"/>
    <mergeCell ref="F52:G52"/>
    <mergeCell ref="A53:A62"/>
    <mergeCell ref="B53:B62"/>
    <mergeCell ref="C53:C62"/>
    <mergeCell ref="D53:D62"/>
    <mergeCell ref="E53:E62"/>
    <mergeCell ref="H53:H62"/>
    <mergeCell ref="I53:I62"/>
    <mergeCell ref="J53:J62"/>
    <mergeCell ref="K53:K62"/>
    <mergeCell ref="L53:L62"/>
    <mergeCell ref="M53:M62"/>
    <mergeCell ref="N53:N62"/>
    <mergeCell ref="O53:O62"/>
    <mergeCell ref="F62:G62"/>
    <mergeCell ref="A63:A72"/>
    <mergeCell ref="B63:B72"/>
    <mergeCell ref="C63:C72"/>
    <mergeCell ref="D63:D72"/>
    <mergeCell ref="E63:E72"/>
    <mergeCell ref="H63:H72"/>
    <mergeCell ref="I63:I72"/>
    <mergeCell ref="J63:J72"/>
    <mergeCell ref="K63:K72"/>
    <mergeCell ref="L63:L72"/>
    <mergeCell ref="M63:M72"/>
    <mergeCell ref="N63:N72"/>
    <mergeCell ref="O63:O72"/>
    <mergeCell ref="F72:G72"/>
    <mergeCell ref="A73:A82"/>
    <mergeCell ref="B73:B82"/>
    <mergeCell ref="C73:C82"/>
    <mergeCell ref="D73:D82"/>
    <mergeCell ref="E73:E82"/>
    <mergeCell ref="H73:H82"/>
    <mergeCell ref="I73:I82"/>
    <mergeCell ref="J73:J82"/>
    <mergeCell ref="K73:K82"/>
    <mergeCell ref="L73:L82"/>
    <mergeCell ref="M73:M82"/>
    <mergeCell ref="N73:N82"/>
    <mergeCell ref="O73:O82"/>
    <mergeCell ref="F82:G82"/>
    <mergeCell ref="A83:A92"/>
    <mergeCell ref="B83:B92"/>
    <mergeCell ref="C83:C92"/>
    <mergeCell ref="D83:D92"/>
    <mergeCell ref="E83:E92"/>
    <mergeCell ref="H83:H92"/>
    <mergeCell ref="I83:I92"/>
    <mergeCell ref="J83:J92"/>
    <mergeCell ref="K83:K92"/>
    <mergeCell ref="L83:L92"/>
    <mergeCell ref="M83:M92"/>
    <mergeCell ref="N83:N92"/>
    <mergeCell ref="O83:O92"/>
    <mergeCell ref="F92:G92"/>
    <mergeCell ref="A93:A102"/>
    <mergeCell ref="B93:B102"/>
    <mergeCell ref="C93:C102"/>
    <mergeCell ref="D93:D102"/>
    <mergeCell ref="E93:E102"/>
    <mergeCell ref="H93:H102"/>
    <mergeCell ref="I93:I102"/>
    <mergeCell ref="J93:J102"/>
    <mergeCell ref="K93:K102"/>
    <mergeCell ref="L93:L102"/>
    <mergeCell ref="M93:M102"/>
    <mergeCell ref="N93:N102"/>
    <mergeCell ref="O93:O102"/>
    <mergeCell ref="F102:G102"/>
    <mergeCell ref="A103:A112"/>
    <mergeCell ref="B103:B112"/>
    <mergeCell ref="C103:C112"/>
    <mergeCell ref="D103:D112"/>
    <mergeCell ref="E103:E112"/>
    <mergeCell ref="H103:H112"/>
    <mergeCell ref="I103:I112"/>
    <mergeCell ref="J103:J112"/>
    <mergeCell ref="K103:K112"/>
    <mergeCell ref="L103:L112"/>
    <mergeCell ref="M103:M112"/>
    <mergeCell ref="N103:N112"/>
    <mergeCell ref="O103:O112"/>
    <mergeCell ref="F112:G112"/>
    <mergeCell ref="A113:A122"/>
    <mergeCell ref="B113:B122"/>
    <mergeCell ref="C113:C122"/>
    <mergeCell ref="D113:D122"/>
    <mergeCell ref="E113:E122"/>
    <mergeCell ref="H113:H122"/>
    <mergeCell ref="I113:I122"/>
    <mergeCell ref="J113:J122"/>
    <mergeCell ref="K113:K122"/>
    <mergeCell ref="L113:L122"/>
    <mergeCell ref="M113:M122"/>
    <mergeCell ref="N113:N122"/>
    <mergeCell ref="O113:O122"/>
    <mergeCell ref="F122:G122"/>
    <mergeCell ref="A123:A132"/>
    <mergeCell ref="B123:B132"/>
    <mergeCell ref="C123:C132"/>
    <mergeCell ref="D123:D132"/>
    <mergeCell ref="E123:E132"/>
    <mergeCell ref="H123:H132"/>
    <mergeCell ref="I123:I132"/>
    <mergeCell ref="J123:J132"/>
    <mergeCell ref="K123:K132"/>
    <mergeCell ref="L123:L132"/>
    <mergeCell ref="M123:M132"/>
    <mergeCell ref="N123:N132"/>
    <mergeCell ref="O123:O132"/>
    <mergeCell ref="F132:G132"/>
    <mergeCell ref="A133:A142"/>
    <mergeCell ref="B133:B142"/>
    <mergeCell ref="C133:C142"/>
    <mergeCell ref="D133:D142"/>
    <mergeCell ref="E133:E142"/>
    <mergeCell ref="H133:H142"/>
    <mergeCell ref="I133:I142"/>
    <mergeCell ref="J133:J142"/>
    <mergeCell ref="K133:K142"/>
    <mergeCell ref="L133:L142"/>
    <mergeCell ref="M133:M142"/>
    <mergeCell ref="N133:N142"/>
    <mergeCell ref="O133:O142"/>
    <mergeCell ref="F142:G142"/>
    <mergeCell ref="A143:A152"/>
    <mergeCell ref="B143:B152"/>
    <mergeCell ref="C143:C152"/>
    <mergeCell ref="D143:D152"/>
    <mergeCell ref="E143:E152"/>
    <mergeCell ref="H143:H152"/>
    <mergeCell ref="I143:I152"/>
    <mergeCell ref="J143:J152"/>
    <mergeCell ref="K143:K152"/>
    <mergeCell ref="L143:L152"/>
    <mergeCell ref="M143:M152"/>
    <mergeCell ref="N143:N152"/>
    <mergeCell ref="O143:O152"/>
    <mergeCell ref="F152:G152"/>
    <mergeCell ref="A153:A162"/>
    <mergeCell ref="B153:B162"/>
    <mergeCell ref="C153:C162"/>
    <mergeCell ref="D153:D162"/>
    <mergeCell ref="E153:E162"/>
    <mergeCell ref="H153:H162"/>
    <mergeCell ref="I153:I162"/>
    <mergeCell ref="J153:J162"/>
    <mergeCell ref="K153:K162"/>
    <mergeCell ref="L153:L162"/>
    <mergeCell ref="M153:M162"/>
    <mergeCell ref="N153:N162"/>
    <mergeCell ref="O153:O162"/>
    <mergeCell ref="F162:G162"/>
    <mergeCell ref="A163:A172"/>
    <mergeCell ref="B163:B172"/>
    <mergeCell ref="C163:C172"/>
    <mergeCell ref="D163:D172"/>
    <mergeCell ref="E163:E172"/>
    <mergeCell ref="H163:H172"/>
    <mergeCell ref="I163:I172"/>
    <mergeCell ref="J163:J172"/>
    <mergeCell ref="K163:K172"/>
    <mergeCell ref="L163:L172"/>
    <mergeCell ref="M163:M172"/>
    <mergeCell ref="N163:N172"/>
    <mergeCell ref="O163:O172"/>
    <mergeCell ref="F172:G172"/>
    <mergeCell ref="A173:A182"/>
    <mergeCell ref="B173:B182"/>
    <mergeCell ref="C173:C182"/>
    <mergeCell ref="D173:D182"/>
    <mergeCell ref="E173:E182"/>
    <mergeCell ref="H173:H182"/>
    <mergeCell ref="I173:I182"/>
    <mergeCell ref="J173:J182"/>
    <mergeCell ref="K173:K182"/>
    <mergeCell ref="L173:L182"/>
    <mergeCell ref="M173:M182"/>
    <mergeCell ref="N173:N182"/>
    <mergeCell ref="O173:O182"/>
    <mergeCell ref="F182:G182"/>
    <mergeCell ref="A183:A192"/>
    <mergeCell ref="B183:B192"/>
    <mergeCell ref="C183:C192"/>
    <mergeCell ref="D183:D192"/>
    <mergeCell ref="E183:E192"/>
    <mergeCell ref="H183:H192"/>
    <mergeCell ref="I183:I192"/>
    <mergeCell ref="J183:J192"/>
    <mergeCell ref="K183:K192"/>
    <mergeCell ref="L183:L192"/>
    <mergeCell ref="M183:M192"/>
    <mergeCell ref="N183:N192"/>
    <mergeCell ref="O183:O192"/>
    <mergeCell ref="F192:G192"/>
  </mergeCells>
  <conditionalFormatting sqref="H3">
    <cfRule aboveAverage="0" bottom="0" dxfId="0" equalAverage="0" operator="between" percent="0" priority="2" rank="0" text="" type="cellIs">
      <formula>0</formula>
      <formula>3.9</formula>
    </cfRule>
    <cfRule aboveAverage="0" bottom="0" dxfId="1" equalAverage="0" operator="between" percent="0" priority="21" rank="0" text="" type="cellIs">
      <formula>4</formula>
      <formula>6.9</formula>
    </cfRule>
    <cfRule aboveAverage="0" bottom="0" dxfId="1" equalAverage="0" operator="between" percent="0" priority="40" rank="0" text="" type="cellIs">
      <formula>7</formula>
      <formula>10</formula>
    </cfRule>
  </conditionalFormatting>
  <conditionalFormatting sqref="H13">
    <cfRule aboveAverage="0" bottom="0" dxfId="0" equalAverage="0" operator="between" percent="0" priority="3" rank="0" text="" type="cellIs">
      <formula>0</formula>
      <formula>3.9</formula>
    </cfRule>
    <cfRule aboveAverage="0" bottom="0" dxfId="1" equalAverage="0" operator="between" percent="0" priority="22" rank="0" text="" type="cellIs">
      <formula>4</formula>
      <formula>6.9</formula>
    </cfRule>
    <cfRule aboveAverage="0" bottom="0" dxfId="1" equalAverage="0" operator="between" percent="0" priority="41" rank="0" text="" type="cellIs">
      <formula>7</formula>
      <formula>10</formula>
    </cfRule>
  </conditionalFormatting>
  <conditionalFormatting sqref="H23">
    <cfRule aboveAverage="0" bottom="0" dxfId="0" equalAverage="0" operator="between" percent="0" priority="4" rank="0" text="" type="cellIs">
      <formula>0</formula>
      <formula>3.9</formula>
    </cfRule>
    <cfRule aboveAverage="0" bottom="0" dxfId="1" equalAverage="0" operator="between" percent="0" priority="23" rank="0" text="" type="cellIs">
      <formula>4</formula>
      <formula>6.9</formula>
    </cfRule>
    <cfRule aboveAverage="0" bottom="0" dxfId="1" equalAverage="0" operator="between" percent="0" priority="42" rank="0" text="" type="cellIs">
      <formula>7</formula>
      <formula>10</formula>
    </cfRule>
  </conditionalFormatting>
  <conditionalFormatting sqref="H33">
    <cfRule aboveAverage="0" bottom="0" dxfId="0" equalAverage="0" operator="between" percent="0" priority="5" rank="0" text="" type="cellIs">
      <formula>0</formula>
      <formula>3.9</formula>
    </cfRule>
    <cfRule aboveAverage="0" bottom="0" dxfId="1" equalAverage="0" operator="between" percent="0" priority="24" rank="0" text="" type="cellIs">
      <formula>4</formula>
      <formula>6.9</formula>
    </cfRule>
    <cfRule aboveAverage="0" bottom="0" dxfId="1" equalAverage="0" operator="between" percent="0" priority="43" rank="0" text="" type="cellIs">
      <formula>7</formula>
      <formula>10</formula>
    </cfRule>
  </conditionalFormatting>
  <conditionalFormatting sqref="H43">
    <cfRule aboveAverage="0" bottom="0" dxfId="0" equalAverage="0" operator="between" percent="0" priority="6" rank="0" text="" type="cellIs">
      <formula>0</formula>
      <formula>3.9</formula>
    </cfRule>
    <cfRule aboveAverage="0" bottom="0" dxfId="1" equalAverage="0" operator="between" percent="0" priority="25" rank="0" text="" type="cellIs">
      <formula>4</formula>
      <formula>6.9</formula>
    </cfRule>
    <cfRule aboveAverage="0" bottom="0" dxfId="1" equalAverage="0" operator="between" percent="0" priority="44" rank="0" text="" type="cellIs">
      <formula>7</formula>
      <formula>10</formula>
    </cfRule>
  </conditionalFormatting>
  <conditionalFormatting sqref="H53">
    <cfRule aboveAverage="0" bottom="0" dxfId="0" equalAverage="0" operator="between" percent="0" priority="7" rank="0" text="" type="cellIs">
      <formula>0</formula>
      <formula>3.9</formula>
    </cfRule>
    <cfRule aboveAverage="0" bottom="0" dxfId="1" equalAverage="0" operator="between" percent="0" priority="26" rank="0" text="" type="cellIs">
      <formula>4</formula>
      <formula>6.9</formula>
    </cfRule>
    <cfRule aboveAverage="0" bottom="0" dxfId="1" equalAverage="0" operator="between" percent="0" priority="45" rank="0" text="" type="cellIs">
      <formula>7</formula>
      <formula>10</formula>
    </cfRule>
  </conditionalFormatting>
  <conditionalFormatting sqref="H63">
    <cfRule aboveAverage="0" bottom="0" dxfId="0" equalAverage="0" operator="between" percent="0" priority="8" rank="0" text="" type="cellIs">
      <formula>0</formula>
      <formula>3.9</formula>
    </cfRule>
    <cfRule aboveAverage="0" bottom="0" dxfId="1" equalAverage="0" operator="between" percent="0" priority="27" rank="0" text="" type="cellIs">
      <formula>4</formula>
      <formula>6.9</formula>
    </cfRule>
    <cfRule aboveAverage="0" bottom="0" dxfId="1" equalAverage="0" operator="between" percent="0" priority="46" rank="0" text="" type="cellIs">
      <formula>7</formula>
      <formula>10</formula>
    </cfRule>
  </conditionalFormatting>
  <conditionalFormatting sqref="H73">
    <cfRule aboveAverage="0" bottom="0" dxfId="0" equalAverage="0" operator="between" percent="0" priority="9" rank="0" text="" type="cellIs">
      <formula>0</formula>
      <formula>3.9</formula>
    </cfRule>
    <cfRule aboveAverage="0" bottom="0" dxfId="1" equalAverage="0" operator="between" percent="0" priority="28" rank="0" text="" type="cellIs">
      <formula>4</formula>
      <formula>6.9</formula>
    </cfRule>
    <cfRule aboveAverage="0" bottom="0" dxfId="1" equalAverage="0" operator="between" percent="0" priority="47" rank="0" text="" type="cellIs">
      <formula>7</formula>
      <formula>10</formula>
    </cfRule>
  </conditionalFormatting>
  <conditionalFormatting sqref="H83">
    <cfRule aboveAverage="0" bottom="0" dxfId="0" equalAverage="0" operator="between" percent="0" priority="10" rank="0" text="" type="cellIs">
      <formula>0</formula>
      <formula>3.9</formula>
    </cfRule>
    <cfRule aboveAverage="0" bottom="0" dxfId="1" equalAverage="0" operator="between" percent="0" priority="29" rank="0" text="" type="cellIs">
      <formula>4</formula>
      <formula>6.9</formula>
    </cfRule>
    <cfRule aboveAverage="0" bottom="0" dxfId="1" equalAverage="0" operator="between" percent="0" priority="48" rank="0" text="" type="cellIs">
      <formula>7</formula>
      <formula>10</formula>
    </cfRule>
  </conditionalFormatting>
  <conditionalFormatting sqref="H93">
    <cfRule aboveAverage="0" bottom="0" dxfId="0" equalAverage="0" operator="between" percent="0" priority="11" rank="0" text="" type="cellIs">
      <formula>0</formula>
      <formula>3.9</formula>
    </cfRule>
    <cfRule aboveAverage="0" bottom="0" dxfId="1" equalAverage="0" operator="between" percent="0" priority="30" rank="0" text="" type="cellIs">
      <formula>4</formula>
      <formula>6.9</formula>
    </cfRule>
    <cfRule aboveAverage="0" bottom="0" dxfId="1" equalAverage="0" operator="between" percent="0" priority="49" rank="0" text="" type="cellIs">
      <formula>7</formula>
      <formula>10</formula>
    </cfRule>
  </conditionalFormatting>
  <conditionalFormatting sqref="H103">
    <cfRule aboveAverage="0" bottom="0" dxfId="0" equalAverage="0" operator="between" percent="0" priority="12" rank="0" text="" type="cellIs">
      <formula>0</formula>
      <formula>3.9</formula>
    </cfRule>
    <cfRule aboveAverage="0" bottom="0" dxfId="1" equalAverage="0" operator="between" percent="0" priority="31" rank="0" text="" type="cellIs">
      <formula>4</formula>
      <formula>6.9</formula>
    </cfRule>
    <cfRule aboveAverage="0" bottom="0" dxfId="1" equalAverage="0" operator="between" percent="0" priority="50" rank="0" text="" type="cellIs">
      <formula>7</formula>
      <formula>10</formula>
    </cfRule>
  </conditionalFormatting>
  <conditionalFormatting sqref="H113">
    <cfRule aboveAverage="0" bottom="0" dxfId="0" equalAverage="0" operator="between" percent="0" priority="13" rank="0" text="" type="cellIs">
      <formula>0</formula>
      <formula>3.9</formula>
    </cfRule>
    <cfRule aboveAverage="0" bottom="0" dxfId="1" equalAverage="0" operator="between" percent="0" priority="32" rank="0" text="" type="cellIs">
      <formula>4</formula>
      <formula>6.9</formula>
    </cfRule>
    <cfRule aboveAverage="0" bottom="0" dxfId="1" equalAverage="0" operator="between" percent="0" priority="51" rank="0" text="" type="cellIs">
      <formula>7</formula>
      <formula>10</formula>
    </cfRule>
  </conditionalFormatting>
  <conditionalFormatting sqref="H123">
    <cfRule aboveAverage="0" bottom="0" dxfId="0" equalAverage="0" operator="between" percent="0" priority="14" rank="0" text="" type="cellIs">
      <formula>0</formula>
      <formula>3.9</formula>
    </cfRule>
    <cfRule aboveAverage="0" bottom="0" dxfId="1" equalAverage="0" operator="between" percent="0" priority="33" rank="0" text="" type="cellIs">
      <formula>4</formula>
      <formula>6.9</formula>
    </cfRule>
    <cfRule aboveAverage="0" bottom="0" dxfId="1" equalAverage="0" operator="between" percent="0" priority="52" rank="0" text="" type="cellIs">
      <formula>7</formula>
      <formula>10</formula>
    </cfRule>
  </conditionalFormatting>
  <conditionalFormatting sqref="H133">
    <cfRule aboveAverage="0" bottom="0" dxfId="0" equalAverage="0" operator="between" percent="0" priority="15" rank="0" text="" type="cellIs">
      <formula>0</formula>
      <formula>3.9</formula>
    </cfRule>
    <cfRule aboveAverage="0" bottom="0" dxfId="1" equalAverage="0" operator="between" percent="0" priority="34" rank="0" text="" type="cellIs">
      <formula>4</formula>
      <formula>6.9</formula>
    </cfRule>
    <cfRule aboveAverage="0" bottom="0" dxfId="1" equalAverage="0" operator="between" percent="0" priority="53" rank="0" text="" type="cellIs">
      <formula>7</formula>
      <formula>10</formula>
    </cfRule>
  </conditionalFormatting>
  <conditionalFormatting sqref="H143">
    <cfRule aboveAverage="0" bottom="0" dxfId="0" equalAverage="0" operator="between" percent="0" priority="16" rank="0" text="" type="cellIs">
      <formula>0</formula>
      <formula>3.9</formula>
    </cfRule>
    <cfRule aboveAverage="0" bottom="0" dxfId="1" equalAverage="0" operator="between" percent="0" priority="35" rank="0" text="" type="cellIs">
      <formula>4</formula>
      <formula>6.9</formula>
    </cfRule>
    <cfRule aboveAverage="0" bottom="0" dxfId="1" equalAverage="0" operator="between" percent="0" priority="54" rank="0" text="" type="cellIs">
      <formula>7</formula>
      <formula>10</formula>
    </cfRule>
  </conditionalFormatting>
  <conditionalFormatting sqref="H153">
    <cfRule aboveAverage="0" bottom="0" dxfId="0" equalAverage="0" operator="between" percent="0" priority="17" rank="0" text="" type="cellIs">
      <formula>0</formula>
      <formula>3.9</formula>
    </cfRule>
    <cfRule aboveAverage="0" bottom="0" dxfId="1" equalAverage="0" operator="between" percent="0" priority="36" rank="0" text="" type="cellIs">
      <formula>4</formula>
      <formula>6.9</formula>
    </cfRule>
    <cfRule aboveAverage="0" bottom="0" dxfId="1" equalAverage="0" operator="between" percent="0" priority="55" rank="0" text="" type="cellIs">
      <formula>7</formula>
      <formula>10</formula>
    </cfRule>
  </conditionalFormatting>
  <conditionalFormatting sqref="H163">
    <cfRule aboveAverage="0" bottom="0" dxfId="0" equalAverage="0" operator="between" percent="0" priority="18" rank="0" text="" type="cellIs">
      <formula>0</formula>
      <formula>3.9</formula>
    </cfRule>
    <cfRule aboveAverage="0" bottom="0" dxfId="1" equalAverage="0" operator="between" percent="0" priority="37" rank="0" text="" type="cellIs">
      <formula>4</formula>
      <formula>6.9</formula>
    </cfRule>
    <cfRule aboveAverage="0" bottom="0" dxfId="1" equalAverage="0" operator="between" percent="0" priority="56" rank="0" text="" type="cellIs">
      <formula>7</formula>
      <formula>10</formula>
    </cfRule>
  </conditionalFormatting>
  <conditionalFormatting sqref="H173">
    <cfRule aboveAverage="0" bottom="0" dxfId="0" equalAverage="0" operator="between" percent="0" priority="19" rank="0" text="" type="cellIs">
      <formula>0</formula>
      <formula>3.9</formula>
    </cfRule>
    <cfRule aboveAverage="0" bottom="0" dxfId="1" equalAverage="0" operator="between" percent="0" priority="38" rank="0" text="" type="cellIs">
      <formula>4</formula>
      <formula>6.9</formula>
    </cfRule>
    <cfRule aboveAverage="0" bottom="0" dxfId="1" equalAverage="0" operator="between" percent="0" priority="57" rank="0" text="" type="cellIs">
      <formula>7</formula>
      <formula>10</formula>
    </cfRule>
  </conditionalFormatting>
  <conditionalFormatting sqref="H183">
    <cfRule aboveAverage="0" bottom="0" dxfId="0" equalAverage="0" operator="between" percent="0" priority="20" rank="0" text="" type="cellIs">
      <formula>0</formula>
      <formula>3.9</formula>
    </cfRule>
    <cfRule aboveAverage="0" bottom="0" dxfId="1" equalAverage="0" operator="between" percent="0" priority="39" rank="0" text="" type="cellIs">
      <formula>4</formula>
      <formula>6.9</formula>
    </cfRule>
    <cfRule aboveAverage="0" bottom="0" dxfId="1" equalAverage="0" operator="between" percent="0" priority="58" rank="0" text="" type="cellIs">
      <formula>7</formula>
      <formula>10</formula>
    </cfRule>
  </conditionalFormatting>
  <dataValidations count="9">
    <dataValidation allowBlank="0" operator="between" showDropDown="0" showErrorMessage="1" showInputMessage="0" sqref="G11 G21 G31 G41 G51 G61 G71 G81 G91 G101 G111 G121 G131 G141 G151 G161 G171 G181 G191" type="list">
      <formula1>CVSSv2!C$12:F$12</formula1>
      <formula2>0</formula2>
    </dataValidation>
    <dataValidation allowBlank="0" operator="between" showDropDown="0" showErrorMessage="1" showInputMessage="0" sqref="G3 G13 G23 G33 G43 G53 G63 G73 G83 G93 G103 G113 G123 G133 G143 G153 G163 G173 G183" type="list">
      <formula1>CVSSv2!C$4:F$4</formula1>
      <formula2>0</formula2>
    </dataValidation>
    <dataValidation allowBlank="0" operator="between" showDropDown="0" showErrorMessage="1" showInputMessage="0" sqref="G10 G20 G30 G40 G50 G60 G70 G80 G90 G100 G110 G120 G130 G140 G150 G160 G170 G180 G190" type="list">
      <formula1>CVSSv2!C$11:F$11</formula1>
      <formula2>0</formula2>
    </dataValidation>
    <dataValidation allowBlank="0" operator="between" showDropDown="0" showErrorMessage="1" showInputMessage="0" sqref="G7 G17 G27 G37 G47 G57 G67 G77 G87 G97 G107 G117 G127 G137 G147 G157 G167 G177 G187" type="list">
      <formula1>CVSSv2!C$8:F$8</formula1>
      <formula2>0</formula2>
    </dataValidation>
    <dataValidation allowBlank="0" operator="between" showDropDown="0" showErrorMessage="1" showInputMessage="0" sqref="G4 G14 G24 G34 G44 G54 G64 G74 G84 G94 G104 G114 G124 G134 G144 G154 G164 G174 G184" type="list">
      <formula1>CVSSv2!C$5:F$5</formula1>
      <formula2>0</formula2>
    </dataValidation>
    <dataValidation allowBlank="0" operator="between" showDropDown="0" showErrorMessage="1" showInputMessage="0" sqref="G9 G19 G29 G39 G49 G59 G69 G79 G89 G99 G109 G119 G129 G139 G149 G159 G169 G179 G189" type="list">
      <formula1>CVSSv2!C$10:F$10</formula1>
      <formula2>0</formula2>
    </dataValidation>
    <dataValidation allowBlank="0" operator="between" showDropDown="0" showErrorMessage="1" showInputMessage="0" sqref="G5 G15 G25 G35 G45 G55 G65 G75 G85 G95 G105 G115 G125 G135 G145 G155 G165 G175 G185" type="list">
      <formula1>CVSSv2!C$6:F$6</formula1>
      <formula2>0</formula2>
    </dataValidation>
    <dataValidation allowBlank="0" operator="between" showDropDown="0" showErrorMessage="1" showInputMessage="0" sqref="G8 G18 G28 G38 G48 G58 G68 G78 G88 G98 G108 G118 G128 G138 G148 G158 G168 G178 G188" type="list">
      <formula1>CVSSv2!C$9:F$9</formula1>
      <formula2>0</formula2>
    </dataValidation>
    <dataValidation allowBlank="0" operator="between" showDropDown="0" showErrorMessage="1" showInputMessage="0" sqref="G6 G16 G26 G36 G46 G56 G66 G76 G86 G96 G106 G116 G126 G136 G146 G156 G166 G176 G186" type="list">
      <formula1>CVSSv2!C$7:F$7</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8.xml><?xml version="1.0" encoding="utf-8"?>
<worksheet xmlns="http://schemas.openxmlformats.org/spreadsheetml/2006/main">
  <sheetPr filterMode="0">
    <tabColor rgb="FFFFFF00"/>
    <outlinePr summaryBelow="1" summaryRight="1"/>
    <pageSetUpPr fitToPage="0"/>
  </sheetPr>
  <dimension ref="A1:L22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3.6326530612245"/>
    <col customWidth="1" max="2" min="2" width="81.53571428571431"/>
    <col customWidth="1" max="6" min="3" width="13.6326530612245"/>
    <col customWidth="1" max="7" min="7" width="13.0918367346939"/>
    <col customWidth="1" max="9" min="8" width="10.8010204081633"/>
    <col customWidth="1" max="10" min="10" width="11.0714285714286"/>
    <col customWidth="1" max="11" min="11" width="47.7857142857143"/>
    <col customWidth="1" hidden="1" max="12" min="12"/>
    <col customWidth="1" max="1025" min="13" width="13.6326530612245"/>
  </cols>
  <sheetData>
    <row customHeight="1" s="134" r="1" ht="15.75" spans="1:12">
      <c s="17" r="A1" t="s">
        <v>824</v>
      </c>
      <c s="56" r="L1" t="n"/>
    </row>
    <row customHeight="1" s="134" r="2" ht="15.75" spans="1:12">
      <c s="48" r="A2" t="s">
        <v>42</v>
      </c>
      <c s="48" r="B2" t="s">
        <v>58</v>
      </c>
      <c s="57" r="C2" t="s">
        <v>59</v>
      </c>
      <c s="57" r="D2" t="s">
        <v>825</v>
      </c>
      <c s="57" r="E2" t="s">
        <v>61</v>
      </c>
      <c s="57" r="F2" t="s">
        <v>62</v>
      </c>
      <c s="57" r="G2" t="s">
        <v>27</v>
      </c>
      <c s="57" r="H2" t="s">
        <v>63</v>
      </c>
      <c s="57" r="I2" t="s">
        <v>46</v>
      </c>
      <c s="57" r="J2" t="s">
        <v>826</v>
      </c>
      <c s="57" r="K2" t="s">
        <v>48</v>
      </c>
      <c s="18" r="L2" t="n"/>
    </row>
    <row customHeight="1" s="134" r="3" ht="15.75" spans="1:12">
      <c s="58" r="A3" t="s">
        <v>64</v>
      </c>
      <c s="58" r="B3" t="s">
        <v>827</v>
      </c>
      <c s="58" r="C3" t="s">
        <v>87</v>
      </c>
      <c s="59" r="D3" t="s">
        <v>139</v>
      </c>
      <c s="59" r="E3" t="s">
        <v>127</v>
      </c>
      <c s="59" r="F3" t="s">
        <v>101</v>
      </c>
      <c s="19" r="G3" t="s">
        <v>29</v>
      </c>
      <c s="19" r="H3" t="s">
        <v>29</v>
      </c>
      <c s="19" r="I3" t="s">
        <v>29</v>
      </c>
      <c s="19" r="J3">
        <f>IF(G3="Sí", IF(H3="Sí", "DP", "SP"), IF(H3="Sí", "SD", "-"))</f>
        <v/>
      </c>
      <c s="18" r="K3">
        <f>IF(IFERROR(L3,7)=7,"",RIGHT(L3,LEN(L3)-2)&amp;".")</f>
        <v/>
      </c>
      <c s="18" r="L3">
        <f>IFERROR(__xludf.dummyfunction("CONCATENATE(ArrayFormula(""; ""&amp;QUERY(Hallazgos!A:E,""SELECT B WHERE E CONTAINS '""&amp;A3&amp;""' LABEL B ''"")))"),"#VALUE!")</f>
        <v/>
      </c>
    </row>
    <row customHeight="1" s="134" r="4" ht="15.75" spans="1:12">
      <c s="58" r="A4" t="s">
        <v>70</v>
      </c>
      <c s="58" r="B4" t="s">
        <v>65</v>
      </c>
      <c s="58" r="C4" t="s">
        <v>66</v>
      </c>
      <c s="59" r="D4" t="s">
        <v>67</v>
      </c>
      <c s="59" r="E4" t="s">
        <v>68</v>
      </c>
      <c s="59" r="F4" t="s">
        <v>69</v>
      </c>
      <c s="19" r="G4" t="s">
        <v>29</v>
      </c>
      <c s="19" r="H4" t="s">
        <v>29</v>
      </c>
      <c s="19" r="I4" t="s">
        <v>29</v>
      </c>
      <c s="19" r="J4">
        <f>IF(G4="Sí", IF(H4="Sí", "DP", "SP"), IF(H4="Sí", "SD", "-"))</f>
        <v/>
      </c>
      <c s="18" r="K4">
        <f>IF(IFERROR(L4,7)=7,"",RIGHT(L4,LEN(L4)-2)&amp;".")</f>
        <v/>
      </c>
      <c s="18" r="L4">
        <f>IFERROR(__xludf.dummyfunction("CONCATENATE(ArrayFormula(""; ""&amp;QUERY(Hallazgos!A:E,""SELECT B WHERE E CONTAINS '""&amp;A3&amp;""' LABEL B ''"")))"),"#VALUE!")</f>
        <v/>
      </c>
    </row>
    <row customHeight="1" s="134" r="5" ht="15.75" spans="1:12">
      <c s="58" r="A5" t="s">
        <v>72</v>
      </c>
      <c s="58" r="B5" t="s">
        <v>828</v>
      </c>
      <c s="58" r="C5" t="s">
        <v>66</v>
      </c>
      <c s="59" r="D5" t="s">
        <v>67</v>
      </c>
      <c s="59" r="E5" t="s">
        <v>68</v>
      </c>
      <c s="59" r="F5" t="s">
        <v>69</v>
      </c>
      <c s="19" r="G5" t="s">
        <v>29</v>
      </c>
      <c s="19" r="H5" t="s">
        <v>29</v>
      </c>
      <c s="19" r="I5" t="s">
        <v>29</v>
      </c>
      <c s="19" r="J5">
        <f>IF(G5="Sí", IF(H5="Sí", "DP", "SP"), IF(H5="Sí", "SD", "-"))</f>
        <v/>
      </c>
      <c s="18" r="K5">
        <f>IF(IFERROR(L5,7)=7,"",RIGHT(L5,LEN(L5)-2)&amp;".")</f>
        <v/>
      </c>
      <c s="18" r="L5">
        <f>IFERROR(__xludf.dummyfunction("CONCATENATE(ArrayFormula(""; ""&amp;QUERY(Hallazgos!A:E,""SELECT B WHERE E CONTAINS '""&amp;A3&amp;""' LABEL B ''"")))"),"#VALUE!")</f>
        <v/>
      </c>
    </row>
    <row customHeight="1" s="134" r="6" ht="15.75" spans="1:12">
      <c s="58" r="A6" t="s">
        <v>74</v>
      </c>
      <c s="58" r="B6" t="s">
        <v>829</v>
      </c>
      <c s="58" r="C6" t="s">
        <v>66</v>
      </c>
      <c s="59" r="D6" t="s">
        <v>67</v>
      </c>
      <c s="59" r="E6" t="s">
        <v>68</v>
      </c>
      <c s="59" r="F6" t="s">
        <v>69</v>
      </c>
      <c s="19" r="G6" t="s">
        <v>29</v>
      </c>
      <c s="19" r="H6" t="s">
        <v>29</v>
      </c>
      <c s="19" r="I6" t="s">
        <v>29</v>
      </c>
      <c s="19" r="J6">
        <f>IF(G6="Sí", IF(H6="Sí", "DP", "SP"), IF(H6="Sí", "SD", "-"))</f>
        <v/>
      </c>
      <c s="18" r="K6">
        <f>IF(IFERROR(L6,7)=7,"",RIGHT(L6,LEN(L6)-2)&amp;".")</f>
        <v/>
      </c>
      <c s="18" r="L6">
        <f>IFERROR(__xludf.dummyfunction("CONCATENATE(ArrayFormula(""; ""&amp;QUERY(Hallazgos!A:E,""SELECT B WHERE E CONTAINS '""&amp;A3&amp;""' LABEL B ''"")))"),"#VALUE!")</f>
        <v/>
      </c>
    </row>
    <row customHeight="1" s="134" r="7" ht="15.75" spans="1:12">
      <c s="60" r="A7" t="s">
        <v>76</v>
      </c>
      <c s="60" r="B7" t="s">
        <v>75</v>
      </c>
      <c s="60" r="C7" t="s">
        <v>66</v>
      </c>
      <c s="59" r="D7" t="s">
        <v>67</v>
      </c>
      <c s="59" r="E7" t="s">
        <v>68</v>
      </c>
      <c s="59" r="F7" t="s">
        <v>69</v>
      </c>
      <c s="19" r="G7" t="s">
        <v>29</v>
      </c>
      <c s="19" r="H7" t="s">
        <v>29</v>
      </c>
      <c s="19" r="I7" t="s">
        <v>29</v>
      </c>
      <c s="19" r="J7">
        <f>IF(G7="Sí", IF(H7="Sí", "DP", "SP"), IF(H7="Sí", "SD", "-"))</f>
        <v/>
      </c>
      <c s="18" r="K7">
        <f>IF(IFERROR(L7,7)=7,"",RIGHT(L7,LEN(L7)-2)&amp;".")</f>
        <v/>
      </c>
      <c s="18" r="L7">
        <f>IFERROR(__xludf.dummyfunction("CONCATENATE(ArrayFormula(""; ""&amp;QUERY(Hallazgos!A:E,""SELECT B WHERE E CONTAINS '""&amp;A3&amp;""' LABEL B ''"")))"),"#VALUE!")</f>
        <v/>
      </c>
    </row>
    <row customHeight="1" s="134" r="8" ht="15.75" spans="1:12">
      <c s="58" r="A8" t="s">
        <v>78</v>
      </c>
      <c s="58" r="B8" t="s">
        <v>830</v>
      </c>
      <c s="58" r="C8" t="s">
        <v>66</v>
      </c>
      <c s="59" r="D8" t="s">
        <v>67</v>
      </c>
      <c s="59" r="E8" t="s">
        <v>68</v>
      </c>
      <c s="59" r="F8" t="s">
        <v>69</v>
      </c>
      <c s="19" r="G8" t="s">
        <v>29</v>
      </c>
      <c s="19" r="H8" t="s">
        <v>29</v>
      </c>
      <c s="19" r="I8" t="s">
        <v>29</v>
      </c>
      <c s="19" r="J8">
        <f>IF(G8="Sí", IF(H8="Sí", "DP", "SP"), IF(H8="Sí", "SD", "-"))</f>
        <v/>
      </c>
      <c s="18" r="K8">
        <f>IF(IFERROR(L8,7)=7,"",RIGHT(L8,LEN(L8)-2)&amp;".")</f>
        <v/>
      </c>
      <c s="18" r="L8">
        <f>IFERROR(__xludf.dummyfunction("CONCATENATE(ArrayFormula(""; ""&amp;QUERY(Hallazgos!A:E,""SELECT B WHERE E CONTAINS '""&amp;A3&amp;""' LABEL B ''"")))"),"#VALUE!")</f>
        <v/>
      </c>
    </row>
    <row customHeight="1" s="134" r="9" ht="15.75" spans="1:12">
      <c s="58" r="A9" t="s">
        <v>80</v>
      </c>
      <c s="58" r="B9" t="s">
        <v>79</v>
      </c>
      <c s="58" r="C9" t="s">
        <v>66</v>
      </c>
      <c s="59" r="D9" t="s">
        <v>67</v>
      </c>
      <c s="59" r="E9" t="s">
        <v>68</v>
      </c>
      <c s="59" r="F9" t="s">
        <v>69</v>
      </c>
      <c s="19" r="G9" t="s">
        <v>29</v>
      </c>
      <c s="19" r="H9" t="s">
        <v>29</v>
      </c>
      <c s="19" r="I9" t="s">
        <v>29</v>
      </c>
      <c s="19" r="J9">
        <f>IF(G9="Sí", IF(H9="Sí", "DP", "SP"), IF(H9="Sí", "SD", "-"))</f>
        <v/>
      </c>
      <c s="18" r="K9">
        <f>IF(IFERROR(L9,7)=7,"",RIGHT(L9,LEN(L9)-2)&amp;".")</f>
        <v/>
      </c>
      <c s="18" r="L9">
        <f>IFERROR(__xludf.dummyfunction("CONCATENATE(ArrayFormula(""; ""&amp;QUERY(Hallazgos!A:E,""SELECT B WHERE E CONTAINS '""&amp;A3&amp;""' LABEL B ''"")))"),"#VALUE!")</f>
        <v/>
      </c>
    </row>
    <row customHeight="1" s="134" r="10" ht="15.75" spans="1:12">
      <c s="58" r="A10" t="s">
        <v>82</v>
      </c>
      <c s="58" r="B10" t="s">
        <v>81</v>
      </c>
      <c s="58" r="C10" t="s">
        <v>66</v>
      </c>
      <c s="59" r="D10" t="s">
        <v>67</v>
      </c>
      <c s="59" r="E10" t="s">
        <v>68</v>
      </c>
      <c s="59" r="F10" t="s">
        <v>69</v>
      </c>
      <c s="19" r="G10" t="s">
        <v>29</v>
      </c>
      <c s="19" r="H10" t="s">
        <v>29</v>
      </c>
      <c s="19" r="I10" t="s">
        <v>29</v>
      </c>
      <c s="19" r="J10">
        <f>IF(G10="Sí", IF(H10="Sí", "DP", "SP"), IF(H10="Sí", "SD", "-"))</f>
        <v/>
      </c>
      <c s="18" r="K10">
        <f>IF(IFERROR(L10,7)=7,"",RIGHT(L10,LEN(L10)-2)&amp;".")</f>
        <v/>
      </c>
      <c s="18" r="L10">
        <f>IFERROR(__xludf.dummyfunction("CONCATENATE(ArrayFormula(""; ""&amp;QUERY(Hallazgos!A:E,""SELECT B WHERE E CONTAINS '""&amp;A3&amp;""' LABEL B ''"")))"),"#VALUE!")</f>
        <v/>
      </c>
    </row>
    <row customHeight="1" s="134" r="11" ht="15.75" spans="1:12">
      <c s="58" r="A11" t="s">
        <v>85</v>
      </c>
      <c s="58" r="B11" t="s">
        <v>83</v>
      </c>
      <c s="58" r="C11" t="s">
        <v>84</v>
      </c>
      <c s="59" r="D11" t="s">
        <v>67</v>
      </c>
      <c s="59" r="E11" t="s">
        <v>68</v>
      </c>
      <c s="59" r="F11" t="s">
        <v>69</v>
      </c>
      <c s="19" r="G11" t="s">
        <v>29</v>
      </c>
      <c s="19" r="H11" t="s">
        <v>29</v>
      </c>
      <c s="19" r="I11" t="s">
        <v>29</v>
      </c>
      <c s="19" r="J11">
        <f>IF(G11="Sí", IF(H11="Sí", "DP", "SP"), IF(H11="Sí", "SD", "-"))</f>
        <v/>
      </c>
      <c s="18" r="K11">
        <f>IF(IFERROR(L11,7)=7,"",RIGHT(L11,LEN(L11)-2)&amp;".")</f>
        <v/>
      </c>
      <c s="18" r="L11">
        <f>IFERROR(__xludf.dummyfunction("CONCATENATE(ArrayFormula(""; ""&amp;QUERY(Hallazgos!A:E,""SELECT B WHERE E CONTAINS '""&amp;A3&amp;""' LABEL B ''"")))"),"#VALUE!")</f>
        <v/>
      </c>
    </row>
    <row customHeight="1" s="134" r="12" ht="15.75" spans="1:12">
      <c s="60" r="A12" t="s">
        <v>88</v>
      </c>
      <c s="60" r="B12" t="s">
        <v>831</v>
      </c>
      <c s="60" r="C12" t="s">
        <v>84</v>
      </c>
      <c s="59" r="D12" t="s">
        <v>832</v>
      </c>
      <c s="59" r="E12" t="s">
        <v>68</v>
      </c>
      <c s="59" r="F12" t="s">
        <v>69</v>
      </c>
      <c s="19" r="G12" t="s">
        <v>29</v>
      </c>
      <c s="19" r="H12" t="s">
        <v>29</v>
      </c>
      <c s="19" r="I12" t="s">
        <v>29</v>
      </c>
      <c s="19" r="J12">
        <f>IF(G12="Sí", IF(H12="Sí", "DP", "SP"), IF(H12="Sí", "SD", "-"))</f>
        <v/>
      </c>
      <c s="18" r="K12">
        <f>IF(IFERROR(L12,7)=7,"",RIGHT(L12,LEN(L12)-2)&amp;".")</f>
        <v/>
      </c>
      <c s="18" r="L12">
        <f>IFERROR(__xludf.dummyfunction("CONCATENATE(ArrayFormula(""; ""&amp;QUERY(Hallazgos!A:E,""SELECT B WHERE E CONTAINS '""&amp;A3&amp;""' LABEL B ''"")))"),"#VALUE!")</f>
        <v/>
      </c>
    </row>
    <row customHeight="1" s="134" r="13" ht="15.75" spans="1:12">
      <c s="58" r="A13" t="s">
        <v>91</v>
      </c>
      <c s="58" r="B13" t="s">
        <v>86</v>
      </c>
      <c s="58" r="C13" t="s">
        <v>87</v>
      </c>
      <c s="59" r="D13" t="s">
        <v>67</v>
      </c>
      <c s="59" r="E13" t="s">
        <v>68</v>
      </c>
      <c s="59" r="F13" t="s">
        <v>69</v>
      </c>
      <c s="19" r="G13" t="s">
        <v>29</v>
      </c>
      <c s="19" r="H13" t="s">
        <v>29</v>
      </c>
      <c s="19" r="I13" t="s">
        <v>29</v>
      </c>
      <c s="19" r="J13">
        <f>IF(G13="Sí", IF(H13="Sí", "DP", "SP"), IF(H13="Sí", "SD", "-"))</f>
        <v/>
      </c>
      <c s="18" r="K13">
        <f>IF(IFERROR(L13,7)=7,"",RIGHT(L13,LEN(L13)-2)&amp;".")</f>
        <v/>
      </c>
      <c s="18" r="L13">
        <f>IFERROR(__xludf.dummyfunction("CONCATENATE(ArrayFormula(""; ""&amp;QUERY(Hallazgos!A:E,""SELECT B WHERE E CONTAINS '""&amp;A3&amp;""' LABEL B ''"")))"),"#VALUE!")</f>
        <v/>
      </c>
    </row>
    <row customHeight="1" s="134" r="14" ht="15.75" spans="1:12">
      <c s="58" r="A14" t="s">
        <v>93</v>
      </c>
      <c s="58" r="B14" t="s">
        <v>833</v>
      </c>
      <c s="58" r="C14" t="s">
        <v>87</v>
      </c>
      <c s="59" r="D14" t="s">
        <v>147</v>
      </c>
      <c s="59" r="E14" t="s">
        <v>127</v>
      </c>
      <c s="59" r="F14" t="s">
        <v>148</v>
      </c>
      <c s="19" r="G14" t="s">
        <v>29</v>
      </c>
      <c s="19" r="H14" t="s">
        <v>29</v>
      </c>
      <c s="19" r="I14" t="s">
        <v>29</v>
      </c>
      <c s="19" r="J14">
        <f>IF(G14="Sí", IF(H14="Sí", "DP", "SP"), IF(H14="Sí", "SD", "-"))</f>
        <v/>
      </c>
      <c s="18" r="K14">
        <f>IF(IFERROR(L14,7)=7,"",RIGHT(L14,LEN(L14)-2)&amp;".")</f>
        <v/>
      </c>
      <c s="18" r="L14">
        <f>IFERROR(__xludf.dummyfunction("CONCATENATE(ArrayFormula(""; ""&amp;QUERY(Hallazgos!A:E,""SELECT B WHERE E CONTAINS '""&amp;A3&amp;""' LABEL B ''"")))"),"#VALUE!")</f>
        <v/>
      </c>
    </row>
    <row customHeight="1" s="134" r="15" ht="15.75" spans="1:12">
      <c s="58" r="A15" t="s">
        <v>96</v>
      </c>
      <c s="58" r="B15" t="s">
        <v>834</v>
      </c>
      <c s="58" r="C15" t="s">
        <v>87</v>
      </c>
      <c s="59" r="D15" t="s">
        <v>147</v>
      </c>
      <c s="59" r="E15" t="s">
        <v>127</v>
      </c>
      <c s="59" r="F15" t="s">
        <v>119</v>
      </c>
      <c s="19" r="G15" t="s">
        <v>29</v>
      </c>
      <c s="19" r="H15" t="s">
        <v>29</v>
      </c>
      <c s="19" r="I15" t="s">
        <v>29</v>
      </c>
      <c s="19" r="J15">
        <f>IF(G15="Sí", IF(H15="Sí", "DP", "SP"), IF(H15="Sí", "SD", "-"))</f>
        <v/>
      </c>
      <c s="18" r="K15">
        <f>IF(IFERROR(L15,7)=7,"",RIGHT(L15,LEN(L15)-2)&amp;".")</f>
        <v/>
      </c>
      <c s="18" r="L15">
        <f>IFERROR(__xludf.dummyfunction("CONCATENATE(ArrayFormula(""; ""&amp;QUERY(Hallazgos!A:E,""SELECT B WHERE E CONTAINS '""&amp;A3&amp;""' LABEL B ''"")))"),"#VALUE!")</f>
        <v/>
      </c>
    </row>
    <row customHeight="1" s="134" r="16" ht="15.75" spans="1:12">
      <c s="58" r="A16" t="s">
        <v>98</v>
      </c>
      <c s="58" r="B16" t="s">
        <v>152</v>
      </c>
      <c s="61" r="C16" t="s">
        <v>87</v>
      </c>
      <c s="59" r="D16" t="s">
        <v>147</v>
      </c>
      <c s="59" r="E16" t="s">
        <v>122</v>
      </c>
      <c s="59" r="F16" t="s">
        <v>101</v>
      </c>
      <c s="19" r="G16" t="s">
        <v>29</v>
      </c>
      <c s="19" r="H16" t="s">
        <v>29</v>
      </c>
      <c s="19" r="I16" t="s">
        <v>29</v>
      </c>
      <c s="19" r="J16">
        <f>IF(G16="Sí", IF(H16="Sí", "DP", "SP"), IF(H16="Sí", "SD", "-"))</f>
        <v/>
      </c>
      <c s="18" r="K16">
        <f>IF(IFERROR(L16,7)=7,"",RIGHT(L16,LEN(L16)-2)&amp;".")</f>
        <v/>
      </c>
      <c s="18" r="L16">
        <f>IFERROR(__xludf.dummyfunction("CONCATENATE(ArrayFormula(""; ""&amp;QUERY(Hallazgos!A:E,""SELECT B WHERE E CONTAINS '""&amp;A3&amp;""' LABEL B ''"")))"),"#VALUE!")</f>
        <v/>
      </c>
    </row>
    <row customHeight="1" s="134" r="17" ht="15.75" spans="1:12">
      <c s="58" r="A17" t="s">
        <v>102</v>
      </c>
      <c s="58" r="B17" t="s">
        <v>835</v>
      </c>
      <c s="61" r="C17" t="s">
        <v>87</v>
      </c>
      <c s="59" r="D17" t="s">
        <v>550</v>
      </c>
      <c s="59" r="E17" t="s">
        <v>127</v>
      </c>
      <c s="59" r="F17" t="s">
        <v>101</v>
      </c>
      <c s="19" r="G17" t="s">
        <v>29</v>
      </c>
      <c s="19" r="H17" t="s">
        <v>29</v>
      </c>
      <c s="19" r="I17" t="s">
        <v>29</v>
      </c>
      <c s="19" r="J17">
        <f>IF(G17="Sí", IF(H17="Sí", "DP", "SP"), IF(H17="Sí", "SD", "-"))</f>
        <v/>
      </c>
      <c s="18" r="K17">
        <f>IF(IFERROR(L17,7)=7,"",RIGHT(L17,LEN(L17)-2)&amp;".")</f>
        <v/>
      </c>
      <c s="18" r="L17">
        <f>IFERROR(__xludf.dummyfunction("CONCATENATE(ArrayFormula(""; ""&amp;QUERY(Hallazgos!A:E,""SELECT B WHERE E CONTAINS '""&amp;A3&amp;""' LABEL B ''"")))"),"#VALUE!")</f>
        <v/>
      </c>
    </row>
    <row customHeight="1" s="134" r="18" ht="15.75" spans="1:12">
      <c s="60" r="A18" t="s">
        <v>105</v>
      </c>
      <c s="60" r="B18" t="s">
        <v>157</v>
      </c>
      <c s="61" r="C18" t="s">
        <v>87</v>
      </c>
      <c s="59" r="D18" t="s">
        <v>147</v>
      </c>
      <c s="59" r="E18" t="s">
        <v>122</v>
      </c>
      <c s="59" r="F18" t="s">
        <v>101</v>
      </c>
      <c s="19" r="G18" t="s">
        <v>29</v>
      </c>
      <c s="19" r="H18" t="s">
        <v>29</v>
      </c>
      <c s="19" r="I18" t="s">
        <v>29</v>
      </c>
      <c s="19" r="J18">
        <f>IF(G18="Sí", IF(H18="Sí", "DP", "SP"), IF(H18="Sí", "SD", "-"))</f>
        <v/>
      </c>
      <c s="18" r="K18">
        <f>IF(IFERROR(L18,7)=7,"",RIGHT(L18,LEN(L18)-2)&amp;".")</f>
        <v/>
      </c>
      <c s="18" r="L18">
        <f>IFERROR(__xludf.dummyfunction("CONCATENATE(ArrayFormula(""; ""&amp;QUERY(Hallazgos!A:E,""SELECT B WHERE E CONTAINS '""&amp;A3&amp;""' LABEL B ''"")))"),"#VALUE!")</f>
        <v/>
      </c>
    </row>
    <row customHeight="1" s="134" r="19" ht="15.75" spans="1:12">
      <c s="58" r="A19" t="s">
        <v>107</v>
      </c>
      <c s="58" r="B19" t="s">
        <v>159</v>
      </c>
      <c s="58" r="C19" t="s">
        <v>87</v>
      </c>
      <c s="59" r="D19" t="s">
        <v>147</v>
      </c>
      <c s="59" r="E19" t="s">
        <v>160</v>
      </c>
      <c s="59" r="F19" t="s">
        <v>101</v>
      </c>
      <c s="19" r="G19" t="s">
        <v>29</v>
      </c>
      <c s="19" r="H19" t="s">
        <v>29</v>
      </c>
      <c s="19" r="I19" t="s">
        <v>29</v>
      </c>
      <c s="19" r="J19">
        <f>IF(G19="Sí", IF(H19="Sí", "DP", "SP"), IF(H19="Sí", "SD", "-"))</f>
        <v/>
      </c>
      <c s="18" r="K19">
        <f>IF(IFERROR(L19,7)=7,"",RIGHT(L19,LEN(L19)-2)&amp;".")</f>
        <v/>
      </c>
      <c s="18" r="L19">
        <f>IFERROR(__xludf.dummyfunction("CONCATENATE(ArrayFormula(""; ""&amp;QUERY(Hallazgos!A:E,""SELECT B WHERE E CONTAINS '""&amp;A3&amp;""' LABEL B ''"")))"),"#VALUE!")</f>
        <v/>
      </c>
    </row>
    <row customHeight="1" s="134" r="20" ht="15.75" spans="1:12">
      <c s="58" r="A20" t="s">
        <v>109</v>
      </c>
      <c s="58" r="B20" t="s">
        <v>836</v>
      </c>
      <c s="58" r="C20" t="s">
        <v>87</v>
      </c>
      <c s="59" r="D20" t="s">
        <v>147</v>
      </c>
      <c s="59" r="E20" t="s">
        <v>122</v>
      </c>
      <c s="59" r="F20" t="s">
        <v>101</v>
      </c>
      <c s="19" r="G20" t="s">
        <v>29</v>
      </c>
      <c s="19" r="H20" t="s">
        <v>29</v>
      </c>
      <c s="19" r="I20" t="s">
        <v>29</v>
      </c>
      <c s="19" r="J20">
        <f>IF(G20="Sí", IF(H20="Sí", "DP", "SP"), IF(H20="Sí", "SD", "-"))</f>
        <v/>
      </c>
      <c s="18" r="K20">
        <f>IF(IFERROR(L20,7)=7,"",RIGHT(L20,LEN(L20)-2)&amp;".")</f>
        <v/>
      </c>
      <c s="18" r="L20">
        <f>IFERROR(__xludf.dummyfunction("CONCATENATE(ArrayFormula(""; ""&amp;QUERY(Hallazgos!A:E,""SELECT B WHERE E CONTAINS '""&amp;A3&amp;""' LABEL B ''"")))"),"#VALUE!")</f>
        <v/>
      </c>
    </row>
    <row customHeight="1" s="134" r="21" ht="15.75" spans="1:12">
      <c s="58" r="A21" t="s">
        <v>111</v>
      </c>
      <c s="58" r="B21" t="s">
        <v>393</v>
      </c>
      <c s="58" r="C21" t="s">
        <v>87</v>
      </c>
      <c s="59" r="D21" t="s">
        <v>394</v>
      </c>
      <c s="59" r="E21" t="s">
        <v>223</v>
      </c>
      <c s="59" r="F21" t="s">
        <v>119</v>
      </c>
      <c s="19" r="G21" t="s">
        <v>29</v>
      </c>
      <c s="19" r="H21" t="s">
        <v>29</v>
      </c>
      <c s="19" r="I21" t="s">
        <v>29</v>
      </c>
      <c s="19" r="J21">
        <f>IF(G21="Sí", IF(H21="Sí", "DP", "SP"), IF(H21="Sí", "SD", "-"))</f>
        <v/>
      </c>
      <c s="18" r="K21">
        <f>IF(IFERROR(L21,7)=7,"",RIGHT(L21,LEN(L21)-2)&amp;".")</f>
        <v/>
      </c>
      <c s="18" r="L21">
        <f>IFERROR(__xludf.dummyfunction("CONCATENATE(ArrayFormula(""; ""&amp;QUERY(Hallazgos!A:E,""SELECT B WHERE E CONTAINS '""&amp;A3&amp;""' LABEL B ''"")))"),"#VALUE!")</f>
        <v/>
      </c>
    </row>
    <row customHeight="1" s="134" r="22" ht="15.75" spans="1:12">
      <c s="58" r="A22" t="s">
        <v>120</v>
      </c>
      <c s="58" r="B22" t="s">
        <v>549</v>
      </c>
      <c s="58" r="C22" t="s">
        <v>87</v>
      </c>
      <c s="59" r="D22" t="s">
        <v>550</v>
      </c>
      <c s="59" r="E22" t="s">
        <v>127</v>
      </c>
      <c s="59" r="F22" t="s">
        <v>101</v>
      </c>
      <c s="19" r="G22" t="s">
        <v>29</v>
      </c>
      <c s="19" r="H22" t="s">
        <v>29</v>
      </c>
      <c s="19" r="I22" t="s">
        <v>29</v>
      </c>
      <c s="19" r="J22">
        <f>IF(G22="Sí", IF(H22="Sí", "DP", "SP"), IF(H22="Sí", "SD", "-"))</f>
        <v/>
      </c>
      <c s="18" r="K22">
        <f>IF(IFERROR(L22,7)=7,"",RIGHT(L22,LEN(L22)-2)&amp;".")</f>
        <v/>
      </c>
      <c s="18" r="L22">
        <f>IFERROR(__xludf.dummyfunction("CONCATENATE(ArrayFormula(""; ""&amp;QUERY(Hallazgos!A:E,""SELECT B WHERE E CONTAINS '""&amp;A3&amp;""' LABEL B ''"")))"),"#VALUE!")</f>
        <v/>
      </c>
    </row>
    <row customHeight="1" s="134" r="23" ht="15.75" spans="1:12">
      <c s="58" r="A23" t="s">
        <v>123</v>
      </c>
      <c s="58" r="B23" t="s">
        <v>552</v>
      </c>
      <c s="58" r="C23" t="s">
        <v>87</v>
      </c>
      <c s="59" r="D23" t="s">
        <v>550</v>
      </c>
      <c s="59" r="E23" t="s">
        <v>127</v>
      </c>
      <c s="59" r="F23" t="s">
        <v>101</v>
      </c>
      <c s="19" r="G23" t="s">
        <v>29</v>
      </c>
      <c s="19" r="H23" t="s">
        <v>29</v>
      </c>
      <c s="19" r="I23" t="s">
        <v>29</v>
      </c>
      <c s="19" r="J23">
        <f>IF(G23="Sí", IF(H23="Sí", "DP", "SP"), IF(H23="Sí", "SD", "-"))</f>
        <v/>
      </c>
      <c s="18" r="K23">
        <f>IF(IFERROR(L23,7)=7,"",RIGHT(L23,LEN(L23)-2)&amp;".")</f>
        <v/>
      </c>
      <c s="18" r="L23">
        <f>IFERROR(__xludf.dummyfunction("CONCATENATE(ArrayFormula(""; ""&amp;QUERY(Hallazgos!A:E,""SELECT B WHERE E CONTAINS '""&amp;A3&amp;""' LABEL B ''"")))"),"#VALUE!")</f>
        <v/>
      </c>
    </row>
    <row customHeight="1" s="134" r="24" ht="15.75" spans="1:12">
      <c s="58" r="A24" t="s">
        <v>125</v>
      </c>
      <c s="58" r="B24" t="s">
        <v>837</v>
      </c>
      <c s="58" r="C24" t="s">
        <v>87</v>
      </c>
      <c s="59" r="D24" t="s">
        <v>550</v>
      </c>
      <c s="59" r="E24" t="s">
        <v>155</v>
      </c>
      <c s="59" r="F24" t="s">
        <v>101</v>
      </c>
      <c s="19" r="G24" t="s">
        <v>29</v>
      </c>
      <c s="19" r="H24" t="s">
        <v>29</v>
      </c>
      <c s="19" r="I24" t="s">
        <v>29</v>
      </c>
      <c s="19" r="J24">
        <f>IF(G24="Sí", IF(H24="Sí", "DP", "SP"), IF(H24="Sí", "SD", "-"))</f>
        <v/>
      </c>
      <c s="18" r="K24">
        <f>IF(IFERROR(L24,7)=7,"",RIGHT(L24,LEN(L24)-2)&amp;".")</f>
        <v/>
      </c>
      <c s="18" r="L24">
        <f>IFERROR(__xludf.dummyfunction("CONCATENATE(ArrayFormula(""; ""&amp;QUERY(Hallazgos!A:E,""SELECT B WHERE E CONTAINS '""&amp;A3&amp;""' LABEL B ''"")))"),"#VALUE!")</f>
        <v/>
      </c>
    </row>
    <row customHeight="1" s="134" r="25" ht="15.75" spans="1:12">
      <c s="58" r="A25" t="s">
        <v>128</v>
      </c>
      <c s="58" r="B25" t="s">
        <v>556</v>
      </c>
      <c s="58" r="C25" t="s">
        <v>87</v>
      </c>
      <c s="59" r="D25" t="s">
        <v>550</v>
      </c>
      <c s="59" r="E25" t="s">
        <v>100</v>
      </c>
      <c s="59" r="F25" t="s">
        <v>101</v>
      </c>
      <c s="19" r="G25" t="s">
        <v>29</v>
      </c>
      <c s="19" r="H25" t="s">
        <v>29</v>
      </c>
      <c s="19" r="I25" t="s">
        <v>29</v>
      </c>
      <c s="19" r="J25">
        <f>IF(G25="Sí", IF(H25="Sí", "DP", "SP"), IF(H25="Sí", "SD", "-"))</f>
        <v/>
      </c>
      <c s="18" r="K25">
        <f>IF(IFERROR(L25,7)=7,"",RIGHT(L25,LEN(L25)-2)&amp;".")</f>
        <v/>
      </c>
      <c s="18" r="L25">
        <f>IFERROR(__xludf.dummyfunction("CONCATENATE(ArrayFormula(""; ""&amp;QUERY(Hallazgos!A:E,""SELECT B WHERE E CONTAINS '""&amp;A3&amp;""' LABEL B ''"")))"),"#VALUE!")</f>
        <v/>
      </c>
    </row>
    <row customHeight="1" s="134" r="26" ht="15.75" spans="1:12">
      <c s="58" r="A26" t="s">
        <v>130</v>
      </c>
      <c s="58" r="B26" t="s">
        <v>558</v>
      </c>
      <c s="58" r="C26" t="s">
        <v>87</v>
      </c>
      <c s="59" r="D26" t="s">
        <v>550</v>
      </c>
      <c s="59" r="E26" t="s">
        <v>118</v>
      </c>
      <c s="59" r="F26" t="s">
        <v>101</v>
      </c>
      <c s="19" r="G26" t="s">
        <v>29</v>
      </c>
      <c s="19" r="H26" t="s">
        <v>29</v>
      </c>
      <c s="19" r="I26" t="s">
        <v>29</v>
      </c>
      <c s="19" r="J26">
        <f>IF(G26="Sí", IF(H26="Sí", "DP", "SP"), IF(H26="Sí", "SD", "-"))</f>
        <v/>
      </c>
      <c s="18" r="K26">
        <f>IF(IFERROR(L26,7)=7,"",RIGHT(L26,LEN(L26)-2)&amp;".")</f>
        <v/>
      </c>
      <c s="18" r="L26">
        <f>IFERROR(__xludf.dummyfunction("CONCATENATE(ArrayFormula(""; ""&amp;QUERY(Hallazgos!A:E,""SELECT B WHERE E CONTAINS '""&amp;A3&amp;""' LABEL B ''"")))"),"#VALUE!")</f>
        <v/>
      </c>
    </row>
    <row customHeight="1" s="134" r="27" ht="15.75" spans="1:12">
      <c s="58" r="A27" t="s">
        <v>132</v>
      </c>
      <c s="58" r="B27" t="s">
        <v>838</v>
      </c>
      <c s="58" r="C27" t="s">
        <v>87</v>
      </c>
      <c s="59" r="D27" t="s">
        <v>550</v>
      </c>
      <c s="59" r="E27" t="s">
        <v>134</v>
      </c>
      <c s="59" r="F27" t="s">
        <v>101</v>
      </c>
      <c s="19" r="G27" t="s">
        <v>29</v>
      </c>
      <c s="19" r="H27" t="s">
        <v>29</v>
      </c>
      <c s="19" r="I27" t="s">
        <v>29</v>
      </c>
      <c s="19" r="J27">
        <f>IF(G27="Sí", IF(H27="Sí", "DP", "SP"), IF(H27="Sí", "SD", "-"))</f>
        <v/>
      </c>
      <c s="18" r="K27">
        <f>IF(IFERROR(L27,7)=7,"",RIGHT(L27,LEN(L27)-2)&amp;".")</f>
        <v/>
      </c>
      <c s="18" r="L27">
        <f>IFERROR(__xludf.dummyfunction("CONCATENATE(ArrayFormula(""; ""&amp;QUERY(Hallazgos!A:E,""SELECT B WHERE E CONTAINS '""&amp;A3&amp;""' LABEL B ''"")))"),"#VALUE!")</f>
        <v/>
      </c>
    </row>
    <row customHeight="1" s="134" r="28" ht="15.75" spans="1:12">
      <c s="58" r="A28" t="s">
        <v>135</v>
      </c>
      <c s="58" r="B28" t="s">
        <v>562</v>
      </c>
      <c s="58" r="C28" t="s">
        <v>87</v>
      </c>
      <c s="59" r="D28" t="s">
        <v>550</v>
      </c>
      <c s="59" r="E28" t="s">
        <v>134</v>
      </c>
      <c s="59" r="F28" t="s">
        <v>101</v>
      </c>
      <c s="19" r="G28" t="s">
        <v>29</v>
      </c>
      <c s="19" r="H28" t="s">
        <v>29</v>
      </c>
      <c s="19" r="I28" t="s">
        <v>29</v>
      </c>
      <c s="19" r="J28">
        <f>IF(G28="Sí", IF(H28="Sí", "DP", "SP"), IF(H28="Sí", "SD", "-"))</f>
        <v/>
      </c>
      <c s="18" r="K28">
        <f>IF(IFERROR(L28,7)=7,"",RIGHT(L28,LEN(L28)-2)&amp;".")</f>
        <v/>
      </c>
      <c s="18" r="L28">
        <f>IFERROR(__xludf.dummyfunction("CONCATENATE(ArrayFormula(""; ""&amp;QUERY(Hallazgos!A:E,""SELECT B WHERE E CONTAINS '""&amp;A3&amp;""' LABEL B ''"")))"),"#VALUE!")</f>
        <v/>
      </c>
    </row>
    <row customHeight="1" s="134" r="29" ht="15.75" spans="1:12">
      <c s="58" r="A29" t="s">
        <v>137</v>
      </c>
      <c s="58" r="B29" t="s">
        <v>564</v>
      </c>
      <c s="58" r="C29" t="s">
        <v>87</v>
      </c>
      <c s="59" r="D29" t="s">
        <v>550</v>
      </c>
      <c s="59" r="E29" t="s">
        <v>134</v>
      </c>
      <c s="59" r="F29" t="s">
        <v>101</v>
      </c>
      <c s="19" r="G29" t="s">
        <v>29</v>
      </c>
      <c s="19" r="H29" t="s">
        <v>29</v>
      </c>
      <c s="19" r="I29" t="s">
        <v>29</v>
      </c>
      <c s="19" r="J29">
        <f>IF(G29="Sí", IF(H29="Sí", "DP", "SP"), IF(H29="Sí", "SD", "-"))</f>
        <v/>
      </c>
      <c s="18" r="K29">
        <f>IF(IFERROR(L29,7)=7,"",RIGHT(L29,LEN(L29)-2)&amp;".")</f>
        <v/>
      </c>
      <c s="18" r="L29">
        <f>IFERROR(__xludf.dummyfunction("CONCATENATE(ArrayFormula(""; ""&amp;QUERY(Hallazgos!A:E,""SELECT B WHERE E CONTAINS '""&amp;A3&amp;""' LABEL B ''"")))"),"#VALUE!")</f>
        <v/>
      </c>
    </row>
    <row customHeight="1" s="134" r="30" ht="15.75" spans="1:12">
      <c s="58" r="A30" t="s">
        <v>140</v>
      </c>
      <c s="58" r="B30" t="s">
        <v>566</v>
      </c>
      <c s="58" r="C30" t="s">
        <v>87</v>
      </c>
      <c s="59" r="D30" t="s">
        <v>550</v>
      </c>
      <c s="59" r="E30" t="s">
        <v>134</v>
      </c>
      <c s="59" r="F30" t="s">
        <v>101</v>
      </c>
      <c s="19" r="G30" t="s">
        <v>29</v>
      </c>
      <c s="19" r="H30" t="s">
        <v>29</v>
      </c>
      <c s="19" r="I30" t="s">
        <v>29</v>
      </c>
      <c s="19" r="J30">
        <f>IF(G30="Sí", IF(H30="Sí", "DP", "SP"), IF(H30="Sí", "SD", "-"))</f>
        <v/>
      </c>
      <c s="18" r="K30">
        <f>IF(IFERROR(L30,7)=7,"",RIGHT(L30,LEN(L30)-2)&amp;".")</f>
        <v/>
      </c>
      <c s="18" r="L30">
        <f>IFERROR(__xludf.dummyfunction("CONCATENATE(ArrayFormula(""; ""&amp;QUERY(Hallazgos!A:E,""SELECT B WHERE E CONTAINS '""&amp;A3&amp;""' LABEL B ''"")))"),"#VALUE!")</f>
        <v/>
      </c>
    </row>
    <row customHeight="1" s="134" r="31" ht="15.75" spans="1:12">
      <c s="58" r="A31" t="s">
        <v>143</v>
      </c>
      <c s="58" r="B31" t="s">
        <v>256</v>
      </c>
      <c s="58" r="C31" t="s">
        <v>87</v>
      </c>
      <c s="59" r="D31" t="s">
        <v>257</v>
      </c>
      <c s="59" r="E31" t="s">
        <v>134</v>
      </c>
      <c s="59" r="F31" t="s">
        <v>101</v>
      </c>
      <c s="19" r="G31" t="s">
        <v>29</v>
      </c>
      <c s="19" r="H31" t="s">
        <v>29</v>
      </c>
      <c s="19" r="I31" t="s">
        <v>29</v>
      </c>
      <c s="19" r="J31">
        <f>IF(G31="Sí", IF(H31="Sí", "DP", "SP"), IF(H31="Sí", "SD", "-"))</f>
        <v/>
      </c>
      <c s="18" r="K31">
        <f>IF(IFERROR(L31,7)=7,"",RIGHT(L31,LEN(L31)-2)&amp;".")</f>
        <v/>
      </c>
      <c s="18" r="L31">
        <f>IFERROR(__xludf.dummyfunction("CONCATENATE(ArrayFormula(""; ""&amp;QUERY(Hallazgos!A:E,""SELECT B WHERE E CONTAINS '""&amp;A3&amp;""' LABEL B ''"")))"),"#VALUE!")</f>
        <v/>
      </c>
    </row>
    <row customHeight="1" s="134" r="32" ht="15.75" spans="1:12">
      <c s="58" r="A32" t="s">
        <v>145</v>
      </c>
      <c s="58" r="B32" t="s">
        <v>839</v>
      </c>
      <c s="58" r="C32" t="s">
        <v>87</v>
      </c>
      <c s="59" r="D32" t="s">
        <v>840</v>
      </c>
      <c s="59" r="E32" t="s">
        <v>155</v>
      </c>
      <c s="59" r="F32" t="s">
        <v>101</v>
      </c>
      <c s="19" r="G32" t="s">
        <v>29</v>
      </c>
      <c s="19" r="H32" t="s">
        <v>29</v>
      </c>
      <c s="19" r="I32" t="s">
        <v>29</v>
      </c>
      <c s="19" r="J32">
        <f>IF(G32="Sí", IF(H32="Sí", "DP", "SP"), IF(H32="Sí", "SD", "-"))</f>
        <v/>
      </c>
      <c s="18" r="K32">
        <f>IF(IFERROR(L32,7)=7,"",RIGHT(L32,LEN(L32)-2)&amp;".")</f>
        <v/>
      </c>
      <c s="18" r="L32">
        <f>IFERROR(__xludf.dummyfunction("CONCATENATE(ArrayFormula(""; ""&amp;QUERY(Hallazgos!A:E,""SELECT B WHERE E CONTAINS '""&amp;A3&amp;""' LABEL B ''"")))"),"#VALUE!")</f>
        <v/>
      </c>
    </row>
    <row customHeight="1" s="134" r="33" ht="15.75" spans="1:12">
      <c s="60" r="A33" t="s">
        <v>151</v>
      </c>
      <c s="60" r="B33" t="s">
        <v>841</v>
      </c>
      <c s="60" r="C33" t="s">
        <v>87</v>
      </c>
      <c s="59" r="D33" t="s">
        <v>550</v>
      </c>
      <c s="59" r="E33" t="s">
        <v>127</v>
      </c>
      <c s="59" r="F33" t="s">
        <v>101</v>
      </c>
      <c s="19" r="G33" t="s">
        <v>29</v>
      </c>
      <c s="19" r="H33" t="s">
        <v>29</v>
      </c>
      <c s="19" r="I33" t="s">
        <v>29</v>
      </c>
      <c s="19" r="J33">
        <f>IF(G33="Sí", IF(H33="Sí", "DP", "SP"), IF(H33="Sí", "SD", "-"))</f>
        <v/>
      </c>
      <c s="18" r="K33">
        <f>IF(IFERROR(L33,7)=7,"",RIGHT(L33,LEN(L33)-2)&amp;".")</f>
        <v/>
      </c>
      <c s="18" r="L33">
        <f>IFERROR(__xludf.dummyfunction("CONCATENATE(ArrayFormula(""; ""&amp;QUERY(Hallazgos!A:E,""SELECT B WHERE E CONTAINS '""&amp;A3&amp;""' LABEL B ''"")))"),"#VALUE!")</f>
        <v/>
      </c>
    </row>
    <row customHeight="1" s="134" r="34" ht="15.75" spans="1:12">
      <c s="61" r="A34" t="s">
        <v>153</v>
      </c>
      <c s="61" r="B34" t="s">
        <v>842</v>
      </c>
      <c s="61" r="C34" t="s">
        <v>87</v>
      </c>
      <c s="59" r="D34" t="s">
        <v>550</v>
      </c>
      <c s="59" r="E34" t="s">
        <v>134</v>
      </c>
      <c s="59" r="F34" t="s">
        <v>101</v>
      </c>
      <c s="19" r="G34" t="s">
        <v>29</v>
      </c>
      <c s="19" r="H34" t="s">
        <v>29</v>
      </c>
      <c s="19" r="I34" t="s">
        <v>29</v>
      </c>
      <c s="19" r="J34">
        <f>IF(G34="Sí", IF(H34="Sí", "DP", "SP"), IF(H34="Sí", "SD", "-"))</f>
        <v/>
      </c>
      <c s="18" r="K34">
        <f>IF(IFERROR(L34,7)=7,"",RIGHT(L34,LEN(L34)-2)&amp;".")</f>
        <v/>
      </c>
      <c s="18" r="L34">
        <f>IFERROR(__xludf.dummyfunction("CONCATENATE(ArrayFormula(""; ""&amp;QUERY(Hallazgos!A:E,""SELECT B WHERE E CONTAINS '""&amp;A3&amp;""' LABEL B ''"")))"),"#VALUE!")</f>
        <v/>
      </c>
    </row>
    <row customHeight="1" s="134" r="35" ht="15.75" spans="1:12">
      <c s="60" r="A35" t="s">
        <v>158</v>
      </c>
      <c s="60" r="B35" t="s">
        <v>574</v>
      </c>
      <c s="60" r="C35" t="s">
        <v>87</v>
      </c>
      <c s="59" r="D35" t="s">
        <v>550</v>
      </c>
      <c s="59" r="E35" t="s">
        <v>127</v>
      </c>
      <c s="59" r="F35" t="s">
        <v>101</v>
      </c>
      <c s="19" r="G35" t="s">
        <v>29</v>
      </c>
      <c s="19" r="H35" t="s">
        <v>29</v>
      </c>
      <c s="19" r="I35" t="s">
        <v>29</v>
      </c>
      <c s="19" r="J35">
        <f>IF(G35="Sí", IF(H35="Sí", "DP", "SP"), IF(H35="Sí", "SD", "-"))</f>
        <v/>
      </c>
      <c s="18" r="K35">
        <f>IF(IFERROR(L35,7)=7,"",RIGHT(L35,LEN(L35)-2)&amp;".")</f>
        <v/>
      </c>
      <c s="18" r="L35">
        <f>IFERROR(__xludf.dummyfunction("CONCATENATE(ArrayFormula(""; ""&amp;QUERY(Hallazgos!A:E,""SELECT B WHERE E CONTAINS '""&amp;A3&amp;""' LABEL B ''"")))"),"#VALUE!")</f>
        <v/>
      </c>
    </row>
    <row customHeight="1" s="134" r="36" ht="15.75" spans="1:12">
      <c s="60" r="A36" t="s">
        <v>161</v>
      </c>
      <c s="60" r="B36" t="s">
        <v>843</v>
      </c>
      <c s="60" r="C36" t="s">
        <v>87</v>
      </c>
      <c s="59" r="D36" t="s">
        <v>550</v>
      </c>
      <c s="59" r="E36" t="s">
        <v>100</v>
      </c>
      <c s="59" r="F36" t="s">
        <v>101</v>
      </c>
      <c s="19" r="G36" t="s">
        <v>29</v>
      </c>
      <c s="19" r="H36" t="s">
        <v>29</v>
      </c>
      <c s="19" r="I36" t="s">
        <v>29</v>
      </c>
      <c s="19" r="J36">
        <f>IF(G36="Sí", IF(H36="Sí", "DP", "SP"), IF(H36="Sí", "SD", "-"))</f>
        <v/>
      </c>
      <c s="18" r="K36">
        <f>IF(IFERROR(L36,7)=7,"",RIGHT(L36,LEN(L36)-2)&amp;".")</f>
        <v/>
      </c>
      <c s="18" r="L36">
        <f>IFERROR(__xludf.dummyfunction("CONCATENATE(ArrayFormula(""; ""&amp;QUERY(Hallazgos!A:E,""SELECT B WHERE E CONTAINS '""&amp;A3&amp;""' LABEL B ''"")))"),"#VALUE!")</f>
        <v/>
      </c>
    </row>
    <row customHeight="1" s="134" r="37" ht="15.75" spans="1:12">
      <c s="60" r="A37" t="s">
        <v>163</v>
      </c>
      <c s="60" r="B37" t="s">
        <v>844</v>
      </c>
      <c s="60" r="C37" t="s">
        <v>87</v>
      </c>
      <c s="59" r="D37" t="s">
        <v>139</v>
      </c>
      <c s="59" r="E37" t="s">
        <v>142</v>
      </c>
      <c s="59" r="F37" t="s">
        <v>101</v>
      </c>
      <c s="19" r="G37" t="s">
        <v>29</v>
      </c>
      <c s="19" r="H37" t="s">
        <v>29</v>
      </c>
      <c s="19" r="I37" t="s">
        <v>29</v>
      </c>
      <c s="19" r="J37">
        <f>IF(G37="Sí", IF(H37="Sí", "DP", "SP"), IF(H37="Sí", "SD", "-"))</f>
        <v/>
      </c>
      <c s="18" r="K37">
        <f>IF(IFERROR(L37,7)=7,"",RIGHT(L37,LEN(L37)-2)&amp;".")</f>
        <v/>
      </c>
      <c s="18" r="L37">
        <f>IFERROR(__xludf.dummyfunction("CONCATENATE(ArrayFormula(""; ""&amp;QUERY(Hallazgos!A:E,""SELECT B WHERE E CONTAINS '""&amp;A3&amp;""' LABEL B ''"")))"),"#VALUE!")</f>
        <v/>
      </c>
    </row>
    <row customHeight="1" s="134" r="38" ht="15.75" spans="1:12">
      <c s="58" r="A38" t="s">
        <v>165</v>
      </c>
      <c s="58" r="B38" t="s">
        <v>634</v>
      </c>
      <c s="58" r="C38" t="s">
        <v>87</v>
      </c>
      <c s="59" r="D38" t="s">
        <v>845</v>
      </c>
      <c s="59" r="E38" t="s">
        <v>142</v>
      </c>
      <c s="59" r="F38" t="s">
        <v>101</v>
      </c>
      <c s="19" r="G38" t="s">
        <v>29</v>
      </c>
      <c s="19" r="H38" t="s">
        <v>29</v>
      </c>
      <c s="19" r="I38" t="s">
        <v>29</v>
      </c>
      <c s="19" r="J38">
        <f>IF(G38="Sí", IF(H38="Sí", "DP", "SP"), IF(H38="Sí", "SD", "-"))</f>
        <v/>
      </c>
      <c s="18" r="K38">
        <f>IF(IFERROR(L38,7)=7,"",RIGHT(L38,LEN(L38)-2)&amp;".")</f>
        <v/>
      </c>
      <c s="18" r="L38">
        <f>IFERROR(__xludf.dummyfunction("CONCATENATE(ArrayFormula(""; ""&amp;QUERY(Hallazgos!A:E,""SELECT B WHERE E CONTAINS '""&amp;A3&amp;""' LABEL B ''"")))"),"#VALUE!")</f>
        <v/>
      </c>
    </row>
    <row customHeight="1" s="134" r="39" ht="15.75" spans="1:12">
      <c s="58" r="A39" t="s">
        <v>167</v>
      </c>
      <c s="58" r="B39" t="s">
        <v>336</v>
      </c>
      <c s="58" r="C39" t="s">
        <v>87</v>
      </c>
      <c s="59" r="D39" t="s">
        <v>840</v>
      </c>
      <c s="59" r="E39" t="s">
        <v>155</v>
      </c>
      <c s="59" r="F39" t="s">
        <v>101</v>
      </c>
      <c s="19" r="G39" t="s">
        <v>29</v>
      </c>
      <c s="19" r="H39" t="s">
        <v>29</v>
      </c>
      <c s="19" r="I39" t="s">
        <v>29</v>
      </c>
      <c s="19" r="J39">
        <f>IF(G39="Sí", IF(H39="Sí", "DP", "SP"), IF(H39="Sí", "SD", "-"))</f>
        <v/>
      </c>
      <c s="18" r="K39">
        <f>IF(IFERROR(L39,7)=7,"",RIGHT(L39,LEN(L39)-2)&amp;".")</f>
        <v/>
      </c>
      <c s="18" r="L39">
        <f>IFERROR(__xludf.dummyfunction("CONCATENATE(ArrayFormula(""; ""&amp;QUERY(Hallazgos!A:E,""SELECT B WHERE E CONTAINS '""&amp;A3&amp;""' LABEL B ''"")))"),"#VALUE!")</f>
        <v/>
      </c>
    </row>
    <row customHeight="1" s="134" r="40" ht="15.75" spans="1:12">
      <c s="58" r="A40" t="s">
        <v>169</v>
      </c>
      <c s="58" r="B40" t="s">
        <v>846</v>
      </c>
      <c s="58" r="C40" t="s">
        <v>66</v>
      </c>
      <c s="59" r="D40" t="s">
        <v>643</v>
      </c>
      <c s="59" r="E40" t="s">
        <v>160</v>
      </c>
      <c s="59" r="F40" t="s">
        <v>101</v>
      </c>
      <c s="19" r="G40" t="s">
        <v>29</v>
      </c>
      <c s="19" r="H40" t="s">
        <v>29</v>
      </c>
      <c s="19" r="I40" t="s">
        <v>29</v>
      </c>
      <c s="19" r="J40">
        <f>IF(G40="Sí", IF(H40="Sí", "DP", "SP"), IF(H40="Sí", "SD", "-"))</f>
        <v/>
      </c>
      <c s="18" r="K40">
        <f>IF(IFERROR(L40,7)=7,"",RIGHT(L40,LEN(L40)-2)&amp;".")</f>
        <v/>
      </c>
      <c s="18" r="L40">
        <f>IFERROR(__xludf.dummyfunction("CONCATENATE(ArrayFormula(""; ""&amp;QUERY(Hallazgos!A:E,""SELECT B WHERE E CONTAINS '""&amp;A3&amp;""' LABEL B ''"")))"),"#VALUE!")</f>
        <v/>
      </c>
    </row>
    <row customHeight="1" s="134" r="41" ht="15.75" spans="1:12">
      <c s="58" r="A41" t="s">
        <v>171</v>
      </c>
      <c s="58" r="B41" t="s">
        <v>144</v>
      </c>
      <c s="61" r="C41" t="s">
        <v>87</v>
      </c>
      <c s="59" r="D41" t="s">
        <v>139</v>
      </c>
      <c s="59" r="E41" t="s">
        <v>142</v>
      </c>
      <c s="59" r="F41" t="s">
        <v>101</v>
      </c>
      <c s="19" r="G41" t="s">
        <v>29</v>
      </c>
      <c s="19" r="H41" t="s">
        <v>29</v>
      </c>
      <c s="19" r="I41" t="s">
        <v>29</v>
      </c>
      <c s="19" r="J41">
        <f>IF(G41="Sí", IF(H41="Sí", "DP", "SP"), IF(H41="Sí", "SD", "-"))</f>
        <v/>
      </c>
      <c s="18" r="K41">
        <f>IF(IFERROR(L41,7)=7,"",RIGHT(L41,LEN(L41)-2)&amp;".")</f>
        <v/>
      </c>
      <c s="18" r="L41">
        <f>IFERROR(__xludf.dummyfunction("CONCATENATE(ArrayFormula(""; ""&amp;QUERY(Hallazgos!A:E,""SELECT B WHERE E CONTAINS '""&amp;A3&amp;""' LABEL B ''"")))"),"#VALUE!")</f>
        <v/>
      </c>
    </row>
    <row customHeight="1" s="134" r="42" ht="15.75" spans="1:12">
      <c s="58" r="A42" t="s">
        <v>173</v>
      </c>
      <c s="58" r="B42" t="s">
        <v>847</v>
      </c>
      <c s="58" r="C42" t="s">
        <v>87</v>
      </c>
      <c s="59" r="D42" t="s">
        <v>443</v>
      </c>
      <c s="59" r="E42" t="s">
        <v>142</v>
      </c>
      <c s="59" r="F42" t="s">
        <v>101</v>
      </c>
      <c s="19" r="G42" t="s">
        <v>29</v>
      </c>
      <c s="19" r="H42" t="s">
        <v>29</v>
      </c>
      <c s="19" r="I42" t="s">
        <v>29</v>
      </c>
      <c s="19" r="J42">
        <f>IF(G42="Sí", IF(H42="Sí", "DP", "SP"), IF(H42="Sí", "SD", "-"))</f>
        <v/>
      </c>
      <c s="18" r="K42">
        <f>IF(IFERROR(L42,7)=7,"",RIGHT(L42,LEN(L42)-2)&amp;".")</f>
        <v/>
      </c>
      <c s="18" r="L42">
        <f>IFERROR(__xludf.dummyfunction("CONCATENATE(ArrayFormula(""; ""&amp;QUERY(Hallazgos!A:E,""SELECT B WHERE E CONTAINS '""&amp;A3&amp;""' LABEL B ''"")))"),"#VALUE!")</f>
        <v/>
      </c>
    </row>
    <row customHeight="1" s="134" r="43" ht="15.75" spans="1:12">
      <c s="58" r="A43" t="s">
        <v>177</v>
      </c>
      <c s="58" r="B43" t="s">
        <v>636</v>
      </c>
      <c s="58" r="C43" t="s">
        <v>87</v>
      </c>
      <c s="59" r="D43" t="s">
        <v>848</v>
      </c>
      <c s="59" r="E43" t="s">
        <v>142</v>
      </c>
      <c s="59" r="F43" t="s">
        <v>101</v>
      </c>
      <c s="19" r="G43" t="s">
        <v>29</v>
      </c>
      <c s="19" r="H43" t="s">
        <v>29</v>
      </c>
      <c s="19" r="I43" t="s">
        <v>29</v>
      </c>
      <c s="19" r="J43">
        <f>IF(G43="Sí", IF(H43="Sí", "DP", "SP"), IF(H43="Sí", "SD", "-"))</f>
        <v/>
      </c>
      <c s="18" r="K43">
        <f>IF(IFERROR(L43,7)=7,"",RIGHT(L43,LEN(L43)-2)&amp;".")</f>
        <v/>
      </c>
      <c s="18" r="L43">
        <f>IFERROR(__xludf.dummyfunction("CONCATENATE(ArrayFormula(""; ""&amp;QUERY(Hallazgos!A:E,""SELECT B WHERE E CONTAINS '""&amp;A3&amp;""' LABEL B ''"")))"),"#VALUE!")</f>
        <v/>
      </c>
    </row>
    <row customHeight="1" s="134" r="44" ht="15.75" spans="1:12">
      <c s="58" r="A44" t="s">
        <v>183</v>
      </c>
      <c s="58" r="B44" t="s">
        <v>849</v>
      </c>
      <c s="58" r="C44" t="s">
        <v>87</v>
      </c>
      <c s="59" r="D44" t="s">
        <v>231</v>
      </c>
      <c s="59" r="E44" t="s">
        <v>100</v>
      </c>
      <c s="59" r="F44" t="s">
        <v>101</v>
      </c>
      <c s="19" r="G44" t="s">
        <v>29</v>
      </c>
      <c s="19" r="H44" t="s">
        <v>29</v>
      </c>
      <c s="19" r="I44" t="s">
        <v>29</v>
      </c>
      <c s="19" r="J44">
        <f>IF(G44="Sí", IF(H44="Sí", "DP", "SP"), IF(H44="Sí", "SD", "-"))</f>
        <v/>
      </c>
      <c s="18" r="K44">
        <f>IF(IFERROR(L44,7)=7,"",RIGHT(L44,LEN(L44)-2)&amp;".")</f>
        <v/>
      </c>
      <c s="18" r="L44">
        <f>IFERROR(__xludf.dummyfunction("CONCATENATE(ArrayFormula(""; ""&amp;QUERY(Hallazgos!A:E,""SELECT B WHERE E CONTAINS '""&amp;A3&amp;""' LABEL B ''"")))"),"#VALUE!")</f>
        <v/>
      </c>
    </row>
    <row customHeight="1" s="134" r="45" ht="15.75" spans="1:12">
      <c s="58" r="A45" t="s">
        <v>185</v>
      </c>
      <c s="58" r="B45" t="s">
        <v>233</v>
      </c>
      <c s="58" r="C45" t="s">
        <v>87</v>
      </c>
      <c s="59" r="D45" t="s">
        <v>231</v>
      </c>
      <c s="59" r="E45" t="s">
        <v>234</v>
      </c>
      <c s="59" r="F45" t="s">
        <v>101</v>
      </c>
      <c s="19" r="G45" t="s">
        <v>29</v>
      </c>
      <c s="19" r="H45" t="s">
        <v>29</v>
      </c>
      <c s="19" r="I45" t="s">
        <v>29</v>
      </c>
      <c s="19" r="J45">
        <f>IF(G45="Sí", IF(H45="Sí", "DP", "SP"), IF(H45="Sí", "SD", "-"))</f>
        <v/>
      </c>
      <c s="18" r="K45">
        <f>IF(IFERROR(L45,7)=7,"",RIGHT(L45,LEN(L45)-2)&amp;".")</f>
        <v/>
      </c>
      <c s="18" r="L45">
        <f>IFERROR(__xludf.dummyfunction("CONCATENATE(ArrayFormula(""; ""&amp;QUERY(Hallazgos!A:E,""SELECT B WHERE E CONTAINS '""&amp;A3&amp;""' LABEL B ''"")))"),"#VALUE!")</f>
        <v/>
      </c>
    </row>
    <row customHeight="1" s="134" r="46" ht="15.75" spans="1:12">
      <c s="58" r="A46" t="s">
        <v>187</v>
      </c>
      <c s="58" r="B46" t="s">
        <v>236</v>
      </c>
      <c s="58" r="C46" t="s">
        <v>87</v>
      </c>
      <c s="59" r="D46" t="s">
        <v>231</v>
      </c>
      <c s="59" r="E46" t="s">
        <v>127</v>
      </c>
      <c s="59" r="F46" t="s">
        <v>101</v>
      </c>
      <c s="19" r="G46" t="s">
        <v>29</v>
      </c>
      <c s="19" r="H46" t="s">
        <v>29</v>
      </c>
      <c s="19" r="I46" t="s">
        <v>29</v>
      </c>
      <c s="19" r="J46">
        <f>IF(G46="Sí", IF(H46="Sí", "DP", "SP"), IF(H46="Sí", "SD", "-"))</f>
        <v/>
      </c>
      <c s="18" r="K46">
        <f>IF(IFERROR(L46,7)=7,"",RIGHT(L46,LEN(L46)-2)&amp;".")</f>
        <v/>
      </c>
      <c s="18" r="L46">
        <f>IFERROR(__xludf.dummyfunction("CONCATENATE(ArrayFormula(""; ""&amp;QUERY(Hallazgos!A:E,""SELECT B WHERE E CONTAINS '""&amp;A3&amp;""' LABEL B ''"")))"),"#VALUE!")</f>
        <v/>
      </c>
    </row>
    <row customHeight="1" s="134" r="47" ht="15.75" spans="1:12">
      <c s="58" r="A47" t="s">
        <v>189</v>
      </c>
      <c s="58" r="B47" t="s">
        <v>238</v>
      </c>
      <c s="58" r="C47" t="s">
        <v>87</v>
      </c>
      <c s="59" r="D47" t="s">
        <v>231</v>
      </c>
      <c s="59" r="E47" t="s">
        <v>100</v>
      </c>
      <c s="59" r="F47" t="s">
        <v>101</v>
      </c>
      <c s="19" r="G47" t="s">
        <v>29</v>
      </c>
      <c s="19" r="H47" t="s">
        <v>29</v>
      </c>
      <c s="19" r="I47" t="s">
        <v>29</v>
      </c>
      <c s="19" r="J47">
        <f>IF(G47="Sí", IF(H47="Sí", "DP", "SP"), IF(H47="Sí", "SD", "-"))</f>
        <v/>
      </c>
      <c s="18" r="K47">
        <f>IF(IFERROR(L47,7)=7,"",RIGHT(L47,LEN(L47)-2)&amp;".")</f>
        <v/>
      </c>
      <c s="18" r="L47">
        <f>IFERROR(__xludf.dummyfunction("CONCATENATE(ArrayFormula(""; ""&amp;QUERY(Hallazgos!A:E,""SELECT B WHERE E CONTAINS '""&amp;A3&amp;""' LABEL B ''"")))"),"#VALUE!")</f>
        <v/>
      </c>
    </row>
    <row customHeight="1" s="134" r="48" ht="15.75" spans="1:12">
      <c s="58" r="A48" t="s">
        <v>191</v>
      </c>
      <c s="58" r="B48" t="s">
        <v>240</v>
      </c>
      <c s="58" r="C48" t="s">
        <v>87</v>
      </c>
      <c s="59" r="D48" t="s">
        <v>231</v>
      </c>
      <c s="59" r="E48" t="s">
        <v>122</v>
      </c>
      <c s="59" r="F48" t="s">
        <v>101</v>
      </c>
      <c s="19" r="G48" t="s">
        <v>29</v>
      </c>
      <c s="19" r="H48" t="s">
        <v>29</v>
      </c>
      <c s="19" r="I48" t="s">
        <v>29</v>
      </c>
      <c s="19" r="J48">
        <f>IF(G48="Sí", IF(H48="Sí", "DP", "SP"), IF(H48="Sí", "SD", "-"))</f>
        <v/>
      </c>
      <c s="18" r="K48">
        <f>IF(IFERROR(L48,7)=7,"",RIGHT(L48,LEN(L48)-2)&amp;".")</f>
        <v/>
      </c>
      <c s="18" r="L48">
        <f>IFERROR(__xludf.dummyfunction("CONCATENATE(ArrayFormula(""; ""&amp;QUERY(Hallazgos!A:E,""SELECT B WHERE E CONTAINS '""&amp;A3&amp;""' LABEL B ''"")))"),"#VALUE!")</f>
        <v/>
      </c>
    </row>
    <row customHeight="1" s="134" r="49" ht="15.75" spans="1:12">
      <c s="58" r="A49" t="s">
        <v>193</v>
      </c>
      <c s="58" r="B49" t="s">
        <v>850</v>
      </c>
      <c s="58" r="C49" t="s">
        <v>84</v>
      </c>
      <c s="59" r="D49" t="s">
        <v>231</v>
      </c>
      <c s="59" r="E49" t="s">
        <v>100</v>
      </c>
      <c s="59" r="F49" t="s">
        <v>101</v>
      </c>
      <c s="19" r="G49" t="s">
        <v>29</v>
      </c>
      <c s="19" r="H49" t="s">
        <v>29</v>
      </c>
      <c s="19" r="I49" t="s">
        <v>29</v>
      </c>
      <c s="19" r="J49">
        <f>IF(G49="Sí", IF(H49="Sí", "DP", "SP"), IF(H49="Sí", "SD", "-"))</f>
        <v/>
      </c>
      <c s="18" r="K49">
        <f>IF(IFERROR(L49,7)=7,"",RIGHT(L49,LEN(L49)-2)&amp;".")</f>
        <v/>
      </c>
      <c s="18" r="L49">
        <f>IFERROR(__xludf.dummyfunction("CONCATENATE(ArrayFormula(""; ""&amp;QUERY(Hallazgos!A:E,""SELECT B WHERE E CONTAINS '""&amp;A3&amp;""' LABEL B ''"")))"),"#VALUE!")</f>
        <v/>
      </c>
    </row>
    <row customHeight="1" s="134" r="50" ht="15.75" spans="1:12">
      <c s="58" r="A50" t="s">
        <v>195</v>
      </c>
      <c s="58" r="B50" t="s">
        <v>244</v>
      </c>
      <c s="58" r="C50" t="s">
        <v>66</v>
      </c>
      <c s="59" r="D50" t="s">
        <v>231</v>
      </c>
      <c s="59" r="E50" t="s">
        <v>122</v>
      </c>
      <c s="59" r="F50" t="s">
        <v>101</v>
      </c>
      <c s="19" r="G50" t="s">
        <v>29</v>
      </c>
      <c s="19" r="H50" t="s">
        <v>29</v>
      </c>
      <c s="19" r="I50" t="s">
        <v>29</v>
      </c>
      <c s="19" r="J50">
        <f>IF(G50="Sí", IF(H50="Sí", "DP", "SP"), IF(H50="Sí", "SD", "-"))</f>
        <v/>
      </c>
      <c s="18" r="K50">
        <f>IF(IFERROR(L50,7)=7,"",RIGHT(L50,LEN(L50)-2)&amp;".")</f>
        <v/>
      </c>
      <c s="18" r="L50">
        <f>IFERROR(__xludf.dummyfunction("CONCATENATE(ArrayFormula(""; ""&amp;QUERY(Hallazgos!A:E,""SELECT B WHERE E CONTAINS '""&amp;A3&amp;""' LABEL B ''"")))"),"#VALUE!")</f>
        <v/>
      </c>
    </row>
    <row customHeight="1" s="134" r="51" ht="15.75" spans="1:12">
      <c s="58" r="A51" t="s">
        <v>197</v>
      </c>
      <c s="58" r="B51" t="s">
        <v>246</v>
      </c>
      <c s="58" r="C51" t="s">
        <v>87</v>
      </c>
      <c s="59" r="D51" t="s">
        <v>231</v>
      </c>
      <c s="59" r="E51" t="s">
        <v>127</v>
      </c>
      <c s="59" r="F51" t="s">
        <v>101</v>
      </c>
      <c s="19" r="G51" t="s">
        <v>29</v>
      </c>
      <c s="19" r="H51" t="s">
        <v>29</v>
      </c>
      <c s="19" r="I51" t="s">
        <v>29</v>
      </c>
      <c s="19" r="J51">
        <f>IF(G51="Sí", IF(H51="Sí", "DP", "SP"), IF(H51="Sí", "SD", "-"))</f>
        <v/>
      </c>
      <c s="18" r="K51">
        <f>IF(IFERROR(L51,7)=7,"",RIGHT(L51,LEN(L51)-2)&amp;".")</f>
        <v/>
      </c>
      <c s="18" r="L51">
        <f>IFERROR(__xludf.dummyfunction("CONCATENATE(ArrayFormula(""; ""&amp;QUERY(Hallazgos!A:E,""SELECT B WHERE E CONTAINS '""&amp;A3&amp;""' LABEL B ''"")))"),"#VALUE!")</f>
        <v/>
      </c>
    </row>
    <row customHeight="1" s="134" r="52" ht="15.75" spans="1:12">
      <c s="58" r="A52" t="s">
        <v>199</v>
      </c>
      <c s="58" r="B52" t="s">
        <v>445</v>
      </c>
      <c s="58" r="C52" t="s">
        <v>87</v>
      </c>
      <c s="59" r="D52" t="s">
        <v>443</v>
      </c>
      <c s="59" r="E52" t="s">
        <v>127</v>
      </c>
      <c s="59" r="F52" t="s">
        <v>101</v>
      </c>
      <c s="19" r="G52" t="s">
        <v>29</v>
      </c>
      <c s="19" r="H52" t="s">
        <v>29</v>
      </c>
      <c s="19" r="I52" t="s">
        <v>29</v>
      </c>
      <c s="19" r="J52">
        <f>IF(G52="Sí", IF(H52="Sí", "DP", "SP"), IF(H52="Sí", "SD", "-"))</f>
        <v/>
      </c>
      <c s="18" r="K52">
        <f>IF(IFERROR(L52,7)=7,"",RIGHT(L52,LEN(L52)-2)&amp;".")</f>
        <v/>
      </c>
      <c s="18" r="L52">
        <f>IFERROR(__xludf.dummyfunction("CONCATENATE(ArrayFormula(""; ""&amp;QUERY(Hallazgos!A:E,""SELECT B WHERE E CONTAINS '""&amp;A3&amp;""' LABEL B ''"")))"),"#VALUE!")</f>
        <v/>
      </c>
    </row>
    <row customHeight="1" s="134" r="53" ht="15.75" spans="1:12">
      <c s="58" r="A53" t="s">
        <v>201</v>
      </c>
      <c s="58" r="B53" t="s">
        <v>851</v>
      </c>
      <c s="58" r="C53" t="s">
        <v>84</v>
      </c>
      <c s="59" r="D53" t="s">
        <v>394</v>
      </c>
      <c s="59" r="E53" t="s">
        <v>68</v>
      </c>
      <c s="59" r="F53" t="s">
        <v>119</v>
      </c>
      <c s="19" r="G53" t="s">
        <v>29</v>
      </c>
      <c s="19" r="H53" t="s">
        <v>29</v>
      </c>
      <c s="19" r="I53" t="s">
        <v>29</v>
      </c>
      <c s="19" r="J53">
        <f>IF(G53="Sí", IF(H53="Sí", "DP", "SP"), IF(H53="Sí", "SD", "-"))</f>
        <v/>
      </c>
      <c s="18" r="K53">
        <f>IF(IFERROR(L53,7)=7,"",RIGHT(L53,LEN(L53)-2)&amp;".")</f>
        <v/>
      </c>
      <c s="18" r="L53">
        <f>IFERROR(__xludf.dummyfunction("CONCATENATE(ArrayFormula(""; ""&amp;QUERY(Hallazgos!A:E,""SELECT B WHERE E CONTAINS '""&amp;A3&amp;""' LABEL B ''"")))"),"#VALUE!")</f>
        <v/>
      </c>
    </row>
    <row customHeight="1" s="134" r="54" ht="15.75" spans="1:12">
      <c s="58" r="A54" t="s">
        <v>203</v>
      </c>
      <c s="58" r="B54" t="s">
        <v>400</v>
      </c>
      <c s="58" r="C54" t="s">
        <v>84</v>
      </c>
      <c s="59" r="D54" t="s">
        <v>394</v>
      </c>
      <c s="59" r="E54" t="s">
        <v>160</v>
      </c>
      <c s="59" r="F54" t="s">
        <v>119</v>
      </c>
      <c s="19" r="G54" t="s">
        <v>29</v>
      </c>
      <c s="19" r="H54" t="s">
        <v>29</v>
      </c>
      <c s="19" r="I54" t="s">
        <v>29</v>
      </c>
      <c s="19" r="J54">
        <f>IF(G54="Sí", IF(H54="Sí", "DP", "SP"), IF(H54="Sí", "SD", "-"))</f>
        <v/>
      </c>
      <c s="18" r="K54">
        <f>IF(IFERROR(L54,7)=7,"",RIGHT(L54,LEN(L54)-2)&amp;".")</f>
        <v/>
      </c>
      <c s="18" r="L54">
        <f>IFERROR(__xludf.dummyfunction("CONCATENATE(ArrayFormula(""; ""&amp;QUERY(Hallazgos!A:E,""SELECT B WHERE E CONTAINS '""&amp;A3&amp;""' LABEL B ''"")))"),"#VALUE!")</f>
        <v/>
      </c>
    </row>
    <row customHeight="1" s="134" r="55" ht="15.75" spans="1:12">
      <c s="58" r="A55" t="s">
        <v>205</v>
      </c>
      <c s="58" r="B55" t="s">
        <v>402</v>
      </c>
      <c s="58" r="C55" t="s">
        <v>87</v>
      </c>
      <c s="59" r="D55" t="s">
        <v>394</v>
      </c>
      <c s="59" r="E55" t="s">
        <v>127</v>
      </c>
      <c s="59" r="F55" t="s">
        <v>119</v>
      </c>
      <c s="19" r="G55" t="s">
        <v>29</v>
      </c>
      <c s="19" r="H55" t="s">
        <v>29</v>
      </c>
      <c s="19" r="I55" t="s">
        <v>29</v>
      </c>
      <c s="19" r="J55">
        <f>IF(G55="Sí", IF(H55="Sí", "DP", "SP"), IF(H55="Sí", "SD", "-"))</f>
        <v/>
      </c>
      <c s="18" r="K55">
        <f>IF(IFERROR(L55,7)=7,"",RIGHT(L55,LEN(L55)-2)&amp;".")</f>
        <v/>
      </c>
      <c s="18" r="L55">
        <f>IFERROR(__xludf.dummyfunction("CONCATENATE(ArrayFormula(""; ""&amp;QUERY(Hallazgos!A:E,""SELECT B WHERE E CONTAINS '""&amp;A3&amp;""' LABEL B ''"")))"),"#VALUE!")</f>
        <v/>
      </c>
    </row>
    <row customHeight="1" s="134" r="56" ht="15.75" spans="1:12">
      <c s="58" r="A56" t="s">
        <v>207</v>
      </c>
      <c s="58" r="B56" t="s">
        <v>404</v>
      </c>
      <c s="58" r="C56" t="s">
        <v>87</v>
      </c>
      <c s="59" r="D56" t="s">
        <v>394</v>
      </c>
      <c s="59" r="E56" t="s">
        <v>160</v>
      </c>
      <c s="59" r="F56" t="s">
        <v>119</v>
      </c>
      <c s="19" r="G56" t="s">
        <v>29</v>
      </c>
      <c s="19" r="H56" t="s">
        <v>29</v>
      </c>
      <c s="19" r="I56" t="s">
        <v>29</v>
      </c>
      <c s="19" r="J56">
        <f>IF(G56="Sí", IF(H56="Sí", "DP", "SP"), IF(H56="Sí", "SD", "-"))</f>
        <v/>
      </c>
      <c s="18" r="K56">
        <f>IF(IFERROR(L56,7)=7,"",RIGHT(L56,LEN(L56)-2)&amp;".")</f>
        <v/>
      </c>
      <c s="18" r="L56">
        <f>IFERROR(__xludf.dummyfunction("CONCATENATE(ArrayFormula(""; ""&amp;QUERY(Hallazgos!A:E,""SELECT B WHERE E CONTAINS '""&amp;A3&amp;""' LABEL B ''"")))"),"#VALUE!")</f>
        <v/>
      </c>
    </row>
    <row customHeight="1" s="134" r="57" ht="15.75" spans="1:12">
      <c s="58" r="A57" t="s">
        <v>209</v>
      </c>
      <c s="58" r="B57" t="s">
        <v>406</v>
      </c>
      <c s="58" r="C57" t="s">
        <v>66</v>
      </c>
      <c s="59" r="D57" t="s">
        <v>394</v>
      </c>
      <c s="59" r="E57" t="s">
        <v>160</v>
      </c>
      <c s="59" r="F57" t="s">
        <v>119</v>
      </c>
      <c s="19" r="G57" t="s">
        <v>29</v>
      </c>
      <c s="19" r="H57" t="s">
        <v>29</v>
      </c>
      <c s="19" r="I57" t="s">
        <v>29</v>
      </c>
      <c s="19" r="J57">
        <f>IF(G57="Sí", IF(H57="Sí", "DP", "SP"), IF(H57="Sí", "SD", "-"))</f>
        <v/>
      </c>
      <c s="18" r="K57">
        <f>IF(IFERROR(L57,7)=7,"",RIGHT(L57,LEN(L57)-2)&amp;".")</f>
        <v/>
      </c>
      <c s="18" r="L57">
        <f>IFERROR(__xludf.dummyfunction("CONCATENATE(ArrayFormula(""; ""&amp;QUERY(Hallazgos!A:E,""SELECT B WHERE E CONTAINS '""&amp;A3&amp;""' LABEL B ''"")))"),"#VALUE!")</f>
        <v/>
      </c>
    </row>
    <row customHeight="1" s="134" r="58" ht="15.75" spans="1:12">
      <c s="61" r="A58" t="s">
        <v>211</v>
      </c>
      <c s="58" r="B58" t="s">
        <v>408</v>
      </c>
      <c s="61" r="C58" t="s">
        <v>87</v>
      </c>
      <c s="59" r="D58" t="s">
        <v>394</v>
      </c>
      <c s="59" r="E58" t="s">
        <v>127</v>
      </c>
      <c s="59" r="F58" t="s">
        <v>148</v>
      </c>
      <c s="19" r="G58" t="s">
        <v>29</v>
      </c>
      <c s="19" r="H58" t="s">
        <v>29</v>
      </c>
      <c s="19" r="I58" t="s">
        <v>29</v>
      </c>
      <c s="19" r="J58">
        <f>IF(G58="Sí", IF(H58="Sí", "DP", "SP"), IF(H58="Sí", "SD", "-"))</f>
        <v/>
      </c>
      <c s="18" r="K58">
        <f>IF(IFERROR(L58,7)=7,"",RIGHT(L58,LEN(L58)-2)&amp;".")</f>
        <v/>
      </c>
      <c s="18" r="L58">
        <f>IFERROR(__xludf.dummyfunction("CONCATENATE(ArrayFormula(""; ""&amp;QUERY(Hallazgos!A:E,""SELECT B WHERE E CONTAINS '""&amp;A3&amp;""' LABEL B ''"")))"),"#VALUE!")</f>
        <v/>
      </c>
    </row>
    <row customHeight="1" s="134" r="59" ht="15.75" spans="1:12">
      <c s="61" r="A59" t="s">
        <v>213</v>
      </c>
      <c s="58" r="B59" t="s">
        <v>410</v>
      </c>
      <c s="61" r="C59" t="s">
        <v>87</v>
      </c>
      <c s="59" r="D59" t="s">
        <v>394</v>
      </c>
      <c s="59" r="E59" t="s">
        <v>160</v>
      </c>
      <c s="59" r="F59" t="s">
        <v>119</v>
      </c>
      <c s="19" r="G59" t="s">
        <v>29</v>
      </c>
      <c s="19" r="H59" t="s">
        <v>29</v>
      </c>
      <c s="19" r="I59" t="s">
        <v>29</v>
      </c>
      <c s="19" r="J59">
        <f>IF(G59="Sí", IF(H59="Sí", "DP", "SP"), IF(H59="Sí", "SD", "-"))</f>
        <v/>
      </c>
      <c s="18" r="K59">
        <f>IF(IFERROR(L59,7)=7,"",RIGHT(L59,LEN(L59)-2)&amp;".")</f>
        <v/>
      </c>
      <c s="18" r="L59">
        <f>IFERROR(__xludf.dummyfunction("CONCATENATE(ArrayFormula(""; ""&amp;QUERY(Hallazgos!A:E,""SELECT B WHERE E CONTAINS '""&amp;A3&amp;""' LABEL B ''"")))"),"#VALUE!")</f>
        <v/>
      </c>
    </row>
    <row customHeight="1" s="134" r="60" ht="15.75" spans="1:12">
      <c s="60" r="A60" t="s">
        <v>215</v>
      </c>
      <c s="60" r="B60" t="s">
        <v>852</v>
      </c>
      <c s="60" r="C60" t="s">
        <v>87</v>
      </c>
      <c s="59" r="D60" t="s">
        <v>394</v>
      </c>
      <c s="59" r="E60" t="s">
        <v>160</v>
      </c>
      <c s="59" r="F60" t="s">
        <v>119</v>
      </c>
      <c s="19" r="G60" t="s">
        <v>29</v>
      </c>
      <c s="19" r="H60" t="s">
        <v>29</v>
      </c>
      <c s="19" r="I60" t="s">
        <v>29</v>
      </c>
      <c s="19" r="J60">
        <f>IF(G60="Sí", IF(H60="Sí", "DP", "SP"), IF(H60="Sí", "SD", "-"))</f>
        <v/>
      </c>
      <c s="18" r="K60">
        <f>IF(IFERROR(L60,7)=7,"",RIGHT(L60,LEN(L60)-2)&amp;".")</f>
        <v/>
      </c>
      <c s="18" r="L60">
        <f>IFERROR(__xludf.dummyfunction("CONCATENATE(ArrayFormula(""; ""&amp;QUERY(Hallazgos!A:E,""SELECT B WHERE E CONTAINS '""&amp;A3&amp;""' LABEL B ''"")))"),"#VALUE!")</f>
        <v/>
      </c>
    </row>
    <row customHeight="1" s="134" r="61" ht="15.75" spans="1:12">
      <c s="60" r="A61" t="s">
        <v>217</v>
      </c>
      <c s="60" r="B61" t="s">
        <v>180</v>
      </c>
      <c s="60" r="C61" t="s">
        <v>84</v>
      </c>
      <c s="59" r="D61" t="s">
        <v>581</v>
      </c>
      <c s="59" r="E61" t="s">
        <v>122</v>
      </c>
      <c s="59" r="F61" t="s">
        <v>119</v>
      </c>
      <c s="19" r="G61" t="s">
        <v>29</v>
      </c>
      <c s="19" r="H61" t="s">
        <v>29</v>
      </c>
      <c s="19" r="I61" t="s">
        <v>29</v>
      </c>
      <c s="19" r="J61">
        <f>IF(G61="Sí", IF(H61="Sí", "DP", "SP"), IF(H61="Sí", "SD", "-"))</f>
        <v/>
      </c>
      <c s="18" r="K61">
        <f>IF(IFERROR(L61,7)=7,"",RIGHT(L61,LEN(L61)-2)&amp;".")</f>
        <v/>
      </c>
      <c s="18" r="L61">
        <f>IFERROR(__xludf.dummyfunction("CONCATENATE(ArrayFormula(""; ""&amp;QUERY(Hallazgos!A:E,""SELECT B WHERE E CONTAINS '""&amp;A3&amp;""' LABEL B ''"")))"),"#VALUE!")</f>
        <v/>
      </c>
    </row>
    <row customHeight="1" s="134" r="62" ht="15.75" spans="1:12">
      <c s="60" r="A62" t="s">
        <v>219</v>
      </c>
      <c s="60" r="B62" t="s">
        <v>853</v>
      </c>
      <c s="60" r="C62" t="s">
        <v>87</v>
      </c>
      <c s="59" r="D62" t="s">
        <v>147</v>
      </c>
      <c s="59" r="E62" t="s">
        <v>160</v>
      </c>
      <c s="59" r="F62" t="s">
        <v>119</v>
      </c>
      <c s="19" r="G62" t="s">
        <v>29</v>
      </c>
      <c s="19" r="H62" t="s">
        <v>29</v>
      </c>
      <c s="19" r="I62" t="s">
        <v>29</v>
      </c>
      <c s="19" r="J62">
        <f>IF(G62="Sí", IF(H62="Sí", "DP", "SP"), IF(H62="Sí", "SD", "-"))</f>
        <v/>
      </c>
      <c s="18" r="K62">
        <f>IF(IFERROR(L62,7)=7,"",RIGHT(L62,LEN(L62)-2)&amp;".")</f>
        <v/>
      </c>
      <c s="18" r="L62">
        <f>IFERROR(__xludf.dummyfunction("CONCATENATE(ArrayFormula(""; ""&amp;QUERY(Hallazgos!A:E,""SELECT B WHERE E CONTAINS '""&amp;A3&amp;""' LABEL B ''"")))"),"#VALUE!")</f>
        <v/>
      </c>
    </row>
    <row customHeight="1" s="134" r="63" ht="15.75" spans="1:12">
      <c s="61" r="A63" t="s">
        <v>221</v>
      </c>
      <c s="60" r="B63" t="s">
        <v>166</v>
      </c>
      <c s="61" r="C63" t="s">
        <v>87</v>
      </c>
      <c s="59" r="D63" t="s">
        <v>147</v>
      </c>
      <c s="59" r="E63" t="s">
        <v>160</v>
      </c>
      <c s="59" r="F63" t="s">
        <v>119</v>
      </c>
      <c s="19" r="G63" t="s">
        <v>29</v>
      </c>
      <c s="19" r="H63" t="s">
        <v>29</v>
      </c>
      <c s="19" r="I63" t="s">
        <v>29</v>
      </c>
      <c s="19" r="J63">
        <f>IF(G63="Sí", IF(H63="Sí", "DP", "SP"), IF(H63="Sí", "SD", "-"))</f>
        <v/>
      </c>
      <c s="18" r="K63">
        <f>IF(IFERROR(L63,7)=7,"",RIGHT(L63,LEN(L63)-2)&amp;".")</f>
        <v/>
      </c>
      <c s="18" r="L63">
        <f>IFERROR(__xludf.dummyfunction("CONCATENATE(ArrayFormula(""; ""&amp;QUERY(Hallazgos!A:E,""SELECT B WHERE E CONTAINS '""&amp;A3&amp;""' LABEL B ''"")))"),"#VALUE!")</f>
        <v/>
      </c>
    </row>
    <row customHeight="1" s="134" r="64" ht="15.75" spans="1:12">
      <c s="58" r="A64" t="s">
        <v>224</v>
      </c>
      <c s="58" r="B64" t="s">
        <v>414</v>
      </c>
      <c s="58" r="C64" t="s">
        <v>87</v>
      </c>
      <c s="59" r="D64" t="s">
        <v>394</v>
      </c>
      <c s="59" r="E64" t="s">
        <v>176</v>
      </c>
      <c s="59" r="F64" t="s">
        <v>119</v>
      </c>
      <c s="19" r="G64" t="s">
        <v>29</v>
      </c>
      <c s="19" r="H64" t="s">
        <v>29</v>
      </c>
      <c s="19" r="I64" t="s">
        <v>29</v>
      </c>
      <c s="19" r="J64">
        <f>IF(G64="Sí", IF(H64="Sí", "DP", "SP"), IF(H64="Sí", "SD", "-"))</f>
        <v/>
      </c>
      <c s="18" r="K64">
        <f>IF(IFERROR(L64,7)=7,"",RIGHT(L64,LEN(L64)-2)&amp;".")</f>
        <v/>
      </c>
      <c s="18" r="L64">
        <f>IFERROR(__xludf.dummyfunction("CONCATENATE(ArrayFormula(""; ""&amp;QUERY(Hallazgos!A:E,""SELECT B WHERE E CONTAINS '""&amp;A3&amp;""' LABEL B ''"")))"),"#VALUE!")</f>
        <v/>
      </c>
    </row>
    <row customHeight="1" s="134" r="65" ht="15.75" spans="1:12">
      <c s="58" r="A65" t="s">
        <v>227</v>
      </c>
      <c s="58" r="B65" t="s">
        <v>416</v>
      </c>
      <c s="58" r="C65" t="s">
        <v>87</v>
      </c>
      <c s="59" r="D65" t="s">
        <v>394</v>
      </c>
      <c s="59" r="E65" t="s">
        <v>176</v>
      </c>
      <c s="59" r="F65" t="s">
        <v>119</v>
      </c>
      <c s="19" r="G65" t="s">
        <v>29</v>
      </c>
      <c s="19" r="H65" t="s">
        <v>29</v>
      </c>
      <c s="19" r="I65" t="s">
        <v>29</v>
      </c>
      <c s="19" r="J65">
        <f>IF(G65="Sí", IF(H65="Sí", "DP", "SP"), IF(H65="Sí", "SD", "-"))</f>
        <v/>
      </c>
      <c s="18" r="K65">
        <f>IF(IFERROR(L65,7)=7,"",RIGHT(L65,LEN(L65)-2)&amp;".")</f>
        <v/>
      </c>
      <c s="18" r="L65">
        <f>IFERROR(__xludf.dummyfunction("CONCATENATE(ArrayFormula(""; ""&amp;QUERY(Hallazgos!A:E,""SELECT B WHERE E CONTAINS '""&amp;A3&amp;""' LABEL B ''"")))"),"#VALUE!")</f>
        <v/>
      </c>
    </row>
    <row customHeight="1" s="134" r="66" ht="15.75" spans="1:12">
      <c s="58" r="A66" t="s">
        <v>229</v>
      </c>
      <c s="58" r="B66" t="s">
        <v>418</v>
      </c>
      <c s="58" r="C66" t="s">
        <v>87</v>
      </c>
      <c s="59" r="D66" t="s">
        <v>394</v>
      </c>
      <c s="59" r="E66" t="s">
        <v>223</v>
      </c>
      <c s="59" r="F66" t="s">
        <v>119</v>
      </c>
      <c s="19" r="G66" t="s">
        <v>29</v>
      </c>
      <c s="19" r="H66" t="s">
        <v>29</v>
      </c>
      <c s="19" r="I66" t="s">
        <v>29</v>
      </c>
      <c s="19" r="J66">
        <f>IF(G66="Sí", IF(H66="Sí", "DP", "SP"), IF(H66="Sí", "SD", "-"))</f>
        <v/>
      </c>
      <c s="18" r="K66">
        <f>IF(IFERROR(L66,7)=7,"",RIGHT(L66,LEN(L66)-2)&amp;".")</f>
        <v/>
      </c>
      <c s="18" r="L66">
        <f>IFERROR(__xludf.dummyfunction("CONCATENATE(ArrayFormula(""; ""&amp;QUERY(Hallazgos!A:E,""SELECT B WHERE E CONTAINS '""&amp;A3&amp;""' LABEL B ''"")))"),"#VALUE!")</f>
        <v/>
      </c>
    </row>
    <row customHeight="1" s="134" r="67" ht="15.75" spans="1:12">
      <c s="58" r="A67" t="s">
        <v>232</v>
      </c>
      <c s="58" r="B67" t="s">
        <v>854</v>
      </c>
      <c s="58" r="C67" t="s">
        <v>87</v>
      </c>
      <c s="59" r="D67" t="s">
        <v>394</v>
      </c>
      <c s="59" r="E67" t="s">
        <v>223</v>
      </c>
      <c s="59" r="F67" t="s">
        <v>119</v>
      </c>
      <c s="19" r="G67" t="s">
        <v>29</v>
      </c>
      <c s="19" r="H67" t="s">
        <v>29</v>
      </c>
      <c s="19" r="I67" t="s">
        <v>29</v>
      </c>
      <c s="19" r="J67">
        <f>IF(G67="Sí", IF(H67="Sí", "DP", "SP"), IF(H67="Sí", "SD", "-"))</f>
        <v/>
      </c>
      <c s="18" r="K67">
        <f>IF(IFERROR(L67,7)=7,"",RIGHT(L67,LEN(L67)-2)&amp;".")</f>
        <v/>
      </c>
      <c s="18" r="L67">
        <f>IFERROR(__xludf.dummyfunction("CONCATENATE(ArrayFormula(""; ""&amp;QUERY(Hallazgos!A:E,""SELECT B WHERE E CONTAINS '""&amp;A3&amp;""' LABEL B ''"")))"),"#VALUE!")</f>
        <v/>
      </c>
    </row>
    <row customHeight="1" s="134" r="68" ht="15.75" spans="1:12">
      <c s="58" r="A68" t="s">
        <v>235</v>
      </c>
      <c s="58" r="B68" t="s">
        <v>422</v>
      </c>
      <c s="58" r="C68" t="s">
        <v>87</v>
      </c>
      <c s="59" r="D68" t="s">
        <v>394</v>
      </c>
      <c s="59" r="E68" t="s">
        <v>176</v>
      </c>
      <c s="59" r="F68" t="s">
        <v>119</v>
      </c>
      <c s="19" r="G68" t="s">
        <v>29</v>
      </c>
      <c s="19" r="H68" t="s">
        <v>29</v>
      </c>
      <c s="19" r="I68" t="s">
        <v>29</v>
      </c>
      <c s="19" r="J68">
        <f>IF(G68="Sí", IF(H68="Sí", "DP", "SP"), IF(H68="Sí", "SD", "-"))</f>
        <v/>
      </c>
      <c s="18" r="K68">
        <f>IF(IFERROR(L68,7)=7,"",RIGHT(L68,LEN(L68)-2)&amp;".")</f>
        <v/>
      </c>
      <c s="18" r="L68">
        <f>IFERROR(__xludf.dummyfunction("CONCATENATE(ArrayFormula(""; ""&amp;QUERY(Hallazgos!A:E,""SELECT B WHERE E CONTAINS '""&amp;A3&amp;""' LABEL B ''"")))"),"#VALUE!")</f>
        <v/>
      </c>
    </row>
    <row customHeight="1" s="134" r="69" ht="15.75" spans="1:12">
      <c s="58" r="A69" t="s">
        <v>237</v>
      </c>
      <c s="58" r="B69" t="s">
        <v>855</v>
      </c>
      <c s="61" r="C69" t="s">
        <v>87</v>
      </c>
      <c s="59" r="D69" t="s">
        <v>394</v>
      </c>
      <c s="59" r="E69" t="s">
        <v>223</v>
      </c>
      <c s="59" r="F69" t="s">
        <v>119</v>
      </c>
      <c s="19" r="G69" t="s">
        <v>29</v>
      </c>
      <c s="19" r="H69" t="s">
        <v>29</v>
      </c>
      <c s="19" r="I69" t="s">
        <v>29</v>
      </c>
      <c s="19" r="J69">
        <f>IF(G69="Sí", IF(H69="Sí", "DP", "SP"), IF(H69="Sí", "SD", "-"))</f>
        <v/>
      </c>
      <c s="18" r="K69">
        <f>IF(IFERROR(L69,7)=7,"",RIGHT(L69,LEN(L69)-2)&amp;".")</f>
        <v/>
      </c>
      <c s="18" r="L69">
        <f>IFERROR(__xludf.dummyfunction("CONCATENATE(ArrayFormula(""; ""&amp;QUERY(Hallazgos!A:E,""SELECT B WHERE E CONTAINS '""&amp;A3&amp;""' LABEL B ''"")))"),"#VALUE!")</f>
        <v/>
      </c>
    </row>
    <row customHeight="1" s="134" r="70" ht="15.75" spans="1:12">
      <c s="58" r="A70" t="s">
        <v>239</v>
      </c>
      <c s="58" r="B70" t="s">
        <v>426</v>
      </c>
      <c s="61" r="C70" t="s">
        <v>87</v>
      </c>
      <c s="59" r="D70" t="s">
        <v>394</v>
      </c>
      <c s="59" r="E70" t="s">
        <v>176</v>
      </c>
      <c s="59" r="F70" t="s">
        <v>119</v>
      </c>
      <c s="19" r="G70" t="s">
        <v>29</v>
      </c>
      <c s="19" r="H70" t="s">
        <v>29</v>
      </c>
      <c s="19" r="I70" t="s">
        <v>29</v>
      </c>
      <c s="19" r="J70">
        <f>IF(G70="Sí", IF(H70="Sí", "DP", "SP"), IF(H70="Sí", "SD", "-"))</f>
        <v/>
      </c>
      <c s="18" r="K70">
        <f>IF(IFERROR(L70,7)=7,"",RIGHT(L70,LEN(L70)-2)&amp;".")</f>
        <v/>
      </c>
      <c s="18" r="L70">
        <f>IFERROR(__xludf.dummyfunction("CONCATENATE(ArrayFormula(""; ""&amp;QUERY(Hallazgos!A:E,""SELECT B WHERE E CONTAINS '""&amp;A3&amp;""' LABEL B ''"")))"),"#VALUE!")</f>
        <v/>
      </c>
    </row>
    <row customHeight="1" s="134" r="71" ht="15.75" spans="1:12">
      <c s="58" r="A71" t="s">
        <v>243</v>
      </c>
      <c s="58" r="B71" t="s">
        <v>428</v>
      </c>
      <c s="61" r="C71" t="s">
        <v>87</v>
      </c>
      <c s="59" r="D71" t="s">
        <v>394</v>
      </c>
      <c s="59" r="E71" t="s">
        <v>160</v>
      </c>
      <c s="59" r="F71" t="s">
        <v>119</v>
      </c>
      <c s="19" r="G71" t="s">
        <v>29</v>
      </c>
      <c s="19" r="H71" t="s">
        <v>29</v>
      </c>
      <c s="19" r="I71" t="s">
        <v>29</v>
      </c>
      <c s="19" r="J71">
        <f>IF(G71="Sí", IF(H71="Sí", "DP", "SP"), IF(H71="Sí", "SD", "-"))</f>
        <v/>
      </c>
      <c s="18" r="K71">
        <f>IF(IFERROR(L71,7)=7,"",RIGHT(L71,LEN(L71)-2)&amp;".")</f>
        <v/>
      </c>
      <c s="18" r="L71">
        <f>IFERROR(__xludf.dummyfunction("CONCATENATE(ArrayFormula(""; ""&amp;QUERY(Hallazgos!A:E,""SELECT B WHERE E CONTAINS '""&amp;A3&amp;""' LABEL B ''"")))"),"#VALUE!")</f>
        <v/>
      </c>
    </row>
    <row customHeight="1" s="134" r="72" ht="15.75" spans="1:12">
      <c s="58" r="A72" t="s">
        <v>245</v>
      </c>
      <c s="58" r="B72" t="s">
        <v>856</v>
      </c>
      <c s="58" r="C72" t="s">
        <v>87</v>
      </c>
      <c s="59" r="D72" t="s">
        <v>394</v>
      </c>
      <c s="59" r="E72" t="s">
        <v>176</v>
      </c>
      <c s="59" r="F72" t="s">
        <v>119</v>
      </c>
      <c s="19" r="G72" t="s">
        <v>29</v>
      </c>
      <c s="19" r="H72" t="s">
        <v>29</v>
      </c>
      <c s="19" r="I72" t="s">
        <v>29</v>
      </c>
      <c s="19" r="J72">
        <f>IF(G72="Sí", IF(H72="Sí", "DP", "SP"), IF(H72="Sí", "SD", "-"))</f>
        <v/>
      </c>
      <c s="18" r="K72">
        <f>IF(IFERROR(L72,7)=7,"",RIGHT(L72,LEN(L72)-2)&amp;".")</f>
        <v/>
      </c>
      <c s="18" r="L72">
        <f>IFERROR(__xludf.dummyfunction("CONCATENATE(ArrayFormula(""; ""&amp;QUERY(Hallazgos!A:E,""SELECT B WHERE E CONTAINS '""&amp;A3&amp;""' LABEL B ''"")))"),"#VALUE!")</f>
        <v/>
      </c>
    </row>
    <row customHeight="1" s="134" r="73" ht="15.75" spans="1:12">
      <c s="58" r="A73" t="s">
        <v>247</v>
      </c>
      <c s="58" r="B73" t="s">
        <v>432</v>
      </c>
      <c s="58" r="C73" t="s">
        <v>87</v>
      </c>
      <c s="59" r="D73" t="s">
        <v>394</v>
      </c>
      <c s="59" r="E73" t="s">
        <v>127</v>
      </c>
      <c s="59" r="F73" t="s">
        <v>148</v>
      </c>
      <c s="19" r="G73" t="s">
        <v>29</v>
      </c>
      <c s="19" r="H73" t="s">
        <v>29</v>
      </c>
      <c s="19" r="I73" t="s">
        <v>29</v>
      </c>
      <c s="19" r="J73">
        <f>IF(G73="Sí", IF(H73="Sí", "DP", "SP"), IF(H73="Sí", "SD", "-"))</f>
        <v/>
      </c>
      <c s="18" r="K73">
        <f>IF(IFERROR(L73,7)=7,"",RIGHT(L73,LEN(L73)-2)&amp;".")</f>
        <v/>
      </c>
      <c s="18" r="L73">
        <f>IFERROR(__xludf.dummyfunction("CONCATENATE(ArrayFormula(""; ""&amp;QUERY(Hallazgos!A:E,""SELECT B WHERE E CONTAINS '""&amp;A3&amp;""' LABEL B ''"")))"),"#VALUE!")</f>
        <v/>
      </c>
    </row>
    <row customHeight="1" s="134" r="74" ht="15.75" spans="1:12">
      <c s="58" r="A74" t="s">
        <v>249</v>
      </c>
      <c s="58" r="B74" t="s">
        <v>228</v>
      </c>
      <c s="61" r="C74" t="s">
        <v>66</v>
      </c>
      <c s="59" r="D74" t="s">
        <v>857</v>
      </c>
      <c s="59" r="E74" t="s">
        <v>155</v>
      </c>
      <c s="59" r="F74" t="s">
        <v>101</v>
      </c>
      <c s="19" r="G74" t="s">
        <v>29</v>
      </c>
      <c s="19" r="H74" t="s">
        <v>29</v>
      </c>
      <c s="19" r="I74" t="s">
        <v>29</v>
      </c>
      <c s="19" r="J74">
        <f>IF(G74="Sí", IF(H74="Sí", "DP", "SP"), IF(H74="Sí", "SD", "-"))</f>
        <v/>
      </c>
      <c s="18" r="K74">
        <f>IF(IFERROR(L74,7)=7,"",RIGHT(L74,LEN(L74)-2)&amp;".")</f>
        <v/>
      </c>
      <c s="18" r="L74">
        <f>IFERROR(__xludf.dummyfunction("CONCATENATE(ArrayFormula(""; ""&amp;QUERY(Hallazgos!A:E,""SELECT B WHERE E CONTAINS '""&amp;A3&amp;""' LABEL B ''"")))"),"#VALUE!")</f>
        <v/>
      </c>
    </row>
    <row customHeight="1" s="134" r="75" ht="15.75" spans="1:12">
      <c s="58" r="A75" t="s">
        <v>251</v>
      </c>
      <c s="58" r="B75" t="s">
        <v>311</v>
      </c>
      <c s="61" r="C75" t="s">
        <v>66</v>
      </c>
      <c s="59" r="D75" t="s">
        <v>312</v>
      </c>
      <c s="59" r="E75" t="s">
        <v>160</v>
      </c>
      <c s="59" r="F75" t="s">
        <v>101</v>
      </c>
      <c s="19" r="G75" t="s">
        <v>29</v>
      </c>
      <c s="19" r="H75" t="s">
        <v>29</v>
      </c>
      <c s="19" r="I75" t="s">
        <v>29</v>
      </c>
      <c s="19" r="J75">
        <f>IF(G75="Sí", IF(H75="Sí", "DP", "SP"), IF(H75="Sí", "SD", "-"))</f>
        <v/>
      </c>
      <c s="18" r="K75">
        <f>IF(IFERROR(L75,7)=7,"",RIGHT(L75,LEN(L75)-2)&amp;".")</f>
        <v/>
      </c>
      <c s="18" r="L75">
        <f>IFERROR(__xludf.dummyfunction("CONCATENATE(ArrayFormula(""; ""&amp;QUERY(Hallazgos!A:E,""SELECT B WHERE E CONTAINS '""&amp;A3&amp;""' LABEL B ''"")))"),"#VALUE!")</f>
        <v/>
      </c>
    </row>
    <row customHeight="1" s="134" r="76" ht="15.75" spans="1:12">
      <c s="58" r="A76" t="s">
        <v>253</v>
      </c>
      <c s="58" r="B76" t="s">
        <v>858</v>
      </c>
      <c s="61" r="C76" t="s">
        <v>66</v>
      </c>
      <c s="59" r="D76" t="s">
        <v>312</v>
      </c>
      <c s="59" r="E76" t="s">
        <v>160</v>
      </c>
      <c s="59" r="F76" t="s">
        <v>101</v>
      </c>
      <c s="19" r="G76" t="s">
        <v>29</v>
      </c>
      <c s="19" r="H76" t="s">
        <v>29</v>
      </c>
      <c s="19" r="I76" t="s">
        <v>29</v>
      </c>
      <c s="19" r="J76">
        <f>IF(G76="Sí", IF(H76="Sí", "DP", "SP"), IF(H76="Sí", "SD", "-"))</f>
        <v/>
      </c>
      <c s="18" r="K76">
        <f>IF(IFERROR(L76,7)=7,"",RIGHT(L76,LEN(L76)-2)&amp;".")</f>
        <v/>
      </c>
      <c s="18" r="L76">
        <f>IFERROR(__xludf.dummyfunction("CONCATENATE(ArrayFormula(""; ""&amp;QUERY(Hallazgos!A:E,""SELECT B WHERE E CONTAINS '""&amp;A3&amp;""' LABEL B ''"")))"),"#VALUE!")</f>
        <v/>
      </c>
    </row>
    <row customHeight="1" s="134" r="77" ht="15.75" spans="1:12">
      <c s="58" r="A77" t="s">
        <v>255</v>
      </c>
      <c s="58" r="B77" t="s">
        <v>859</v>
      </c>
      <c s="61" r="C77" t="s">
        <v>66</v>
      </c>
      <c s="59" r="D77" t="s">
        <v>312</v>
      </c>
      <c s="59" r="E77" t="s">
        <v>160</v>
      </c>
      <c s="59" r="F77" t="s">
        <v>101</v>
      </c>
      <c s="19" r="G77" t="s">
        <v>29</v>
      </c>
      <c s="19" r="H77" t="s">
        <v>29</v>
      </c>
      <c s="19" r="I77" t="s">
        <v>29</v>
      </c>
      <c s="19" r="J77">
        <f>IF(G77="Sí", IF(H77="Sí", "DP", "SP"), IF(H77="Sí", "SD", "-"))</f>
        <v/>
      </c>
      <c s="18" r="K77">
        <f>IF(IFERROR(L77,7)=7,"",RIGHT(L77,LEN(L77)-2)&amp;".")</f>
        <v/>
      </c>
      <c s="18" r="L77">
        <f>IFERROR(__xludf.dummyfunction("CONCATENATE(ArrayFormula(""; ""&amp;QUERY(Hallazgos!A:E,""SELECT B WHERE E CONTAINS '""&amp;A3&amp;""' LABEL B ''"")))"),"#VALUE!")</f>
        <v/>
      </c>
    </row>
    <row customHeight="1" s="134" r="78" ht="15.75" spans="1:12">
      <c s="58" r="A78" t="s">
        <v>258</v>
      </c>
      <c s="58" r="B78" t="s">
        <v>318</v>
      </c>
      <c s="61" r="C78" t="s">
        <v>66</v>
      </c>
      <c s="59" r="D78" t="s">
        <v>312</v>
      </c>
      <c s="59" r="E78" t="s">
        <v>160</v>
      </c>
      <c s="59" r="F78" t="s">
        <v>101</v>
      </c>
      <c s="19" r="G78" t="s">
        <v>29</v>
      </c>
      <c s="19" r="H78" t="s">
        <v>29</v>
      </c>
      <c s="19" r="I78" t="s">
        <v>29</v>
      </c>
      <c s="19" r="J78">
        <f>IF(G78="Sí", IF(H78="Sí", "DP", "SP"), IF(H78="Sí", "SD", "-"))</f>
        <v/>
      </c>
      <c s="18" r="K78">
        <f>IF(IFERROR(L78,7)=7,"",RIGHT(L78,LEN(L78)-2)&amp;".")</f>
        <v/>
      </c>
      <c s="18" r="L78">
        <f>IFERROR(__xludf.dummyfunction("CONCATENATE(ArrayFormula(""; ""&amp;QUERY(Hallazgos!A:E,""SELECT B WHERE E CONTAINS '""&amp;A3&amp;""' LABEL B ''"")))"),"#VALUE!")</f>
        <v/>
      </c>
    </row>
    <row customHeight="1" s="134" r="79" ht="15.75" spans="1:12">
      <c s="58" r="A79" t="s">
        <v>260</v>
      </c>
      <c s="58" r="B79" t="s">
        <v>860</v>
      </c>
      <c s="61" r="C79" t="s">
        <v>87</v>
      </c>
      <c s="59" r="D79" t="s">
        <v>312</v>
      </c>
      <c s="59" r="E79" t="s">
        <v>127</v>
      </c>
      <c s="59" r="F79" t="s">
        <v>101</v>
      </c>
      <c s="19" r="G79" t="s">
        <v>29</v>
      </c>
      <c s="19" r="H79" t="s">
        <v>29</v>
      </c>
      <c s="19" r="I79" t="s">
        <v>29</v>
      </c>
      <c s="19" r="J79">
        <f>IF(G79="Sí", IF(H79="Sí", "DP", "SP"), IF(H79="Sí", "SD", "-"))</f>
        <v/>
      </c>
      <c s="18" r="K79">
        <f>IF(IFERROR(L79,7)=7,"",RIGHT(L79,LEN(L79)-2)&amp;".")</f>
        <v/>
      </c>
      <c s="18" r="L79">
        <f>IFERROR(__xludf.dummyfunction("CONCATENATE(ArrayFormula(""; ""&amp;QUERY(Hallazgos!A:E,""SELECT B WHERE E CONTAINS '""&amp;A3&amp;""' LABEL B ''"")))"),"#VALUE!")</f>
        <v/>
      </c>
    </row>
    <row customHeight="1" s="134" r="80" ht="15.75" spans="1:12">
      <c s="58" r="A80" t="s">
        <v>262</v>
      </c>
      <c s="58" r="B80" t="s">
        <v>322</v>
      </c>
      <c s="61" r="C80" t="s">
        <v>87</v>
      </c>
      <c s="59" r="D80" t="s">
        <v>312</v>
      </c>
      <c s="59" r="E80" t="s">
        <v>323</v>
      </c>
      <c s="59" r="F80" t="s">
        <v>101</v>
      </c>
      <c s="19" r="G80" t="s">
        <v>29</v>
      </c>
      <c s="19" r="H80" t="s">
        <v>29</v>
      </c>
      <c s="19" r="I80" t="s">
        <v>29</v>
      </c>
      <c s="19" r="J80">
        <f>IF(G80="Sí", IF(H80="Sí", "DP", "SP"), IF(H80="Sí", "SD", "-"))</f>
        <v/>
      </c>
      <c s="18" r="K80">
        <f>IF(IFERROR(L80,7)=7,"",RIGHT(L80,LEN(L80)-2)&amp;".")</f>
        <v/>
      </c>
      <c s="18" r="L80">
        <f>IFERROR(__xludf.dummyfunction("CONCATENATE(ArrayFormula(""; ""&amp;QUERY(Hallazgos!A:E,""SELECT B WHERE E CONTAINS '""&amp;A3&amp;""' LABEL B ''"")))"),"#VALUE!")</f>
        <v/>
      </c>
    </row>
    <row customHeight="1" s="134" r="81" ht="15.75" spans="1:12">
      <c s="58" r="A81" t="s">
        <v>264</v>
      </c>
      <c s="58" r="B81" t="s">
        <v>338</v>
      </c>
      <c s="61" r="C81" t="s">
        <v>66</v>
      </c>
      <c s="59" r="D81" t="s">
        <v>840</v>
      </c>
      <c s="59" r="E81" t="s">
        <v>127</v>
      </c>
      <c s="59" r="F81" t="s">
        <v>101</v>
      </c>
      <c s="19" r="G81" t="s">
        <v>29</v>
      </c>
      <c s="19" r="H81" t="s">
        <v>29</v>
      </c>
      <c s="19" r="I81" t="s">
        <v>29</v>
      </c>
      <c s="19" r="J81">
        <f>IF(G81="Sí", IF(H81="Sí", "DP", "SP"), IF(H81="Sí", "SD", "-"))</f>
        <v/>
      </c>
      <c s="18" r="K81">
        <f>IF(IFERROR(L81,7)=7,"",RIGHT(L81,LEN(L81)-2)&amp;".")</f>
        <v/>
      </c>
      <c s="18" r="L81">
        <f>IFERROR(__xludf.dummyfunction("CONCATENATE(ArrayFormula(""; ""&amp;QUERY(Hallazgos!A:E,""SELECT B WHERE E CONTAINS '""&amp;A3&amp;""' LABEL B ''"")))"),"#VALUE!")</f>
        <v/>
      </c>
    </row>
    <row customHeight="1" s="134" r="82" ht="15.75" spans="1:12">
      <c s="58" r="A82" t="s">
        <v>266</v>
      </c>
      <c s="58" r="B82" t="s">
        <v>340</v>
      </c>
      <c s="61" r="C82" t="s">
        <v>87</v>
      </c>
      <c s="59" r="D82" t="s">
        <v>840</v>
      </c>
      <c s="59" r="E82" t="s">
        <v>122</v>
      </c>
      <c s="59" r="F82" t="s">
        <v>101</v>
      </c>
      <c s="19" r="G82" t="s">
        <v>29</v>
      </c>
      <c s="19" r="H82" t="s">
        <v>29</v>
      </c>
      <c s="19" r="I82" t="s">
        <v>29</v>
      </c>
      <c s="19" r="J82">
        <f>IF(G82="Sí", IF(H82="Sí", "DP", "SP"), IF(H82="Sí", "SD", "-"))</f>
        <v/>
      </c>
      <c s="18" r="K82">
        <f>IF(IFERROR(L82,7)=7,"",RIGHT(L82,LEN(L82)-2)&amp;".")</f>
        <v/>
      </c>
      <c s="18" r="L82">
        <f>IFERROR(__xludf.dummyfunction("CONCATENATE(ArrayFormula(""; ""&amp;QUERY(Hallazgos!A:E,""SELECT B WHERE E CONTAINS '""&amp;A3&amp;""' LABEL B ''"")))"),"#VALUE!")</f>
        <v/>
      </c>
    </row>
    <row customHeight="1" s="134" r="83" ht="15.75" spans="1:12">
      <c s="58" r="A83" t="s">
        <v>268</v>
      </c>
      <c s="58" r="B83" t="s">
        <v>861</v>
      </c>
      <c s="61" r="C83" t="s">
        <v>87</v>
      </c>
      <c s="59" r="D83" t="s">
        <v>840</v>
      </c>
      <c s="59" r="E83" t="s">
        <v>127</v>
      </c>
      <c s="59" r="F83" t="s">
        <v>101</v>
      </c>
      <c s="19" r="G83" t="s">
        <v>29</v>
      </c>
      <c s="19" r="H83" t="s">
        <v>29</v>
      </c>
      <c s="19" r="I83" t="s">
        <v>29</v>
      </c>
      <c s="19" r="J83">
        <f>IF(G83="Sí", IF(H83="Sí", "DP", "SP"), IF(H83="Sí", "SD", "-"))</f>
        <v/>
      </c>
      <c s="18" r="K83">
        <f>IF(IFERROR(L83,7)=7,"",RIGHT(L83,LEN(L83)-2)&amp;".")</f>
        <v/>
      </c>
      <c s="18" r="L83">
        <f>IFERROR(__xludf.dummyfunction("CONCATENATE(ArrayFormula(""; ""&amp;QUERY(Hallazgos!A:E,""SELECT B WHERE E CONTAINS '""&amp;A3&amp;""' LABEL B ''"")))"),"#VALUE!")</f>
        <v/>
      </c>
    </row>
    <row customHeight="1" s="134" r="84" ht="15.75" spans="1:12">
      <c s="58" r="A84" t="s">
        <v>271</v>
      </c>
      <c s="58" r="B84" t="s">
        <v>862</v>
      </c>
      <c s="61" r="C84" t="s">
        <v>87</v>
      </c>
      <c s="59" r="D84" t="s">
        <v>840</v>
      </c>
      <c s="59" r="E84" t="s">
        <v>127</v>
      </c>
      <c s="59" r="F84" t="s">
        <v>101</v>
      </c>
      <c s="19" r="G84" t="s">
        <v>29</v>
      </c>
      <c s="19" r="H84" t="s">
        <v>29</v>
      </c>
      <c s="19" r="I84" t="s">
        <v>29</v>
      </c>
      <c s="19" r="J84">
        <f>IF(G84="Sí", IF(H84="Sí", "DP", "SP"), IF(H84="Sí", "SD", "-"))</f>
        <v/>
      </c>
      <c s="18" r="K84">
        <f>IF(IFERROR(L84,7)=7,"",RIGHT(L84,LEN(L84)-2)&amp;".")</f>
        <v/>
      </c>
      <c s="18" r="L84">
        <f>IFERROR(__xludf.dummyfunction("CONCATENATE(ArrayFormula(""; ""&amp;QUERY(Hallazgos!A:E,""SELECT B WHERE E CONTAINS '""&amp;A3&amp;""' LABEL B ''"")))"),"#VALUE!")</f>
        <v/>
      </c>
    </row>
    <row customHeight="1" s="134" r="85" ht="15.75" spans="1:12">
      <c s="58" r="A85" t="s">
        <v>273</v>
      </c>
      <c s="58" r="B85" t="s">
        <v>863</v>
      </c>
      <c s="61" r="C85" t="s">
        <v>87</v>
      </c>
      <c s="59" r="D85" t="s">
        <v>840</v>
      </c>
      <c s="59" r="E85" t="s">
        <v>127</v>
      </c>
      <c s="59" r="F85" t="s">
        <v>101</v>
      </c>
      <c s="19" r="G85" t="s">
        <v>29</v>
      </c>
      <c s="19" r="H85" t="s">
        <v>29</v>
      </c>
      <c s="19" r="I85" t="s">
        <v>29</v>
      </c>
      <c s="19" r="J85">
        <f>IF(G85="Sí", IF(H85="Sí", "DP", "SP"), IF(H85="Sí", "SD", "-"))</f>
        <v/>
      </c>
      <c s="18" r="K85">
        <f>IF(IFERROR(L85,7)=7,"",RIGHT(L85,LEN(L85)-2)&amp;".")</f>
        <v/>
      </c>
      <c s="18" r="L85">
        <f>IFERROR(__xludf.dummyfunction("CONCATENATE(ArrayFormula(""; ""&amp;QUERY(Hallazgos!A:E,""SELECT B WHERE E CONTAINS '""&amp;A3&amp;""' LABEL B ''"")))"),"#VALUE!")</f>
        <v/>
      </c>
    </row>
    <row customHeight="1" s="134" r="86" ht="15.75" spans="1:12">
      <c s="58" r="A86" t="s">
        <v>277</v>
      </c>
      <c s="58" r="B86" t="s">
        <v>350</v>
      </c>
      <c s="61" r="C86" t="s">
        <v>66</v>
      </c>
      <c s="59" r="D86" t="s">
        <v>840</v>
      </c>
      <c s="59" r="E86" t="s">
        <v>68</v>
      </c>
      <c s="59" r="F86" t="s">
        <v>101</v>
      </c>
      <c s="19" r="G86" t="s">
        <v>29</v>
      </c>
      <c s="19" r="H86" t="s">
        <v>29</v>
      </c>
      <c s="19" r="I86" t="s">
        <v>29</v>
      </c>
      <c s="19" r="J86">
        <f>IF(G86="Sí", IF(H86="Sí", "DP", "SP"), IF(H86="Sí", "SD", "-"))</f>
        <v/>
      </c>
      <c s="18" r="K86">
        <f>IF(IFERROR(L86,7)=7,"",RIGHT(L86,LEN(L86)-2)&amp;".")</f>
        <v/>
      </c>
      <c s="18" r="L86">
        <f>IFERROR(__xludf.dummyfunction("CONCATENATE(ArrayFormula(""; ""&amp;QUERY(Hallazgos!A:E,""SELECT B WHERE E CONTAINS '""&amp;A3&amp;""' LABEL B ''"")))"),"#VALUE!")</f>
        <v/>
      </c>
    </row>
    <row customHeight="1" s="134" r="87" ht="15.75" spans="1:12">
      <c s="58" r="A87" t="s">
        <v>280</v>
      </c>
      <c s="58" r="B87" t="s">
        <v>352</v>
      </c>
      <c s="61" r="C87" t="s">
        <v>66</v>
      </c>
      <c s="59" r="D87" t="s">
        <v>840</v>
      </c>
      <c s="59" r="E87" t="s">
        <v>68</v>
      </c>
      <c s="59" r="F87" t="s">
        <v>101</v>
      </c>
      <c s="19" r="G87" t="s">
        <v>29</v>
      </c>
      <c s="19" r="H87" t="s">
        <v>29</v>
      </c>
      <c s="19" r="I87" t="s">
        <v>29</v>
      </c>
      <c s="19" r="J87">
        <f>IF(G87="Sí", IF(H87="Sí", "DP", "SP"), IF(H87="Sí", "SD", "-"))</f>
        <v/>
      </c>
      <c s="18" r="K87">
        <f>IF(IFERROR(L87,7)=7,"",RIGHT(L87,LEN(L87)-2)&amp;".")</f>
        <v/>
      </c>
      <c s="18" r="L87">
        <f>IFERROR(__xludf.dummyfunction("CONCATENATE(ArrayFormula(""; ""&amp;QUERY(Hallazgos!A:E,""SELECT B WHERE E CONTAINS '""&amp;A3&amp;""' LABEL B ''"")))"),"#VALUE!")</f>
        <v/>
      </c>
    </row>
    <row customHeight="1" s="134" r="88" ht="15.75" spans="1:12">
      <c s="58" r="A88" t="s">
        <v>282</v>
      </c>
      <c s="58" r="B88" t="s">
        <v>354</v>
      </c>
      <c s="60" r="C88" t="s">
        <v>66</v>
      </c>
      <c s="59" r="D88" t="s">
        <v>840</v>
      </c>
      <c s="59" r="E88" t="s">
        <v>68</v>
      </c>
      <c s="59" r="F88" t="s">
        <v>101</v>
      </c>
      <c s="19" r="G88" t="s">
        <v>29</v>
      </c>
      <c s="19" r="H88" t="s">
        <v>29</v>
      </c>
      <c s="19" r="I88" t="s">
        <v>29</v>
      </c>
      <c s="19" r="J88">
        <f>IF(G88="Sí", IF(H88="Sí", "DP", "SP"), IF(H88="Sí", "SD", "-"))</f>
        <v/>
      </c>
      <c s="18" r="K88">
        <f>IF(IFERROR(L88,7)=7,"",RIGHT(L88,LEN(L88)-2)&amp;".")</f>
        <v/>
      </c>
      <c s="18" r="L88">
        <f>IFERROR(__xludf.dummyfunction("CONCATENATE(ArrayFormula(""; ""&amp;QUERY(Hallazgos!A:E,""SELECT B WHERE E CONTAINS '""&amp;A3&amp;""' LABEL B ''"")))"),"#VALUE!")</f>
        <v/>
      </c>
    </row>
    <row customHeight="1" s="134" r="89" ht="15.75" spans="1:12">
      <c s="58" r="A89" t="s">
        <v>284</v>
      </c>
      <c s="58" r="B89" t="s">
        <v>864</v>
      </c>
      <c s="58" r="C89" t="s">
        <v>66</v>
      </c>
      <c s="59" r="D89" t="s">
        <v>840</v>
      </c>
      <c s="59" r="E89" t="s">
        <v>68</v>
      </c>
      <c s="59" r="F89" t="s">
        <v>101</v>
      </c>
      <c s="19" r="G89" t="s">
        <v>29</v>
      </c>
      <c s="19" r="H89" t="s">
        <v>29</v>
      </c>
      <c s="19" r="I89" t="s">
        <v>29</v>
      </c>
      <c s="19" r="J89">
        <f>IF(G89="Sí", IF(H89="Sí", "DP", "SP"), IF(H89="Sí", "SD", "-"))</f>
        <v/>
      </c>
      <c s="18" r="K89">
        <f>IF(IFERROR(L89,7)=7,"",RIGHT(L89,LEN(L89)-2)&amp;".")</f>
        <v/>
      </c>
      <c s="18" r="L89">
        <f>IFERROR(__xludf.dummyfunction("CONCATENATE(ArrayFormula(""; ""&amp;QUERY(Hallazgos!A:E,""SELECT B WHERE E CONTAINS '""&amp;A3&amp;""' LABEL B ''"")))"),"#VALUE!")</f>
        <v/>
      </c>
    </row>
    <row customHeight="1" s="134" r="90" ht="15.75" spans="1:12">
      <c s="58" r="A90" t="s">
        <v>286</v>
      </c>
      <c s="58" r="B90" t="s">
        <v>358</v>
      </c>
      <c s="58" r="C90" t="s">
        <v>66</v>
      </c>
      <c s="59" r="D90" t="s">
        <v>840</v>
      </c>
      <c s="59" r="E90" t="s">
        <v>68</v>
      </c>
      <c s="59" r="F90" t="s">
        <v>101</v>
      </c>
      <c s="19" r="G90" t="s">
        <v>29</v>
      </c>
      <c s="19" r="H90" t="s">
        <v>29</v>
      </c>
      <c s="19" r="I90" t="s">
        <v>29</v>
      </c>
      <c s="19" r="J90">
        <f>IF(G90="Sí", IF(H90="Sí", "DP", "SP"), IF(H90="Sí", "SD", "-"))</f>
        <v/>
      </c>
      <c s="18" r="K90">
        <f>IF(IFERROR(L90,7)=7,"",RIGHT(L90,LEN(L90)-2)&amp;".")</f>
        <v/>
      </c>
      <c s="18" r="L90">
        <f>IFERROR(__xludf.dummyfunction("CONCATENATE(ArrayFormula(""; ""&amp;QUERY(Hallazgos!A:E,""SELECT B WHERE E CONTAINS '""&amp;A3&amp;""' LABEL B ''"")))"),"#VALUE!")</f>
        <v/>
      </c>
    </row>
    <row customHeight="1" s="134" r="91" ht="15.75" spans="1:12">
      <c s="58" r="A91" t="s">
        <v>290</v>
      </c>
      <c s="58" r="B91" t="s">
        <v>865</v>
      </c>
      <c s="58" r="C91" t="s">
        <v>84</v>
      </c>
      <c s="59" r="D91" t="s">
        <v>332</v>
      </c>
      <c s="59" r="E91" t="s">
        <v>127</v>
      </c>
      <c s="59" r="F91" t="s">
        <v>148</v>
      </c>
      <c s="19" r="G91" t="s">
        <v>29</v>
      </c>
      <c s="19" r="H91" t="s">
        <v>29</v>
      </c>
      <c s="19" r="I91" t="s">
        <v>29</v>
      </c>
      <c s="19" r="J91">
        <f>IF(G91="Sí", IF(H91="Sí", "DP", "SP"), IF(H91="Sí", "SD", "-"))</f>
        <v/>
      </c>
      <c s="18" r="K91">
        <f>IF(IFERROR(L91,7)=7,"",RIGHT(L91,LEN(L91)-2)&amp;".")</f>
        <v/>
      </c>
      <c s="18" r="L91">
        <f>IFERROR(__xludf.dummyfunction("CONCATENATE(ArrayFormula(""; ""&amp;QUERY(Hallazgos!A:E,""SELECT B WHERE E CONTAINS '""&amp;A3&amp;""' LABEL B ''"")))"),"#VALUE!")</f>
        <v/>
      </c>
    </row>
    <row customHeight="1" s="134" r="92" ht="15.75" spans="1:12">
      <c s="60" r="A92" t="s">
        <v>292</v>
      </c>
      <c s="60" r="B92" t="s">
        <v>362</v>
      </c>
      <c s="60" r="C92" t="s">
        <v>66</v>
      </c>
      <c s="59" r="D92" t="s">
        <v>840</v>
      </c>
      <c s="59" r="E92" t="s">
        <v>68</v>
      </c>
      <c s="59" r="F92" t="s">
        <v>101</v>
      </c>
      <c s="19" r="G92" t="s">
        <v>29</v>
      </c>
      <c s="19" r="H92" t="s">
        <v>29</v>
      </c>
      <c s="19" r="I92" t="s">
        <v>29</v>
      </c>
      <c s="19" r="J92">
        <f>IF(G92="Sí", IF(H92="Sí", "DP", "SP"), IF(H92="Sí", "SD", "-"))</f>
        <v/>
      </c>
      <c s="18" r="K92">
        <f>IF(IFERROR(L92,7)=7,"",RIGHT(L92,LEN(L92)-2)&amp;".")</f>
        <v/>
      </c>
      <c s="18" r="L92">
        <f>IFERROR(__xludf.dummyfunction("CONCATENATE(ArrayFormula(""; ""&amp;QUERY(Hallazgos!A:E,""SELECT B WHERE E CONTAINS '""&amp;A3&amp;""' LABEL B ''"")))"),"#VALUE!")</f>
        <v/>
      </c>
    </row>
    <row customHeight="1" s="134" r="93" ht="15.75" spans="1:12">
      <c s="58" r="A93" t="s">
        <v>294</v>
      </c>
      <c s="58" r="B93" t="s">
        <v>866</v>
      </c>
      <c s="58" r="C93" t="s">
        <v>87</v>
      </c>
      <c s="59" r="D93" t="s">
        <v>840</v>
      </c>
      <c s="59" r="E93" t="s">
        <v>127</v>
      </c>
      <c s="59" r="F93" t="s">
        <v>101</v>
      </c>
      <c s="19" r="G93" t="s">
        <v>29</v>
      </c>
      <c s="19" r="H93" t="s">
        <v>29</v>
      </c>
      <c s="19" r="I93" t="s">
        <v>29</v>
      </c>
      <c s="19" r="J93">
        <f>IF(G93="Sí", IF(H93="Sí", "DP", "SP"), IF(H93="Sí", "SD", "-"))</f>
        <v/>
      </c>
      <c s="18" r="K93">
        <f>IF(IFERROR(L93,7)=7,"",RIGHT(L93,LEN(L93)-2)&amp;".")</f>
        <v/>
      </c>
      <c s="18" r="L93">
        <f>IFERROR(__xludf.dummyfunction("CONCATENATE(ArrayFormula(""; ""&amp;QUERY(Hallazgos!A:E,""SELECT B WHERE E CONTAINS '""&amp;A3&amp;""' LABEL B ''"")))"),"#VALUE!")</f>
        <v/>
      </c>
    </row>
    <row customHeight="1" s="134" r="94" ht="15.75" spans="1:12">
      <c s="58" r="A94" t="s">
        <v>296</v>
      </c>
      <c s="58" r="B94" t="s">
        <v>867</v>
      </c>
      <c s="58" r="C94" t="s">
        <v>66</v>
      </c>
      <c s="59" r="D94" t="s">
        <v>840</v>
      </c>
      <c s="59" r="E94" t="s">
        <v>68</v>
      </c>
      <c s="59" r="F94" t="s">
        <v>101</v>
      </c>
      <c s="19" r="G94" t="s">
        <v>29</v>
      </c>
      <c s="19" r="H94" t="s">
        <v>29</v>
      </c>
      <c s="19" r="I94" t="s">
        <v>29</v>
      </c>
      <c s="19" r="J94">
        <f>IF(G94="Sí", IF(H94="Sí", "DP", "SP"), IF(H94="Sí", "SD", "-"))</f>
        <v/>
      </c>
      <c s="18" r="K94">
        <f>IF(IFERROR(L94,7)=7,"",RIGHT(L94,LEN(L94)-2)&amp;".")</f>
        <v/>
      </c>
      <c s="18" r="L94">
        <f>IFERROR(__xludf.dummyfunction("CONCATENATE(ArrayFormula(""; ""&amp;QUERY(Hallazgos!A:E,""SELECT B WHERE E CONTAINS '""&amp;A3&amp;""' LABEL B ''"")))"),"#VALUE!")</f>
        <v/>
      </c>
    </row>
    <row customHeight="1" s="134" r="95" ht="15.75" spans="1:12">
      <c s="58" r="A95" t="s">
        <v>298</v>
      </c>
      <c s="58" r="B95" t="s">
        <v>366</v>
      </c>
      <c s="58" r="C95" t="s">
        <v>87</v>
      </c>
      <c s="59" r="D95" t="s">
        <v>840</v>
      </c>
      <c s="59" r="E95" t="s">
        <v>134</v>
      </c>
      <c s="59" r="F95" t="s">
        <v>101</v>
      </c>
      <c s="19" r="G95" t="s">
        <v>29</v>
      </c>
      <c s="19" r="H95" t="s">
        <v>29</v>
      </c>
      <c s="19" r="I95" t="s">
        <v>29</v>
      </c>
      <c s="19" r="J95">
        <f>IF(G95="Sí", IF(H95="Sí", "DP", "SP"), IF(H95="Sí", "SD", "-"))</f>
        <v/>
      </c>
      <c s="18" r="K95">
        <f>IF(IFERROR(L95,7)=7,"",RIGHT(L95,LEN(L95)-2)&amp;".")</f>
        <v/>
      </c>
      <c s="18" r="L95">
        <f>IFERROR(__xludf.dummyfunction("CONCATENATE(ArrayFormula(""; ""&amp;QUERY(Hallazgos!A:E,""SELECT B WHERE E CONTAINS '""&amp;A3&amp;""' LABEL B ''"")))"),"#VALUE!")</f>
        <v/>
      </c>
    </row>
    <row customHeight="1" s="134" r="96" ht="15.75" spans="1:12">
      <c s="58" r="A96" t="s">
        <v>300</v>
      </c>
      <c s="58" r="B96" t="s">
        <v>368</v>
      </c>
      <c s="58" r="C96" t="s">
        <v>87</v>
      </c>
      <c s="59" r="D96" t="s">
        <v>840</v>
      </c>
      <c s="59" r="E96" t="s">
        <v>134</v>
      </c>
      <c s="59" r="F96" t="s">
        <v>101</v>
      </c>
      <c s="19" r="G96" t="s">
        <v>29</v>
      </c>
      <c s="19" r="H96" t="s">
        <v>29</v>
      </c>
      <c s="19" r="I96" t="s">
        <v>29</v>
      </c>
      <c s="19" r="J96">
        <f>IF(G96="Sí", IF(H96="Sí", "DP", "SP"), IF(H96="Sí", "SD", "-"))</f>
        <v/>
      </c>
      <c s="18" r="K96">
        <f>IF(IFERROR(L96,7)=7,"",RIGHT(L96,LEN(L96)-2)&amp;".")</f>
        <v/>
      </c>
      <c s="18" r="L96">
        <f>IFERROR(__xludf.dummyfunction("CONCATENATE(ArrayFormula(""; ""&amp;QUERY(Hallazgos!A:E,""SELECT B WHERE E CONTAINS '""&amp;A3&amp;""' LABEL B ''"")))"),"#VALUE!")</f>
        <v/>
      </c>
    </row>
    <row customHeight="1" s="134" r="97" ht="15.75" spans="1:12">
      <c s="58" r="A97" t="s">
        <v>302</v>
      </c>
      <c s="58" r="B97" t="s">
        <v>868</v>
      </c>
      <c s="58" r="C97" t="s">
        <v>87</v>
      </c>
      <c s="59" r="D97" t="s">
        <v>840</v>
      </c>
      <c s="59" r="E97" t="s">
        <v>134</v>
      </c>
      <c s="59" r="F97" t="s">
        <v>101</v>
      </c>
      <c s="19" r="G97" t="s">
        <v>29</v>
      </c>
      <c s="19" r="H97" t="s">
        <v>29</v>
      </c>
      <c s="19" r="I97" t="s">
        <v>29</v>
      </c>
      <c s="19" r="J97">
        <f>IF(G97="Sí", IF(H97="Sí", "DP", "SP"), IF(H97="Sí", "SD", "-"))</f>
        <v/>
      </c>
      <c s="18" r="K97">
        <f>IF(IFERROR(L97,7)=7,"",RIGHT(L97,LEN(L97)-2)&amp;".")</f>
        <v/>
      </c>
      <c s="18" r="L97">
        <f>IFERROR(__xludf.dummyfunction("CONCATENATE(ArrayFormula(""; ""&amp;QUERY(Hallazgos!A:E,""SELECT B WHERE E CONTAINS '""&amp;A3&amp;""' LABEL B ''"")))"),"#VALUE!")</f>
        <v/>
      </c>
    </row>
    <row customHeight="1" s="134" r="98" ht="15.75" spans="1:12">
      <c s="58" r="A98" t="s">
        <v>304</v>
      </c>
      <c s="58" r="B98" t="s">
        <v>372</v>
      </c>
      <c s="58" r="C98" t="s">
        <v>66</v>
      </c>
      <c s="59" r="D98" t="s">
        <v>840</v>
      </c>
      <c s="59" r="E98" t="s">
        <v>68</v>
      </c>
      <c s="59" r="F98" t="s">
        <v>101</v>
      </c>
      <c s="19" r="G98" t="s">
        <v>29</v>
      </c>
      <c s="19" r="H98" t="s">
        <v>29</v>
      </c>
      <c s="19" r="I98" t="s">
        <v>29</v>
      </c>
      <c s="19" r="J98">
        <f>IF(G98="Sí", IF(H98="Sí", "DP", "SP"), IF(H98="Sí", "SD", "-"))</f>
        <v/>
      </c>
      <c s="18" r="K98">
        <f>IF(IFERROR(L98,7)=7,"",RIGHT(L98,LEN(L98)-2)&amp;".")</f>
        <v/>
      </c>
      <c s="18" r="L98">
        <f>IFERROR(__xludf.dummyfunction("CONCATENATE(ArrayFormula(""; ""&amp;QUERY(Hallazgos!A:E,""SELECT B WHERE E CONTAINS '""&amp;A3&amp;""' LABEL B ''"")))"),"#VALUE!")</f>
        <v/>
      </c>
    </row>
    <row customHeight="1" s="134" r="99" ht="15.75" spans="1:12">
      <c s="58" r="A99" t="s">
        <v>306</v>
      </c>
      <c s="58" r="B99" t="s">
        <v>374</v>
      </c>
      <c s="58" r="C99" t="s">
        <v>66</v>
      </c>
      <c s="59" r="D99" t="s">
        <v>840</v>
      </c>
      <c s="59" r="E99" t="s">
        <v>68</v>
      </c>
      <c s="59" r="F99" t="s">
        <v>101</v>
      </c>
      <c s="19" r="G99" t="s">
        <v>29</v>
      </c>
      <c s="19" r="H99" t="s">
        <v>29</v>
      </c>
      <c s="19" r="I99" t="s">
        <v>29</v>
      </c>
      <c s="19" r="J99">
        <f>IF(G99="Sí", IF(H99="Sí", "DP", "SP"), IF(H99="Sí", "SD", "-"))</f>
        <v/>
      </c>
      <c s="18" r="K99">
        <f>IF(IFERROR(L99,7)=7,"",RIGHT(L99,LEN(L99)-2)&amp;".")</f>
        <v/>
      </c>
      <c s="18" r="L99">
        <f>IFERROR(__xludf.dummyfunction("CONCATENATE(ArrayFormula(""; ""&amp;QUERY(Hallazgos!A:E,""SELECT B WHERE E CONTAINS '""&amp;A3&amp;""' LABEL B ''"")))"),"#VALUE!")</f>
        <v/>
      </c>
    </row>
    <row customHeight="1" s="134" r="100" ht="15.75" spans="1:12">
      <c s="58" r="A100" t="s">
        <v>308</v>
      </c>
      <c s="58" r="B100" t="s">
        <v>380</v>
      </c>
      <c s="60" r="C100" t="s">
        <v>87</v>
      </c>
      <c s="59" r="D100" t="s">
        <v>332</v>
      </c>
      <c s="59" r="E100" t="s">
        <v>134</v>
      </c>
      <c s="59" r="F100" t="s">
        <v>101</v>
      </c>
      <c s="19" r="G100" t="s">
        <v>29</v>
      </c>
      <c s="19" r="H100" t="s">
        <v>29</v>
      </c>
      <c s="19" r="I100" t="s">
        <v>29</v>
      </c>
      <c s="19" r="J100">
        <f>IF(G100="Sí", IF(H100="Sí", "DP", "SP"), IF(H100="Sí", "SD", "-"))</f>
        <v/>
      </c>
      <c s="18" r="K100">
        <f>IF(IFERROR(L100,7)=7,"",RIGHT(L100,LEN(L100)-2)&amp;".")</f>
        <v/>
      </c>
      <c s="18" r="L100">
        <f>IFERROR(__xludf.dummyfunction("CONCATENATE(ArrayFormula(""; ""&amp;QUERY(Hallazgos!A:E,""SELECT B WHERE E CONTAINS '""&amp;A3&amp;""' LABEL B ''"")))"),"#VALUE!")</f>
        <v/>
      </c>
    </row>
    <row customHeight="1" s="134" r="101" ht="15.75" spans="1:12">
      <c s="58" r="A101" t="s">
        <v>310</v>
      </c>
      <c s="58" r="B101" t="s">
        <v>869</v>
      </c>
      <c s="58" r="C101" t="s">
        <v>87</v>
      </c>
      <c s="59" r="D101" t="s">
        <v>840</v>
      </c>
      <c s="59" r="E101" t="s">
        <v>134</v>
      </c>
      <c s="59" r="F101" t="s">
        <v>101</v>
      </c>
      <c s="19" r="G101" t="s">
        <v>29</v>
      </c>
      <c s="19" r="H101" t="s">
        <v>29</v>
      </c>
      <c s="19" r="I101" t="s">
        <v>29</v>
      </c>
      <c s="19" r="J101">
        <f>IF(G101="Sí", IF(H101="Sí", "DP", "SP"), IF(H101="Sí", "SD", "-"))</f>
        <v/>
      </c>
      <c s="18" r="K101">
        <f>IF(IFERROR(L101,7)=7,"",RIGHT(L101,LEN(L101)-2)&amp;".")</f>
        <v/>
      </c>
      <c s="18" r="L101">
        <f>IFERROR(__xludf.dummyfunction("CONCATENATE(ArrayFormula(""; ""&amp;QUERY(Hallazgos!A:E,""SELECT B WHERE E CONTAINS '""&amp;A3&amp;""' LABEL B ''"")))"),"#VALUE!")</f>
        <v/>
      </c>
    </row>
    <row customHeight="1" s="134" r="102" ht="15.75" spans="1:12">
      <c s="58" r="A102" t="s">
        <v>313</v>
      </c>
      <c s="58" r="B102" t="s">
        <v>870</v>
      </c>
      <c s="58" r="C102" t="s">
        <v>87</v>
      </c>
      <c s="59" r="D102" t="s">
        <v>383</v>
      </c>
      <c s="59" r="E102" t="s">
        <v>68</v>
      </c>
      <c s="59" r="F102" t="s">
        <v>119</v>
      </c>
      <c s="19" r="G102" t="s">
        <v>29</v>
      </c>
      <c s="19" r="H102" t="s">
        <v>29</v>
      </c>
      <c s="19" r="I102" t="s">
        <v>29</v>
      </c>
      <c s="19" r="J102">
        <f>IF(G102="Sí", IF(H102="Sí", "DP", "SP"), IF(H102="Sí", "SD", "-"))</f>
        <v/>
      </c>
      <c s="18" r="K102">
        <f>IF(IFERROR(L102,7)=7,"",RIGHT(L102,LEN(L102)-2)&amp;".")</f>
        <v/>
      </c>
      <c s="18" r="L102">
        <f>IFERROR(__xludf.dummyfunction("CONCATENATE(ArrayFormula(""; ""&amp;QUERY(Hallazgos!A:E,""SELECT B WHERE E CONTAINS '""&amp;A3&amp;""' LABEL B ''"")))"),"#VALUE!")</f>
        <v/>
      </c>
    </row>
    <row customHeight="1" s="134" r="103" ht="15.75" spans="1:12">
      <c s="58" r="A103" t="s">
        <v>315</v>
      </c>
      <c s="58" r="B103" t="s">
        <v>871</v>
      </c>
      <c s="58" r="C103" t="s">
        <v>84</v>
      </c>
      <c s="59" r="D103" t="s">
        <v>257</v>
      </c>
      <c s="59" r="E103" t="s">
        <v>127</v>
      </c>
      <c s="59" r="F103" t="s">
        <v>101</v>
      </c>
      <c s="19" r="G103" t="s">
        <v>29</v>
      </c>
      <c s="19" r="H103" t="s">
        <v>29</v>
      </c>
      <c s="19" r="I103" t="s">
        <v>29</v>
      </c>
      <c s="19" r="J103">
        <f>IF(G103="Sí", IF(H103="Sí", "DP", "SP"), IF(H103="Sí", "SD", "-"))</f>
        <v/>
      </c>
      <c s="18" r="K103">
        <f>IF(IFERROR(L103,7)=7,"",RIGHT(L103,LEN(L103)-2)&amp;".")</f>
        <v/>
      </c>
      <c s="18" r="L103">
        <f>IFERROR(__xludf.dummyfunction("CONCATENATE(ArrayFormula(""; ""&amp;QUERY(Hallazgos!A:E,""SELECT B WHERE E CONTAINS '""&amp;A3&amp;""' LABEL B ''"")))"),"#VALUE!")</f>
        <v/>
      </c>
    </row>
    <row customHeight="1" s="134" r="104" ht="15.75" spans="1:12">
      <c s="58" r="A104" t="s">
        <v>317</v>
      </c>
      <c s="58" r="B104" t="s">
        <v>261</v>
      </c>
      <c s="58" r="C104" t="s">
        <v>87</v>
      </c>
      <c s="59" r="D104" t="s">
        <v>257</v>
      </c>
      <c s="59" r="E104" t="s">
        <v>134</v>
      </c>
      <c s="59" r="F104" t="s">
        <v>101</v>
      </c>
      <c s="19" r="G104" t="s">
        <v>29</v>
      </c>
      <c s="19" r="H104" t="s">
        <v>29</v>
      </c>
      <c s="19" r="I104" t="s">
        <v>29</v>
      </c>
      <c s="19" r="J104">
        <f>IF(G104="Sí", IF(H104="Sí", "DP", "SP"), IF(H104="Sí", "SD", "-"))</f>
        <v/>
      </c>
      <c s="18" r="K104">
        <f>IF(IFERROR(L104,7)=7,"",RIGHT(L104,LEN(L104)-2)&amp;".")</f>
        <v/>
      </c>
      <c s="18" r="L104">
        <f>IFERROR(__xludf.dummyfunction("CONCATENATE(ArrayFormula(""; ""&amp;QUERY(Hallazgos!A:E,""SELECT B WHERE E CONTAINS '""&amp;A3&amp;""' LABEL B ''"")))"),"#VALUE!")</f>
        <v/>
      </c>
    </row>
    <row customHeight="1" s="134" r="105" ht="15.75" spans="1:12">
      <c s="60" r="A105" t="s">
        <v>319</v>
      </c>
      <c s="60" r="B105" t="s">
        <v>872</v>
      </c>
      <c s="60" r="C105" t="s">
        <v>87</v>
      </c>
      <c s="59" r="D105" t="s">
        <v>257</v>
      </c>
      <c s="59" r="E105" t="s">
        <v>134</v>
      </c>
      <c s="59" r="F105" t="s">
        <v>101</v>
      </c>
      <c s="19" r="G105" t="s">
        <v>29</v>
      </c>
      <c s="19" r="H105" t="s">
        <v>29</v>
      </c>
      <c s="19" r="I105" t="s">
        <v>29</v>
      </c>
      <c s="19" r="J105">
        <f>IF(G105="Sí", IF(H105="Sí", "DP", "SP"), IF(H105="Sí", "SD", "-"))</f>
        <v/>
      </c>
      <c s="18" r="K105">
        <f>IF(IFERROR(L105,7)=7,"",RIGHT(L105,LEN(L105)-2)&amp;".")</f>
        <v/>
      </c>
      <c s="18" r="L105">
        <f>IFERROR(__xludf.dummyfunction("CONCATENATE(ArrayFormula(""; ""&amp;QUERY(Hallazgos!A:E,""SELECT B WHERE E CONTAINS '""&amp;A3&amp;""' LABEL B ''"")))"),"#VALUE!")</f>
        <v/>
      </c>
    </row>
    <row customHeight="1" s="134" r="106" ht="15.75" spans="1:12">
      <c s="58" r="A106" t="s">
        <v>321</v>
      </c>
      <c s="58" r="B106" t="s">
        <v>873</v>
      </c>
      <c s="58" r="C106" t="s">
        <v>87</v>
      </c>
      <c s="59" r="D106" t="s">
        <v>257</v>
      </c>
      <c s="59" r="E106" t="s">
        <v>134</v>
      </c>
      <c s="59" r="F106" t="s">
        <v>101</v>
      </c>
      <c s="19" r="G106" t="s">
        <v>29</v>
      </c>
      <c s="19" r="H106" t="s">
        <v>29</v>
      </c>
      <c s="19" r="I106" t="s">
        <v>29</v>
      </c>
      <c s="19" r="J106">
        <f>IF(G106="Sí", IF(H106="Sí", "DP", "SP"), IF(H106="Sí", "SD", "-"))</f>
        <v/>
      </c>
      <c s="18" r="K106">
        <f>IF(IFERROR(L106,7)=7,"",RIGHT(L106,LEN(L106)-2)&amp;".")</f>
        <v/>
      </c>
      <c s="18" r="L106">
        <f>IFERROR(__xludf.dummyfunction("CONCATENATE(ArrayFormula(""; ""&amp;QUERY(Hallazgos!A:E,""SELECT B WHERE E CONTAINS '""&amp;A3&amp;""' LABEL B ''"")))"),"#VALUE!")</f>
        <v/>
      </c>
    </row>
    <row customHeight="1" s="134" r="107" ht="15.75" spans="1:12">
      <c s="58" r="A107" t="s">
        <v>324</v>
      </c>
      <c s="58" r="B107" t="s">
        <v>874</v>
      </c>
      <c s="58" r="C107" t="s">
        <v>87</v>
      </c>
      <c s="59" r="D107" t="s">
        <v>257</v>
      </c>
      <c s="59" r="E107" t="s">
        <v>134</v>
      </c>
      <c s="59" r="F107" t="s">
        <v>101</v>
      </c>
      <c s="19" r="G107" t="s">
        <v>29</v>
      </c>
      <c s="19" r="H107" t="s">
        <v>29</v>
      </c>
      <c s="19" r="I107" t="s">
        <v>29</v>
      </c>
      <c s="19" r="J107">
        <f>IF(G107="Sí", IF(H107="Sí", "DP", "SP"), IF(H107="Sí", "SD", "-"))</f>
        <v/>
      </c>
      <c s="18" r="K107">
        <f>IF(IFERROR(L107,7)=7,"",RIGHT(L107,LEN(L107)-2)&amp;".")</f>
        <v/>
      </c>
      <c s="18" r="L107">
        <f>IFERROR(__xludf.dummyfunction("CONCATENATE(ArrayFormula(""; ""&amp;QUERY(Hallazgos!A:E,""SELECT B WHERE E CONTAINS '""&amp;A3&amp;""' LABEL B ''"")))"),"#VALUE!")</f>
        <v/>
      </c>
    </row>
    <row customHeight="1" s="134" r="108" ht="15.75" spans="1:12">
      <c s="58" r="A108" t="s">
        <v>326</v>
      </c>
      <c s="58" r="B108" t="s">
        <v>385</v>
      </c>
      <c s="58" r="C108" t="s">
        <v>87</v>
      </c>
      <c s="59" r="D108" t="s">
        <v>383</v>
      </c>
      <c s="59" r="E108" t="s">
        <v>127</v>
      </c>
      <c s="59" r="F108" t="s">
        <v>101</v>
      </c>
      <c s="19" r="G108" t="s">
        <v>29</v>
      </c>
      <c s="19" r="H108" t="s">
        <v>29</v>
      </c>
      <c s="19" r="I108" t="s">
        <v>29</v>
      </c>
      <c s="19" r="J108">
        <f>IF(G108="Sí", IF(H108="Sí", "DP", "SP"), IF(H108="Sí", "SD", "-"))</f>
        <v/>
      </c>
      <c s="18" r="K108">
        <f>IF(IFERROR(L108,7)=7,"",RIGHT(L108,LEN(L108)-2)&amp;".")</f>
        <v/>
      </c>
      <c s="18" r="L108">
        <f>IFERROR(__xludf.dummyfunction("CONCATENATE(ArrayFormula(""; ""&amp;QUERY(Hallazgos!A:E,""SELECT B WHERE E CONTAINS '""&amp;A3&amp;""' LABEL B ''"")))"),"#VALUE!")</f>
        <v/>
      </c>
    </row>
    <row customHeight="1" s="134" r="109" ht="15.75" spans="1:12">
      <c s="58" r="A109" t="s">
        <v>328</v>
      </c>
      <c s="58" r="B109" t="s">
        <v>875</v>
      </c>
      <c s="58" r="C109" t="s">
        <v>87</v>
      </c>
      <c s="59" r="D109" t="s">
        <v>383</v>
      </c>
      <c s="59" r="E109" t="s">
        <v>127</v>
      </c>
      <c s="59" r="F109" t="s">
        <v>101</v>
      </c>
      <c s="19" r="G109" t="s">
        <v>29</v>
      </c>
      <c s="19" r="H109" t="s">
        <v>29</v>
      </c>
      <c s="19" r="I109" t="s">
        <v>29</v>
      </c>
      <c s="19" r="J109">
        <f>IF(G109="Sí", IF(H109="Sí", "DP", "SP"), IF(H109="Sí", "SD", "-"))</f>
        <v/>
      </c>
      <c s="18" r="K109">
        <f>IF(IFERROR(L109,7)=7,"",RIGHT(L109,LEN(L109)-2)&amp;".")</f>
        <v/>
      </c>
      <c s="18" r="L109">
        <f>IFERROR(__xludf.dummyfunction("CONCATENATE(ArrayFormula(""; ""&amp;QUERY(Hallazgos!A:E,""SELECT B WHERE E CONTAINS '""&amp;A3&amp;""' LABEL B ''"")))"),"#VALUE!")</f>
        <v/>
      </c>
    </row>
    <row customHeight="1" s="134" r="110" ht="15.75" spans="1:12">
      <c s="58" r="A110" t="s">
        <v>330</v>
      </c>
      <c s="58" r="B110" t="s">
        <v>876</v>
      </c>
      <c s="58" r="C110" t="s">
        <v>87</v>
      </c>
      <c s="59" r="D110" t="s">
        <v>383</v>
      </c>
      <c s="59" r="E110" t="s">
        <v>122</v>
      </c>
      <c s="59" r="F110" t="s">
        <v>101</v>
      </c>
      <c s="19" r="G110" t="s">
        <v>29</v>
      </c>
      <c s="19" r="H110" t="s">
        <v>29</v>
      </c>
      <c s="19" r="I110" t="s">
        <v>29</v>
      </c>
      <c s="19" r="J110">
        <f>IF(G110="Sí", IF(H110="Sí", "DP", "SP"), IF(H110="Sí", "SD", "-"))</f>
        <v/>
      </c>
      <c s="18" r="K110">
        <f>IF(IFERROR(L110,7)=7,"",RIGHT(L110,LEN(L110)-2)&amp;".")</f>
        <v/>
      </c>
      <c s="18" r="L110">
        <f>IFERROR(__xludf.dummyfunction("CONCATENATE(ArrayFormula(""; ""&amp;QUERY(Hallazgos!A:E,""SELECT B WHERE E CONTAINS '""&amp;A3&amp;""' LABEL B ''"")))"),"#VALUE!")</f>
        <v/>
      </c>
    </row>
    <row customHeight="1" s="134" r="111" ht="15.75" spans="1:12">
      <c s="58" r="A111" t="s">
        <v>333</v>
      </c>
      <c s="58" r="B111" t="s">
        <v>391</v>
      </c>
      <c s="58" r="C111" t="s">
        <v>87</v>
      </c>
      <c s="59" r="D111" t="s">
        <v>383</v>
      </c>
      <c s="59" r="E111" t="s">
        <v>100</v>
      </c>
      <c s="59" r="F111" t="s">
        <v>101</v>
      </c>
      <c s="19" r="G111" t="s">
        <v>29</v>
      </c>
      <c s="19" r="H111" t="s">
        <v>29</v>
      </c>
      <c s="19" r="I111" t="s">
        <v>29</v>
      </c>
      <c s="19" r="J111">
        <f>IF(G111="Sí", IF(H111="Sí", "DP", "SP"), IF(H111="Sí", "SD", "-"))</f>
        <v/>
      </c>
      <c s="18" r="K111">
        <f>IF(IFERROR(L111,7)=7,"",RIGHT(L111,LEN(L111)-2)&amp;".")</f>
        <v/>
      </c>
      <c s="18" r="L111">
        <f>IFERROR(__xludf.dummyfunction("CONCATENATE(ArrayFormula(""; ""&amp;QUERY(Hallazgos!A:E,""SELECT B WHERE E CONTAINS '""&amp;A3&amp;""' LABEL B ''"")))"),"#VALUE!")</f>
        <v/>
      </c>
    </row>
    <row customHeight="1" s="134" r="112" ht="15.75" spans="1:12">
      <c s="60" r="A112" t="s">
        <v>335</v>
      </c>
      <c s="60" r="B112" t="s">
        <v>447</v>
      </c>
      <c s="60" r="C112" t="s">
        <v>87</v>
      </c>
      <c s="59" r="D112" t="s">
        <v>443</v>
      </c>
      <c s="59" r="E112" t="s">
        <v>134</v>
      </c>
      <c s="59" r="F112" t="s">
        <v>101</v>
      </c>
      <c s="19" r="G112" t="s">
        <v>29</v>
      </c>
      <c s="19" r="H112" t="s">
        <v>29</v>
      </c>
      <c s="19" r="I112" t="s">
        <v>29</v>
      </c>
      <c s="19" r="J112">
        <f>IF(G112="Sí", IF(H112="Sí", "DP", "SP"), IF(H112="Sí", "SD", "-"))</f>
        <v/>
      </c>
      <c s="18" r="K112">
        <f>IF(IFERROR(L112,7)=7,"",RIGHT(L112,LEN(L112)-2)&amp;".")</f>
        <v/>
      </c>
      <c s="18" r="L112">
        <f>IFERROR(__xludf.dummyfunction("CONCATENATE(ArrayFormula(""; ""&amp;QUERY(Hallazgos!A:E,""SELECT B WHERE E CONTAINS '""&amp;A3&amp;""' LABEL B ''"")))"),"#VALUE!")</f>
        <v/>
      </c>
    </row>
    <row customHeight="1" s="134" r="113" ht="15.75" spans="1:12">
      <c s="58" r="A113" t="s">
        <v>337</v>
      </c>
      <c s="58" r="B113" t="s">
        <v>544</v>
      </c>
      <c s="58" r="C113" t="s">
        <v>87</v>
      </c>
      <c s="59" r="D113" t="s">
        <v>545</v>
      </c>
      <c s="59" r="E113" t="s">
        <v>68</v>
      </c>
      <c s="59" r="F113" t="s">
        <v>119</v>
      </c>
      <c s="19" r="G113" t="s">
        <v>29</v>
      </c>
      <c s="19" r="H113" t="s">
        <v>29</v>
      </c>
      <c s="19" r="I113" t="s">
        <v>29</v>
      </c>
      <c s="19" r="J113">
        <f>IF(G113="Sí", IF(H113="Sí", "DP", "SP"), IF(H113="Sí", "SD", "-"))</f>
        <v/>
      </c>
      <c s="18" r="K113">
        <f>IF(IFERROR(L113,7)=7,"",RIGHT(L113,LEN(L113)-2)&amp;".")</f>
        <v/>
      </c>
      <c s="18" r="L113">
        <f>IFERROR(__xludf.dummyfunction("CONCATENATE(ArrayFormula(""; ""&amp;QUERY(Hallazgos!A:E,""SELECT B WHERE E CONTAINS '""&amp;A3&amp;""' LABEL B ''"")))"),"#VALUE!")</f>
        <v/>
      </c>
    </row>
    <row customHeight="1" s="134" r="114" ht="15.75" spans="1:12">
      <c s="58" r="A114" t="s">
        <v>339</v>
      </c>
      <c s="58" r="B114" t="s">
        <v>547</v>
      </c>
      <c s="58" r="C114" t="s">
        <v>87</v>
      </c>
      <c s="59" r="D114" t="s">
        <v>545</v>
      </c>
      <c s="59" r="E114" t="s">
        <v>68</v>
      </c>
      <c s="59" r="F114" t="s">
        <v>119</v>
      </c>
      <c s="19" r="G114" t="s">
        <v>29</v>
      </c>
      <c s="19" r="H114" t="s">
        <v>29</v>
      </c>
      <c s="19" r="I114" t="s">
        <v>29</v>
      </c>
      <c s="19" r="J114">
        <f>IF(G114="Sí", IF(H114="Sí", "DP", "SP"), IF(H114="Sí", "SD", "-"))</f>
        <v/>
      </c>
      <c s="18" r="K114">
        <f>IF(IFERROR(L114,7)=7,"",RIGHT(L114,LEN(L114)-2)&amp;".")</f>
        <v/>
      </c>
      <c s="18" r="L114">
        <f>IFERROR(__xludf.dummyfunction("CONCATENATE(ArrayFormula(""; ""&amp;QUERY(Hallazgos!A:E,""SELECT B WHERE E CONTAINS '""&amp;A3&amp;""' LABEL B ''"")))"),"#VALUE!")</f>
        <v/>
      </c>
    </row>
    <row customHeight="1" s="134" r="115" ht="15.75" spans="1:12">
      <c s="58" r="A115" t="s">
        <v>341</v>
      </c>
      <c s="58" r="B115" t="s">
        <v>877</v>
      </c>
      <c s="61" r="C115" t="s">
        <v>87</v>
      </c>
      <c s="59" r="D115" t="s">
        <v>878</v>
      </c>
      <c s="59" r="E115" t="s">
        <v>127</v>
      </c>
      <c s="59" r="F115" t="s">
        <v>101</v>
      </c>
      <c s="19" r="G115" t="s">
        <v>29</v>
      </c>
      <c s="19" r="H115" t="s">
        <v>29</v>
      </c>
      <c s="19" r="I115" t="s">
        <v>29</v>
      </c>
      <c s="19" r="J115">
        <f>IF(G115="Sí", IF(H115="Sí", "DP", "SP"), IF(H115="Sí", "SD", "-"))</f>
        <v/>
      </c>
      <c s="18" r="K115">
        <f>IF(IFERROR(L115,7)=7,"",RIGHT(L115,LEN(L115)-2)&amp;".")</f>
        <v/>
      </c>
      <c s="18" r="L115">
        <f>IFERROR(__xludf.dummyfunction("CONCATENATE(ArrayFormula(""; ""&amp;QUERY(Hallazgos!A:E,""SELECT B WHERE E CONTAINS '""&amp;A3&amp;""' LABEL B ''"")))"),"#VALUE!")</f>
        <v/>
      </c>
    </row>
    <row customHeight="1" s="134" r="116" ht="15.75" spans="1:12">
      <c s="58" r="A116" t="s">
        <v>343</v>
      </c>
      <c s="58" r="B116" t="s">
        <v>879</v>
      </c>
      <c s="61" r="C116" t="s">
        <v>87</v>
      </c>
      <c s="59" r="D116" t="s">
        <v>878</v>
      </c>
      <c s="59" r="E116" t="s">
        <v>450</v>
      </c>
      <c s="59" r="F116" t="s">
        <v>101</v>
      </c>
      <c s="19" r="G116" t="s">
        <v>29</v>
      </c>
      <c s="19" r="H116" t="s">
        <v>29</v>
      </c>
      <c s="19" r="I116" t="s">
        <v>29</v>
      </c>
      <c s="19" r="J116">
        <f>IF(G116="Sí", IF(H116="Sí", "DP", "SP"), IF(H116="Sí", "SD", "-"))</f>
        <v/>
      </c>
      <c s="18" r="K116">
        <f>IF(IFERROR(L116,7)=7,"",RIGHT(L116,LEN(L116)-2)&amp;".")</f>
        <v/>
      </c>
      <c s="18" r="L116">
        <f>IFERROR(__xludf.dummyfunction("CONCATENATE(ArrayFormula(""; ""&amp;QUERY(Hallazgos!A:E,""SELECT B WHERE E CONTAINS '""&amp;A3&amp;""' LABEL B ''"")))"),"#VALUE!")</f>
        <v/>
      </c>
    </row>
    <row customHeight="1" s="134" r="117" ht="15.75" spans="1:12">
      <c s="58" r="A117" t="s">
        <v>345</v>
      </c>
      <c s="58" r="B117" t="s">
        <v>880</v>
      </c>
      <c s="58" r="C117" t="s">
        <v>66</v>
      </c>
      <c s="59" r="D117" t="s">
        <v>443</v>
      </c>
      <c s="59" r="E117" t="s">
        <v>450</v>
      </c>
      <c s="59" r="F117" t="s">
        <v>101</v>
      </c>
      <c s="19" r="G117" t="s">
        <v>29</v>
      </c>
      <c s="19" r="H117" t="s">
        <v>29</v>
      </c>
      <c s="19" r="I117" t="s">
        <v>29</v>
      </c>
      <c s="19" r="J117">
        <f>IF(G117="Sí", IF(H117="Sí", "DP", "SP"), IF(H117="Sí", "SD", "-"))</f>
        <v/>
      </c>
      <c s="18" r="K117">
        <f>IF(IFERROR(L117,7)=7,"",RIGHT(L117,LEN(L117)-2)&amp;".")</f>
        <v/>
      </c>
      <c s="18" r="L117">
        <f>IFERROR(__xludf.dummyfunction("CONCATENATE(ArrayFormula(""; ""&amp;QUERY(Hallazgos!A:E,""SELECT B WHERE E CONTAINS '""&amp;A3&amp;""' LABEL B ''"")))"),"#VALUE!")</f>
        <v/>
      </c>
    </row>
    <row customHeight="1" s="134" r="118" ht="15.75" spans="1:12">
      <c s="58" r="A118" t="s">
        <v>347</v>
      </c>
      <c s="58" r="B118" t="s">
        <v>881</v>
      </c>
      <c s="58" r="C118" t="s">
        <v>66</v>
      </c>
      <c s="59" r="D118" t="s">
        <v>443</v>
      </c>
      <c s="59" r="E118" t="s">
        <v>127</v>
      </c>
      <c s="59" r="F118" t="s">
        <v>101</v>
      </c>
      <c s="19" r="G118" t="s">
        <v>29</v>
      </c>
      <c s="19" r="H118" t="s">
        <v>29</v>
      </c>
      <c s="19" r="I118" t="s">
        <v>29</v>
      </c>
      <c s="19" r="J118">
        <f>IF(G118="Sí", IF(H118="Sí", "DP", "SP"), IF(H118="Sí", "SD", "-"))</f>
        <v/>
      </c>
      <c s="18" r="K118">
        <f>IF(IFERROR(L118,7)=7,"",RIGHT(L118,LEN(L118)-2)&amp;".")</f>
        <v/>
      </c>
      <c s="18" r="L118">
        <f>IFERROR(__xludf.dummyfunction("CONCATENATE(ArrayFormula(""; ""&amp;QUERY(Hallazgos!A:E,""SELECT B WHERE E CONTAINS '""&amp;A3&amp;""' LABEL B ''"")))"),"#VALUE!")</f>
        <v/>
      </c>
    </row>
    <row customHeight="1" s="134" r="119" ht="15.75" spans="1:12">
      <c s="58" r="A119" t="s">
        <v>349</v>
      </c>
      <c s="58" r="B119" t="s">
        <v>882</v>
      </c>
      <c s="58" r="C119" t="s">
        <v>66</v>
      </c>
      <c s="59" r="D119" t="s">
        <v>443</v>
      </c>
      <c s="59" r="E119" t="s">
        <v>127</v>
      </c>
      <c s="59" r="F119" t="s">
        <v>101</v>
      </c>
      <c s="19" r="G119" t="s">
        <v>29</v>
      </c>
      <c s="19" r="H119" t="s">
        <v>29</v>
      </c>
      <c s="19" r="I119" t="s">
        <v>29</v>
      </c>
      <c s="19" r="J119">
        <f>IF(G119="Sí", IF(H119="Sí", "DP", "SP"), IF(H119="Sí", "SD", "-"))</f>
        <v/>
      </c>
      <c s="18" r="K119">
        <f>IF(IFERROR(L119,7)=7,"",RIGHT(L119,LEN(L119)-2)&amp;".")</f>
        <v/>
      </c>
      <c s="18" r="L119">
        <f>IFERROR(__xludf.dummyfunction("CONCATENATE(ArrayFormula(""; ""&amp;QUERY(Hallazgos!A:E,""SELECT B WHERE E CONTAINS '""&amp;A3&amp;""' LABEL B ''"")))"),"#VALUE!")</f>
        <v/>
      </c>
    </row>
    <row customHeight="1" s="134" r="120" ht="15.75" spans="1:12">
      <c s="58" r="A120" t="s">
        <v>351</v>
      </c>
      <c s="58" r="B120" t="s">
        <v>456</v>
      </c>
      <c s="58" r="C120" t="s">
        <v>66</v>
      </c>
      <c s="59" r="D120" t="s">
        <v>443</v>
      </c>
      <c s="59" r="E120" t="s">
        <v>450</v>
      </c>
      <c s="59" r="F120" t="s">
        <v>101</v>
      </c>
      <c s="19" r="G120" t="s">
        <v>29</v>
      </c>
      <c s="19" r="H120" t="s">
        <v>29</v>
      </c>
      <c s="19" r="I120" t="s">
        <v>29</v>
      </c>
      <c s="19" r="J120">
        <f>IF(G120="Sí", IF(H120="Sí", "DP", "SP"), IF(H120="Sí", "SD", "-"))</f>
        <v/>
      </c>
      <c s="18" r="K120">
        <f>IF(IFERROR(L120,7)=7,"",RIGHT(L120,LEN(L120)-2)&amp;".")</f>
        <v/>
      </c>
      <c s="18" r="L120">
        <f>IFERROR(__xludf.dummyfunction("CONCATENATE(ArrayFormula(""; ""&amp;QUERY(Hallazgos!A:E,""SELECT B WHERE E CONTAINS '""&amp;A3&amp;""' LABEL B ''"")))"),"#VALUE!")</f>
        <v/>
      </c>
    </row>
    <row customHeight="1" s="134" r="121" ht="15.75" spans="1:12">
      <c s="58" r="A121" t="s">
        <v>355</v>
      </c>
      <c s="58" r="B121" t="s">
        <v>458</v>
      </c>
      <c s="58" r="C121" t="s">
        <v>87</v>
      </c>
      <c s="59" r="D121" t="s">
        <v>443</v>
      </c>
      <c s="59" r="E121" t="s">
        <v>127</v>
      </c>
      <c s="59" r="F121" t="s">
        <v>101</v>
      </c>
      <c s="19" r="G121" t="s">
        <v>29</v>
      </c>
      <c s="19" r="H121" t="s">
        <v>29</v>
      </c>
      <c s="19" r="I121" t="s">
        <v>29</v>
      </c>
      <c s="19" r="J121">
        <f>IF(G121="Sí", IF(H121="Sí", "DP", "SP"), IF(H121="Sí", "SD", "-"))</f>
        <v/>
      </c>
      <c s="18" r="K121">
        <f>IF(IFERROR(L121,7)=7,"",RIGHT(L121,LEN(L121)-2)&amp;".")</f>
        <v/>
      </c>
      <c s="18" r="L121">
        <f>IFERROR(__xludf.dummyfunction("CONCATENATE(ArrayFormula(""; ""&amp;QUERY(Hallazgos!A:E,""SELECT B WHERE E CONTAINS '""&amp;A3&amp;""' LABEL B ''"")))"),"#VALUE!")</f>
        <v/>
      </c>
    </row>
    <row customHeight="1" s="134" r="122" ht="15.75" spans="1:12">
      <c s="58" r="A122" t="s">
        <v>361</v>
      </c>
      <c s="58" r="B122" t="s">
        <v>462</v>
      </c>
      <c s="58" r="C122" t="s">
        <v>66</v>
      </c>
      <c s="59" r="D122" t="s">
        <v>443</v>
      </c>
      <c s="59" r="E122" t="s">
        <v>127</v>
      </c>
      <c s="59" r="F122" t="s">
        <v>101</v>
      </c>
      <c s="19" r="G122" t="s">
        <v>29</v>
      </c>
      <c s="19" r="H122" t="s">
        <v>29</v>
      </c>
      <c s="19" r="I122" t="s">
        <v>29</v>
      </c>
      <c s="19" r="J122">
        <f>IF(G122="Sí", IF(H122="Sí", "DP", "SP"), IF(H122="Sí", "SD", "-"))</f>
        <v/>
      </c>
      <c s="18" r="K122">
        <f>IF(IFERROR(L122,7)=7,"",RIGHT(L122,LEN(L122)-2)&amp;".")</f>
        <v/>
      </c>
      <c s="18" r="L122">
        <f>IFERROR(__xludf.dummyfunction("CONCATENATE(ArrayFormula(""; ""&amp;QUERY(Hallazgos!A:E,""SELECT B WHERE E CONTAINS '""&amp;A3&amp;""' LABEL B ''"")))"),"#VALUE!")</f>
        <v/>
      </c>
    </row>
    <row customHeight="1" s="134" r="123" ht="15.75" spans="1:12">
      <c s="58" r="A123" t="s">
        <v>363</v>
      </c>
      <c s="58" r="B123" t="s">
        <v>464</v>
      </c>
      <c s="58" r="C123" t="s">
        <v>66</v>
      </c>
      <c s="59" r="D123" t="s">
        <v>443</v>
      </c>
      <c s="59" r="E123" t="s">
        <v>127</v>
      </c>
      <c s="59" r="F123" t="s">
        <v>101</v>
      </c>
      <c s="19" r="G123" t="s">
        <v>29</v>
      </c>
      <c s="19" r="H123" t="s">
        <v>29</v>
      </c>
      <c s="19" r="I123" t="s">
        <v>29</v>
      </c>
      <c s="19" r="J123">
        <f>IF(G123="Sí", IF(H123="Sí", "DP", "SP"), IF(H123="Sí", "SD", "-"))</f>
        <v/>
      </c>
      <c s="18" r="K123">
        <f>IF(IFERROR(L123,7)=7,"",RIGHT(L123,LEN(L123)-2)&amp;".")</f>
        <v/>
      </c>
      <c s="18" r="L123">
        <f>IFERROR(__xludf.dummyfunction("CONCATENATE(ArrayFormula(""; ""&amp;QUERY(Hallazgos!A:E,""SELECT B WHERE E CONTAINS '""&amp;A3&amp;""' LABEL B ''"")))"),"#VALUE!")</f>
        <v/>
      </c>
    </row>
    <row customHeight="1" s="134" r="124" ht="15.75" spans="1:12">
      <c s="58" r="A124" t="s">
        <v>365</v>
      </c>
      <c s="58" r="B124" t="s">
        <v>434</v>
      </c>
      <c s="58" r="C124" t="s">
        <v>87</v>
      </c>
      <c s="59" r="D124" t="s">
        <v>394</v>
      </c>
      <c s="59" r="E124" t="s">
        <v>127</v>
      </c>
      <c s="59" r="F124" t="s">
        <v>119</v>
      </c>
      <c s="19" r="G124" t="s">
        <v>29</v>
      </c>
      <c s="19" r="H124" t="s">
        <v>29</v>
      </c>
      <c s="19" r="I124" t="s">
        <v>29</v>
      </c>
      <c s="19" r="J124">
        <f>IF(G124="Sí", IF(H124="Sí", "DP", "SP"), IF(H124="Sí", "SD", "-"))</f>
        <v/>
      </c>
      <c s="18" r="K124">
        <f>IF(IFERROR(L124,7)=7,"",RIGHT(L124,LEN(L124)-2)&amp;".")</f>
        <v/>
      </c>
      <c s="18" r="L124">
        <f>IFERROR(__xludf.dummyfunction("CONCATENATE(ArrayFormula(""; ""&amp;QUERY(Hallazgos!A:E,""SELECT B WHERE E CONTAINS '""&amp;A3&amp;""' LABEL B ''"")))"),"#VALUE!")</f>
        <v/>
      </c>
    </row>
    <row customHeight="1" s="134" r="125" ht="15.75" spans="1:12">
      <c s="58" r="A125" t="s">
        <v>367</v>
      </c>
      <c s="58" r="B125" t="s">
        <v>883</v>
      </c>
      <c s="58" r="C125" t="s">
        <v>87</v>
      </c>
      <c s="59" r="D125" t="s">
        <v>884</v>
      </c>
      <c s="59" r="E125" t="s">
        <v>226</v>
      </c>
      <c s="59" r="F125" t="s">
        <v>101</v>
      </c>
      <c s="19" r="G125" t="s">
        <v>29</v>
      </c>
      <c s="19" r="H125" t="s">
        <v>29</v>
      </c>
      <c s="19" r="I125" t="s">
        <v>29</v>
      </c>
      <c s="19" r="J125">
        <f>IF(G125="Sí", IF(H125="Sí", "DP", "SP"), IF(H125="Sí", "SD", "-"))</f>
        <v/>
      </c>
      <c s="18" r="K125">
        <f>IF(IFERROR(L125,7)=7,"",RIGHT(L125,LEN(L125)-2)&amp;".")</f>
        <v/>
      </c>
      <c s="18" r="L125">
        <f>IFERROR(__xludf.dummyfunction("CONCATENATE(ArrayFormula(""; ""&amp;QUERY(Hallazgos!A:E,""SELECT B WHERE E CONTAINS '""&amp;A3&amp;""' LABEL B ''"")))"),"#VALUE!")</f>
        <v/>
      </c>
    </row>
    <row customHeight="1" s="134" r="126" ht="15.75" spans="1:12">
      <c s="58" r="A126" t="s">
        <v>369</v>
      </c>
      <c s="58" r="B126" t="s">
        <v>885</v>
      </c>
      <c s="58" r="C126" t="s">
        <v>87</v>
      </c>
      <c s="59" r="D126" t="s">
        <v>394</v>
      </c>
      <c s="59" r="E126" t="s">
        <v>160</v>
      </c>
      <c s="59" r="F126" t="s">
        <v>95</v>
      </c>
      <c s="19" r="G126" t="s">
        <v>29</v>
      </c>
      <c s="19" r="H126" t="s">
        <v>29</v>
      </c>
      <c s="19" r="I126" t="s">
        <v>29</v>
      </c>
      <c s="19" r="J126">
        <f>IF(G126="Sí", IF(H126="Sí", "DP", "SP"), IF(H126="Sí", "SD", "-"))</f>
        <v/>
      </c>
      <c s="18" r="K126">
        <f>IF(IFERROR(L126,7)=7,"",RIGHT(L126,LEN(L126)-2)&amp;".")</f>
        <v/>
      </c>
      <c s="18" r="L126">
        <f>IFERROR(__xludf.dummyfunction("CONCATENATE(ArrayFormula(""; ""&amp;QUERY(Hallazgos!A:E,""SELECT B WHERE E CONTAINS '""&amp;A3&amp;""' LABEL B ''"")))"),"#VALUE!")</f>
        <v/>
      </c>
    </row>
    <row customHeight="1" s="134" r="127" ht="15.75" spans="1:12">
      <c s="58" r="A127" t="s">
        <v>373</v>
      </c>
      <c s="58" r="B127" t="s">
        <v>886</v>
      </c>
      <c s="58" r="C127" t="s">
        <v>84</v>
      </c>
      <c s="59" r="D127" t="s">
        <v>581</v>
      </c>
      <c s="59" r="E127" t="s">
        <v>68</v>
      </c>
      <c s="59" r="F127" t="s">
        <v>90</v>
      </c>
      <c s="19" r="G127" t="s">
        <v>29</v>
      </c>
      <c s="19" r="H127" t="s">
        <v>29</v>
      </c>
      <c s="19" r="I127" t="s">
        <v>29</v>
      </c>
      <c s="19" r="J127">
        <f>IF(G127="Sí", IF(H127="Sí", "DP", "SP"), IF(H127="Sí", "SD", "-"))</f>
        <v/>
      </c>
      <c s="18" r="K127">
        <f>IF(IFERROR(L127,7)=7,"",RIGHT(L127,LEN(L127)-2)&amp;".")</f>
        <v/>
      </c>
      <c s="18" r="L127">
        <f>IFERROR(__xludf.dummyfunction("CONCATENATE(ArrayFormula(""; ""&amp;QUERY(Hallazgos!A:E,""SELECT B WHERE E CONTAINS '""&amp;A3&amp;""' LABEL B ''"")))"),"#VALUE!")</f>
        <v/>
      </c>
    </row>
    <row customHeight="1" s="134" r="128" ht="15.75" spans="1:12">
      <c s="58" r="A128" t="s">
        <v>375</v>
      </c>
      <c s="58" r="B128" t="s">
        <v>92</v>
      </c>
      <c s="58" r="C128" t="s">
        <v>66</v>
      </c>
      <c s="59" r="D128" t="s">
        <v>67</v>
      </c>
      <c s="59" r="E128" t="s">
        <v>68</v>
      </c>
      <c s="59" r="F128" t="s">
        <v>90</v>
      </c>
      <c s="19" r="G128" t="s">
        <v>29</v>
      </c>
      <c s="19" r="H128" t="s">
        <v>29</v>
      </c>
      <c s="19" r="I128" t="s">
        <v>29</v>
      </c>
      <c s="19" r="J128">
        <f>IF(G128="Sí", IF(H128="Sí", "DP", "SP"), IF(H128="Sí", "SD", "-"))</f>
        <v/>
      </c>
      <c s="18" r="K128">
        <f>IF(IFERROR(L128,7)=7,"",RIGHT(L128,LEN(L128)-2)&amp;".")</f>
        <v/>
      </c>
      <c s="18" r="L128">
        <f>IFERROR(__xludf.dummyfunction("CONCATENATE(ArrayFormula(""; ""&amp;QUERY(Hallazgos!A:E,""SELECT B WHERE E CONTAINS '""&amp;A3&amp;""' LABEL B ''"")))"),"#VALUE!")</f>
        <v/>
      </c>
    </row>
    <row customHeight="1" s="134" r="129" ht="15.75" spans="1:12">
      <c s="58" r="A129" t="s">
        <v>377</v>
      </c>
      <c s="58" r="B129" t="s">
        <v>887</v>
      </c>
      <c s="58" r="C129" t="s">
        <v>84</v>
      </c>
      <c s="59" r="D129" t="s">
        <v>270</v>
      </c>
      <c s="59" r="E129" t="s">
        <v>134</v>
      </c>
      <c s="59" r="F129" t="s">
        <v>90</v>
      </c>
      <c s="19" r="G129" t="s">
        <v>29</v>
      </c>
      <c s="19" r="H129" t="s">
        <v>29</v>
      </c>
      <c s="19" r="I129" t="s">
        <v>29</v>
      </c>
      <c s="19" r="J129">
        <f>IF(G129="Sí", IF(H129="Sí", "DP", "SP"), IF(H129="Sí", "SD", "-"))</f>
        <v/>
      </c>
      <c s="18" r="K129">
        <f>IF(IFERROR(L129,7)=7,"",RIGHT(L129,LEN(L129)-2)&amp;".")</f>
        <v/>
      </c>
      <c s="18" r="L129">
        <f>IFERROR(__xludf.dummyfunction("CONCATENATE(ArrayFormula(""; ""&amp;QUERY(Hallazgos!A:E,""SELECT B WHERE E CONTAINS '""&amp;A3&amp;""' LABEL B ''"")))"),"#VALUE!")</f>
        <v/>
      </c>
    </row>
    <row customHeight="1" s="134" r="130" ht="15.75" spans="1:12">
      <c s="58" r="A130" t="s">
        <v>379</v>
      </c>
      <c s="58" r="B130" t="s">
        <v>888</v>
      </c>
      <c s="58" r="C130" t="s">
        <v>84</v>
      </c>
      <c s="59" r="D130" t="s">
        <v>270</v>
      </c>
      <c s="59" r="E130" t="s">
        <v>142</v>
      </c>
      <c s="59" r="F130" t="s">
        <v>90</v>
      </c>
      <c s="19" r="G130" t="s">
        <v>29</v>
      </c>
      <c s="19" r="H130" t="s">
        <v>29</v>
      </c>
      <c s="19" r="I130" t="s">
        <v>29</v>
      </c>
      <c s="19" r="J130">
        <f>IF(G130="Sí", IF(H130="Sí", "DP", "SP"), IF(H130="Sí", "SD", "-"))</f>
        <v/>
      </c>
      <c s="18" r="K130">
        <f>IF(IFERROR(L130,7)=7,"",RIGHT(L130,LEN(L130)-2)&amp;".")</f>
        <v/>
      </c>
      <c s="18" r="L130">
        <f>IFERROR(__xludf.dummyfunction("CONCATENATE(ArrayFormula(""; ""&amp;QUERY(Hallazgos!A:E,""SELECT B WHERE E CONTAINS '""&amp;A3&amp;""' LABEL B ''"")))"),"#VALUE!")</f>
        <v/>
      </c>
    </row>
    <row customHeight="1" s="134" r="131" ht="15.75" spans="1:12">
      <c s="58" r="A131" t="s">
        <v>381</v>
      </c>
      <c s="58" r="B131" t="s">
        <v>276</v>
      </c>
      <c s="58" r="C131" t="s">
        <v>66</v>
      </c>
      <c s="59" r="D131" t="s">
        <v>270</v>
      </c>
      <c s="59" r="E131" t="s">
        <v>68</v>
      </c>
      <c s="59" r="F131" t="s">
        <v>90</v>
      </c>
      <c s="19" r="G131" t="s">
        <v>29</v>
      </c>
      <c s="19" r="H131" t="s">
        <v>29</v>
      </c>
      <c s="19" r="I131" t="s">
        <v>29</v>
      </c>
      <c s="19" r="J131">
        <f>IF(G131="Sí", IF(H131="Sí", "DP", "SP"), IF(H131="Sí", "SD", "-"))</f>
        <v/>
      </c>
      <c s="18" r="K131">
        <f>IF(IFERROR(L131,7)=7,"",RIGHT(L131,LEN(L131)-2)&amp;".")</f>
        <v/>
      </c>
      <c s="18" r="L131">
        <f>IFERROR(__xludf.dummyfunction("CONCATENATE(ArrayFormula(""; ""&amp;QUERY(Hallazgos!A:E,""SELECT B WHERE E CONTAINS '""&amp;A3&amp;""' LABEL B ''"")))"),"#VALUE!")</f>
        <v/>
      </c>
    </row>
    <row customHeight="1" s="134" r="132" ht="15.75" spans="1:12">
      <c s="58" r="A132" t="s">
        <v>386</v>
      </c>
      <c s="58" r="B132" t="s">
        <v>889</v>
      </c>
      <c s="58" r="C132" t="s">
        <v>84</v>
      </c>
      <c s="59" r="D132" t="s">
        <v>581</v>
      </c>
      <c s="59" r="E132" t="s">
        <v>68</v>
      </c>
      <c s="59" r="F132" t="s">
        <v>90</v>
      </c>
      <c s="19" r="G132" t="s">
        <v>29</v>
      </c>
      <c s="19" r="H132" t="s">
        <v>29</v>
      </c>
      <c s="19" r="I132" t="s">
        <v>29</v>
      </c>
      <c s="19" r="J132">
        <f>IF(G132="Sí", IF(H132="Sí", "DP", "SP"), IF(H132="Sí", "SD", "-"))</f>
        <v/>
      </c>
      <c s="18" r="K132">
        <f>IF(IFERROR(L132,7)=7,"",RIGHT(L132,LEN(L132)-2)&amp;".")</f>
        <v/>
      </c>
      <c s="18" r="L132">
        <f>IFERROR(__xludf.dummyfunction("CONCATENATE(ArrayFormula(""; ""&amp;QUERY(Hallazgos!A:E,""SELECT B WHERE E CONTAINS '""&amp;A3&amp;""' LABEL B ''"")))"),"#VALUE!")</f>
        <v/>
      </c>
    </row>
    <row customHeight="1" s="134" r="133" ht="15.75" spans="1:12">
      <c s="58" r="A133" t="s">
        <v>388</v>
      </c>
      <c s="58" r="B133" t="s">
        <v>890</v>
      </c>
      <c s="58" r="C133" t="s">
        <v>84</v>
      </c>
      <c s="59" r="D133" t="s">
        <v>581</v>
      </c>
      <c s="59" r="E133" t="s">
        <v>68</v>
      </c>
      <c s="59" r="F133" t="s">
        <v>90</v>
      </c>
      <c s="19" r="G133" t="s">
        <v>29</v>
      </c>
      <c s="19" r="H133" t="s">
        <v>29</v>
      </c>
      <c s="19" r="I133" t="s">
        <v>29</v>
      </c>
      <c s="19" r="J133">
        <f>IF(G133="Sí", IF(H133="Sí", "DP", "SP"), IF(H133="Sí", "SD", "-"))</f>
        <v/>
      </c>
      <c s="18" r="K133">
        <f>IF(IFERROR(L133,7)=7,"",RIGHT(L133,LEN(L133)-2)&amp;".")</f>
        <v/>
      </c>
      <c s="18" r="L133">
        <f>IFERROR(__xludf.dummyfunction("CONCATENATE(ArrayFormula(""; ""&amp;QUERY(Hallazgos!A:E,""SELECT B WHERE E CONTAINS '""&amp;A3&amp;""' LABEL B ''"")))"),"#VALUE!")</f>
        <v/>
      </c>
    </row>
    <row customHeight="1" s="134" r="134" ht="15.75" spans="1:12">
      <c s="58" r="A134" t="s">
        <v>390</v>
      </c>
      <c s="58" r="B134" t="s">
        <v>188</v>
      </c>
      <c s="58" r="C134" t="s">
        <v>84</v>
      </c>
      <c s="59" r="D134" t="s">
        <v>581</v>
      </c>
      <c s="59" r="E134" t="s">
        <v>68</v>
      </c>
      <c s="59" r="F134" t="s">
        <v>90</v>
      </c>
      <c s="19" r="G134" t="s">
        <v>29</v>
      </c>
      <c s="19" r="H134" t="s">
        <v>29</v>
      </c>
      <c s="19" r="I134" t="s">
        <v>29</v>
      </c>
      <c s="19" r="J134">
        <f>IF(G134="Sí", IF(H134="Sí", "DP", "SP"), IF(H134="Sí", "SD", "-"))</f>
        <v/>
      </c>
      <c s="18" r="K134">
        <f>IF(IFERROR(L134,7)=7,"",RIGHT(L134,LEN(L134)-2)&amp;".")</f>
        <v/>
      </c>
      <c s="18" r="L134">
        <f>IFERROR(__xludf.dummyfunction("CONCATENATE(ArrayFormula(""; ""&amp;QUERY(Hallazgos!A:E,""SELECT B WHERE E CONTAINS '""&amp;A3&amp;""' LABEL B ''"")))"),"#VALUE!")</f>
        <v/>
      </c>
    </row>
    <row customHeight="1" s="134" r="135" ht="15.75" spans="1:12">
      <c s="58" r="A135" t="s">
        <v>392</v>
      </c>
      <c s="58" r="B135" t="s">
        <v>891</v>
      </c>
      <c s="58" r="C135" t="s">
        <v>84</v>
      </c>
      <c s="59" r="D135" t="s">
        <v>581</v>
      </c>
      <c s="59" r="E135" t="s">
        <v>68</v>
      </c>
      <c s="59" r="F135" t="s">
        <v>90</v>
      </c>
      <c s="19" r="G135" t="s">
        <v>29</v>
      </c>
      <c s="19" r="H135" t="s">
        <v>29</v>
      </c>
      <c s="19" r="I135" t="s">
        <v>29</v>
      </c>
      <c s="19" r="J135">
        <f>IF(G135="Sí", IF(H135="Sí", "DP", "SP"), IF(H135="Sí", "SD", "-"))</f>
        <v/>
      </c>
      <c s="18" r="K135">
        <f>IF(IFERROR(L135,7)=7,"",RIGHT(L135,LEN(L135)-2)&amp;".")</f>
        <v/>
      </c>
      <c s="18" r="L135">
        <f>IFERROR(__xludf.dummyfunction("CONCATENATE(ArrayFormula(""; ""&amp;QUERY(Hallazgos!A:E,""SELECT B WHERE E CONTAINS '""&amp;A3&amp;""' LABEL B ''"")))"),"#VALUE!")</f>
        <v/>
      </c>
    </row>
    <row customHeight="1" s="134" r="136" ht="15.75" spans="1:12">
      <c s="58" r="A136" t="s">
        <v>395</v>
      </c>
      <c s="58" r="B136" t="s">
        <v>892</v>
      </c>
      <c s="58" r="C136" t="s">
        <v>87</v>
      </c>
      <c s="59" r="D136" t="s">
        <v>581</v>
      </c>
      <c s="59" r="E136" t="s">
        <v>68</v>
      </c>
      <c s="59" r="F136" t="s">
        <v>90</v>
      </c>
      <c s="19" r="G136" t="s">
        <v>29</v>
      </c>
      <c s="19" r="H136" t="s">
        <v>29</v>
      </c>
      <c s="19" r="I136" t="s">
        <v>29</v>
      </c>
      <c s="19" r="J136">
        <f>IF(G136="Sí", IF(H136="Sí", "DP", "SP"), IF(H136="Sí", "SD", "-"))</f>
        <v/>
      </c>
      <c s="18" r="K136">
        <f>IF(IFERROR(L136,7)=7,"",RIGHT(L136,LEN(L136)-2)&amp;".")</f>
        <v/>
      </c>
      <c s="18" r="L136">
        <f>IFERROR(__xludf.dummyfunction("CONCATENATE(ArrayFormula(""; ""&amp;QUERY(Hallazgos!A:E,""SELECT B WHERE E CONTAINS '""&amp;A3&amp;""' LABEL B ''"")))"),"#VALUE!")</f>
        <v/>
      </c>
    </row>
    <row customHeight="1" s="134" r="137" ht="15.75" spans="1:12">
      <c s="58" r="A137" t="s">
        <v>397</v>
      </c>
      <c s="58" r="B137" t="s">
        <v>893</v>
      </c>
      <c s="61" r="C137" t="s">
        <v>84</v>
      </c>
      <c s="59" r="D137" t="s">
        <v>581</v>
      </c>
      <c s="59" r="E137" t="s">
        <v>68</v>
      </c>
      <c s="59" r="F137" t="s">
        <v>90</v>
      </c>
      <c s="19" r="G137" t="s">
        <v>29</v>
      </c>
      <c s="19" r="H137" t="s">
        <v>29</v>
      </c>
      <c s="19" r="I137" t="s">
        <v>29</v>
      </c>
      <c s="19" r="J137">
        <f>IF(G137="Sí", IF(H137="Sí", "DP", "SP"), IF(H137="Sí", "SD", "-"))</f>
        <v/>
      </c>
      <c s="18" r="K137">
        <f>IF(IFERROR(L137,7)=7,"",RIGHT(L137,LEN(L137)-2)&amp;".")</f>
        <v/>
      </c>
      <c s="18" r="L137">
        <f>IFERROR(__xludf.dummyfunction("CONCATENATE(ArrayFormula(""; ""&amp;QUERY(Hallazgos!A:E,""SELECT B WHERE E CONTAINS '""&amp;A3&amp;""' LABEL B ''"")))"),"#VALUE!")</f>
        <v/>
      </c>
    </row>
    <row customHeight="1" s="134" r="138" ht="15.75" spans="1:12">
      <c s="58" r="A138" t="s">
        <v>399</v>
      </c>
      <c s="58" r="B138" t="s">
        <v>196</v>
      </c>
      <c s="61" r="C138" t="s">
        <v>84</v>
      </c>
      <c s="59" r="D138" t="s">
        <v>581</v>
      </c>
      <c s="59" r="E138" t="s">
        <v>68</v>
      </c>
      <c s="59" r="F138" t="s">
        <v>90</v>
      </c>
      <c s="19" r="G138" t="s">
        <v>29</v>
      </c>
      <c s="19" r="H138" t="s">
        <v>29</v>
      </c>
      <c s="19" r="I138" t="s">
        <v>29</v>
      </c>
      <c s="19" r="J138">
        <f>IF(G138="Sí", IF(H138="Sí", "DP", "SP"), IF(H138="Sí", "SD", "-"))</f>
        <v/>
      </c>
      <c s="18" r="K138">
        <f>IF(IFERROR(L138,7)=7,"",RIGHT(L138,LEN(L138)-2)&amp;".")</f>
        <v/>
      </c>
      <c s="18" r="L138">
        <f>IFERROR(__xludf.dummyfunction("CONCATENATE(ArrayFormula(""; ""&amp;QUERY(Hallazgos!A:E,""SELECT B WHERE E CONTAINS '""&amp;A3&amp;""' LABEL B ''"")))"),"#VALUE!")</f>
        <v/>
      </c>
    </row>
    <row customHeight="1" s="134" r="139" ht="15.75" spans="1:12">
      <c s="58" r="A139" t="s">
        <v>405</v>
      </c>
      <c s="58" r="B139" t="s">
        <v>495</v>
      </c>
      <c s="58" r="C139" t="s">
        <v>66</v>
      </c>
      <c s="59" r="D139" t="s">
        <v>894</v>
      </c>
      <c s="59" r="E139" t="s">
        <v>122</v>
      </c>
      <c s="59" r="F139" t="s">
        <v>101</v>
      </c>
      <c s="19" r="G139" t="s">
        <v>29</v>
      </c>
      <c s="19" r="H139" t="s">
        <v>29</v>
      </c>
      <c s="19" r="I139" t="s">
        <v>29</v>
      </c>
      <c s="19" r="J139">
        <f>IF(G139="Sí", IF(H139="Sí", "DP", "SP"), IF(H139="Sí", "SD", "-"))</f>
        <v/>
      </c>
      <c s="18" r="K139">
        <f>IF(IFERROR(L139,7)=7,"",RIGHT(L139,LEN(L139)-2)&amp;".")</f>
        <v/>
      </c>
      <c s="18" r="L139">
        <f>IFERROR(__xludf.dummyfunction("CONCATENATE(ArrayFormula(""; ""&amp;QUERY(Hallazgos!A:E,""SELECT B WHERE E CONTAINS '""&amp;A3&amp;""' LABEL B ''"")))"),"#VALUE!")</f>
        <v/>
      </c>
    </row>
    <row customHeight="1" s="134" r="140" ht="15.75" spans="1:12">
      <c s="60" r="A140" t="s">
        <v>407</v>
      </c>
      <c s="60" r="B140" t="s">
        <v>498</v>
      </c>
      <c s="60" r="C140" t="s">
        <v>66</v>
      </c>
      <c s="59" r="D140" t="s">
        <v>894</v>
      </c>
      <c s="59" r="E140" t="s">
        <v>122</v>
      </c>
      <c s="59" r="F140" t="s">
        <v>101</v>
      </c>
      <c s="19" r="G140" t="s">
        <v>29</v>
      </c>
      <c s="19" r="H140" t="s">
        <v>29</v>
      </c>
      <c s="19" r="I140" t="s">
        <v>29</v>
      </c>
      <c s="19" r="J140">
        <f>IF(G140="Sí", IF(H140="Sí", "DP", "SP"), IF(H140="Sí", "SD", "-"))</f>
        <v/>
      </c>
      <c s="18" r="K140">
        <f>IF(IFERROR(L140,7)=7,"",RIGHT(L140,LEN(L140)-2)&amp;".")</f>
        <v/>
      </c>
      <c s="18" r="L140">
        <f>IFERROR(__xludf.dummyfunction("CONCATENATE(ArrayFormula(""; ""&amp;QUERY(Hallazgos!A:E,""SELECT B WHERE E CONTAINS '""&amp;A3&amp;""' LABEL B ''"")))"),"#VALUE!")</f>
        <v/>
      </c>
    </row>
    <row customHeight="1" s="134" r="141" ht="15.75" spans="1:12">
      <c s="60" r="A141" t="s">
        <v>409</v>
      </c>
      <c s="60" r="B141" t="s">
        <v>895</v>
      </c>
      <c s="60" r="C141" t="s">
        <v>66</v>
      </c>
      <c s="59" r="D141" t="s">
        <v>894</v>
      </c>
      <c s="59" r="E141" t="s">
        <v>127</v>
      </c>
      <c s="59" r="F141" t="s">
        <v>101</v>
      </c>
      <c s="19" r="G141" t="s">
        <v>29</v>
      </c>
      <c s="19" r="H141" t="s">
        <v>29</v>
      </c>
      <c s="19" r="I141" t="s">
        <v>29</v>
      </c>
      <c s="19" r="J141">
        <f>IF(G141="Sí", IF(H141="Sí", "DP", "SP"), IF(H141="Sí", "SD", "-"))</f>
        <v/>
      </c>
      <c s="18" r="K141">
        <f>IF(IFERROR(L141,7)=7,"",RIGHT(L141,LEN(L141)-2)&amp;".")</f>
        <v/>
      </c>
      <c s="18" r="L141">
        <f>IFERROR(__xludf.dummyfunction("CONCATENATE(ArrayFormula(""; ""&amp;QUERY(Hallazgos!A:E,""SELECT B WHERE E CONTAINS '""&amp;A3&amp;""' LABEL B ''"")))"),"#VALUE!")</f>
        <v/>
      </c>
    </row>
    <row customHeight="1" s="134" r="142" ht="15.75" spans="1:12">
      <c s="58" r="A142" t="s">
        <v>415</v>
      </c>
      <c s="58" r="B142" t="s">
        <v>601</v>
      </c>
      <c s="58" r="C142" t="s">
        <v>66</v>
      </c>
      <c s="59" r="D142" t="s">
        <v>616</v>
      </c>
      <c s="59" r="E142" t="s">
        <v>127</v>
      </c>
      <c s="59" r="F142" t="s">
        <v>101</v>
      </c>
      <c s="19" r="G142" t="s">
        <v>29</v>
      </c>
      <c s="19" r="H142" t="s">
        <v>29</v>
      </c>
      <c s="19" r="I142" t="s">
        <v>29</v>
      </c>
      <c s="19" r="J142">
        <f>IF(G142="Sí", IF(H142="Sí", "DP", "SP"), IF(H142="Sí", "SD", "-"))</f>
        <v/>
      </c>
      <c s="18" r="K142">
        <f>IF(IFERROR(L142,7)=7,"",RIGHT(L142,LEN(L142)-2)&amp;".")</f>
        <v/>
      </c>
      <c s="18" r="L142">
        <f>IFERROR(__xludf.dummyfunction("CONCATENATE(ArrayFormula(""; ""&amp;QUERY(Hallazgos!A:E,""SELECT B WHERE E CONTAINS '""&amp;A3&amp;""' LABEL B ''"")))"),"#VALUE!")</f>
        <v/>
      </c>
    </row>
    <row customHeight="1" s="134" r="143" ht="15.75" spans="1:12">
      <c s="62" r="A143" t="s">
        <v>417</v>
      </c>
      <c s="62" r="B143" t="s">
        <v>603</v>
      </c>
      <c s="62" r="C143" t="s">
        <v>66</v>
      </c>
      <c s="59" r="D143" t="s">
        <v>599</v>
      </c>
      <c s="59" r="E143" t="s">
        <v>127</v>
      </c>
      <c s="59" r="F143" t="s">
        <v>101</v>
      </c>
      <c s="19" r="G143" t="s">
        <v>29</v>
      </c>
      <c s="19" r="H143" t="s">
        <v>29</v>
      </c>
      <c s="19" r="I143" t="s">
        <v>29</v>
      </c>
      <c s="19" r="J143">
        <f>IF(G143="Sí", IF(H143="Sí", "DP", "SP"), IF(H143="Sí", "SD", "-"))</f>
        <v/>
      </c>
      <c s="18" r="K143">
        <f>IF(IFERROR(L143,7)=7,"",RIGHT(L143,LEN(L143)-2)&amp;".")</f>
        <v/>
      </c>
      <c s="18" r="L143">
        <f>IFERROR(__xludf.dummyfunction("CONCATENATE(ArrayFormula(""; ""&amp;QUERY(Hallazgos!A:E,""SELECT B WHERE E CONTAINS '""&amp;A3&amp;""' LABEL B ''"")))"),"#VALUE!")</f>
        <v/>
      </c>
    </row>
    <row customHeight="1" s="134" r="144" ht="15.75" spans="1:12">
      <c s="58" r="A144" t="s">
        <v>419</v>
      </c>
      <c s="58" r="B144" t="s">
        <v>896</v>
      </c>
      <c s="58" r="C144" t="s">
        <v>66</v>
      </c>
      <c s="59" r="D144" t="s">
        <v>599</v>
      </c>
      <c s="59" r="E144" t="s">
        <v>142</v>
      </c>
      <c s="59" r="F144" t="s">
        <v>101</v>
      </c>
      <c s="19" r="G144" t="s">
        <v>29</v>
      </c>
      <c s="19" r="H144" t="s">
        <v>29</v>
      </c>
      <c s="19" r="I144" t="s">
        <v>29</v>
      </c>
      <c s="19" r="J144">
        <f>IF(G144="Sí", IF(H144="Sí", "DP", "SP"), IF(H144="Sí", "SD", "-"))</f>
        <v/>
      </c>
      <c s="18" r="K144">
        <f>IF(IFERROR(L144,7)=7,"",RIGHT(L144,LEN(L144)-2)&amp;".")</f>
        <v/>
      </c>
      <c s="18" r="L144">
        <f>IFERROR(__xludf.dummyfunction("CONCATENATE(ArrayFormula(""; ""&amp;QUERY(Hallazgos!A:E,""SELECT B WHERE E CONTAINS '""&amp;A3&amp;""' LABEL B ''"")))"),"#VALUE!")</f>
        <v/>
      </c>
    </row>
    <row customHeight="1" s="134" r="145" ht="15.75" spans="1:12">
      <c s="58" r="A145" t="s">
        <v>421</v>
      </c>
      <c s="58" r="B145" t="s">
        <v>607</v>
      </c>
      <c s="58" r="C145" t="s">
        <v>66</v>
      </c>
      <c s="59" r="D145" t="s">
        <v>599</v>
      </c>
      <c s="59" r="E145" t="s">
        <v>118</v>
      </c>
      <c s="59" r="F145" t="s">
        <v>101</v>
      </c>
      <c s="19" r="G145" t="s">
        <v>29</v>
      </c>
      <c s="19" r="H145" t="s">
        <v>29</v>
      </c>
      <c s="19" r="I145" t="s">
        <v>29</v>
      </c>
      <c s="19" r="J145">
        <f>IF(G145="Sí", IF(H145="Sí", "DP", "SP"), IF(H145="Sí", "SD", "-"))</f>
        <v/>
      </c>
      <c s="18" r="K145">
        <f>IF(IFERROR(L145,7)=7,"",RIGHT(L145,LEN(L145)-2)&amp;".")</f>
        <v/>
      </c>
      <c s="18" r="L145">
        <f>IFERROR(__xludf.dummyfunction("CONCATENATE(ArrayFormula(""; ""&amp;QUERY(Hallazgos!A:E,""SELECT B WHERE E CONTAINS '""&amp;A3&amp;""' LABEL B ''"")))"),"#VALUE!")</f>
        <v/>
      </c>
    </row>
    <row customHeight="1" s="134" r="146" ht="15.75" spans="1:12">
      <c s="58" r="A146" t="s">
        <v>423</v>
      </c>
      <c s="58" r="B146" t="s">
        <v>609</v>
      </c>
      <c s="58" r="C146" t="s">
        <v>66</v>
      </c>
      <c s="59" r="D146" t="s">
        <v>599</v>
      </c>
      <c s="59" r="E146" t="s">
        <v>68</v>
      </c>
      <c s="59" r="F146" t="s">
        <v>101</v>
      </c>
      <c s="19" r="G146" t="s">
        <v>29</v>
      </c>
      <c s="19" r="H146" t="s">
        <v>29</v>
      </c>
      <c s="19" r="I146" t="s">
        <v>29</v>
      </c>
      <c s="19" r="J146">
        <f>IF(G146="Sí", IF(H146="Sí", "DP", "SP"), IF(H146="Sí", "SD", "-"))</f>
        <v/>
      </c>
      <c s="18" r="K146">
        <f>IF(IFERROR(L146,7)=7,"",RIGHT(L146,LEN(L146)-2)&amp;".")</f>
        <v/>
      </c>
      <c s="18" r="L146">
        <f>IFERROR(__xludf.dummyfunction("CONCATENATE(ArrayFormula(""; ""&amp;QUERY(Hallazgos!A:E,""SELECT B WHERE E CONTAINS '""&amp;A3&amp;""' LABEL B ''"")))"),"#VALUE!")</f>
        <v/>
      </c>
    </row>
    <row customHeight="1" s="134" r="147" ht="15.75" spans="1:12">
      <c s="58" r="A147" t="s">
        <v>425</v>
      </c>
      <c s="58" r="B147" t="s">
        <v>897</v>
      </c>
      <c s="58" r="C147" t="s">
        <v>66</v>
      </c>
      <c s="59" r="D147" t="s">
        <v>616</v>
      </c>
      <c s="59" r="E147" t="s">
        <v>134</v>
      </c>
      <c s="59" r="F147" t="s">
        <v>101</v>
      </c>
      <c s="19" r="G147" t="s">
        <v>29</v>
      </c>
      <c s="19" r="H147" t="s">
        <v>29</v>
      </c>
      <c s="19" r="I147" t="s">
        <v>29</v>
      </c>
      <c s="19" r="J147">
        <f>IF(G147="Sí", IF(H147="Sí", "DP", "SP"), IF(H147="Sí", "SD", "-"))</f>
        <v/>
      </c>
      <c s="18" r="K147">
        <f>IF(IFERROR(L147,7)=7,"",RIGHT(L147,LEN(L147)-2)&amp;".")</f>
        <v/>
      </c>
      <c s="18" r="L147">
        <f>IFERROR(__xludf.dummyfunction("CONCATENATE(ArrayFormula(""; ""&amp;QUERY(Hallazgos!A:E,""SELECT B WHERE E CONTAINS '""&amp;A3&amp;""' LABEL B ''"")))"),"#VALUE!")</f>
        <v/>
      </c>
    </row>
    <row customHeight="1" s="134" r="148" ht="15.75" spans="1:12">
      <c s="58" r="A148" t="s">
        <v>429</v>
      </c>
      <c s="58" r="B148" t="s">
        <v>613</v>
      </c>
      <c s="58" r="C148" t="s">
        <v>66</v>
      </c>
      <c s="59" r="D148" t="s">
        <v>599</v>
      </c>
      <c s="59" r="E148" t="s">
        <v>127</v>
      </c>
      <c s="59" r="F148" t="s">
        <v>101</v>
      </c>
      <c s="19" r="G148" t="s">
        <v>29</v>
      </c>
      <c s="19" r="H148" t="s">
        <v>29</v>
      </c>
      <c s="19" r="I148" t="s">
        <v>29</v>
      </c>
      <c s="19" r="J148">
        <f>IF(G148="Sí", IF(H148="Sí", "DP", "SP"), IF(H148="Sí", "SD", "-"))</f>
        <v/>
      </c>
      <c s="18" r="K148">
        <f>IF(IFERROR(L148,7)=7,"",RIGHT(L148,LEN(L148)-2)&amp;".")</f>
        <v/>
      </c>
      <c s="18" r="L148">
        <f>IFERROR(__xludf.dummyfunction("CONCATENATE(ArrayFormula(""; ""&amp;QUERY(Hallazgos!A:E,""SELECT B WHERE E CONTAINS '""&amp;A3&amp;""' LABEL B ''"")))"),"#VALUE!")</f>
        <v/>
      </c>
    </row>
    <row customHeight="1" s="134" r="149" ht="15.75" spans="1:12">
      <c s="58" r="A149" t="s">
        <v>431</v>
      </c>
      <c s="58" r="B149" t="s">
        <v>898</v>
      </c>
      <c s="58" r="C149" t="s">
        <v>66</v>
      </c>
      <c s="59" r="D149" t="s">
        <v>505</v>
      </c>
      <c s="59" r="E149" t="s">
        <v>127</v>
      </c>
      <c s="59" r="F149" t="s">
        <v>101</v>
      </c>
      <c s="19" r="G149" t="s">
        <v>29</v>
      </c>
      <c s="19" r="H149" t="s">
        <v>29</v>
      </c>
      <c s="19" r="I149" t="s">
        <v>29</v>
      </c>
      <c s="19" r="J149">
        <f>IF(G149="Sí", IF(H149="Sí", "DP", "SP"), IF(H149="Sí", "SD", "-"))</f>
        <v/>
      </c>
      <c s="18" r="K149">
        <f>IF(IFERROR(L149,7)=7,"",RIGHT(L149,LEN(L149)-2)&amp;".")</f>
        <v/>
      </c>
      <c s="18" r="L149">
        <f>IFERROR(__xludf.dummyfunction("CONCATENATE(ArrayFormula(""; ""&amp;QUERY(Hallazgos!A:E,""SELECT B WHERE E CONTAINS '""&amp;A3&amp;""' LABEL B ''"")))"),"#VALUE!")</f>
        <v/>
      </c>
    </row>
    <row customHeight="1" s="134" r="150" ht="15.75" spans="1:12">
      <c s="60" r="A150" t="s">
        <v>435</v>
      </c>
      <c s="60" r="B150" t="s">
        <v>899</v>
      </c>
      <c s="60" r="C150" t="s">
        <v>66</v>
      </c>
      <c s="59" r="D150" t="s">
        <v>505</v>
      </c>
      <c s="59" r="E150" t="s">
        <v>127</v>
      </c>
      <c s="59" r="F150" t="s">
        <v>101</v>
      </c>
      <c s="19" r="G150" t="s">
        <v>29</v>
      </c>
      <c s="19" r="H150" t="s">
        <v>29</v>
      </c>
      <c s="19" r="I150" t="s">
        <v>29</v>
      </c>
      <c s="19" r="J150">
        <f>IF(G150="Sí", IF(H150="Sí", "DP", "SP"), IF(H150="Sí", "SD", "-"))</f>
        <v/>
      </c>
      <c s="18" r="K150">
        <f>IF(IFERROR(L150,7)=7,"",RIGHT(L150,LEN(L150)-2)&amp;".")</f>
        <v/>
      </c>
      <c s="18" r="L150">
        <f>IFERROR(__xludf.dummyfunction("CONCATENATE(ArrayFormula(""; ""&amp;QUERY(Hallazgos!A:E,""SELECT B WHERE E CONTAINS '""&amp;A3&amp;""' LABEL B ''"")))"),"#VALUE!")</f>
        <v/>
      </c>
    </row>
    <row customHeight="1" s="134" r="151" ht="15.75" spans="1:12">
      <c s="60" r="A151" t="s">
        <v>444</v>
      </c>
      <c s="60" r="B151" t="s">
        <v>515</v>
      </c>
      <c s="60" r="C151" t="s">
        <v>66</v>
      </c>
      <c s="59" r="D151" t="s">
        <v>505</v>
      </c>
      <c s="59" r="E151" t="s">
        <v>127</v>
      </c>
      <c s="59" r="F151" t="s">
        <v>101</v>
      </c>
      <c s="19" r="G151" t="s">
        <v>29</v>
      </c>
      <c s="19" r="H151" t="s">
        <v>29</v>
      </c>
      <c s="19" r="I151" t="s">
        <v>29</v>
      </c>
      <c s="19" r="J151">
        <f>IF(G151="Sí", IF(H151="Sí", "DP", "SP"), IF(H151="Sí", "SD", "-"))</f>
        <v/>
      </c>
      <c s="18" r="K151">
        <f>IF(IFERROR(L151,7)=7,"",RIGHT(L151,LEN(L151)-2)&amp;".")</f>
        <v/>
      </c>
      <c s="18" r="L151">
        <f>IFERROR(__xludf.dummyfunction("CONCATENATE(ArrayFormula(""; ""&amp;QUERY(Hallazgos!A:E,""SELECT B WHERE E CONTAINS '""&amp;A3&amp;""' LABEL B ''"")))"),"#VALUE!")</f>
        <v/>
      </c>
    </row>
    <row customHeight="1" s="134" r="152" ht="15.75" spans="1:12">
      <c s="60" r="A152" t="s">
        <v>446</v>
      </c>
      <c s="60" r="B152" t="s">
        <v>900</v>
      </c>
      <c s="60" r="C152" t="s">
        <v>66</v>
      </c>
      <c s="59" r="D152" t="s">
        <v>505</v>
      </c>
      <c s="59" r="E152" t="s">
        <v>142</v>
      </c>
      <c s="59" r="F152" t="s">
        <v>101</v>
      </c>
      <c s="19" r="G152" t="s">
        <v>29</v>
      </c>
      <c s="19" r="H152" t="s">
        <v>29</v>
      </c>
      <c s="19" r="I152" t="s">
        <v>29</v>
      </c>
      <c s="19" r="J152">
        <f>IF(G152="Sí", IF(H152="Sí", "DP", "SP"), IF(H152="Sí", "SD", "-"))</f>
        <v/>
      </c>
      <c s="18" r="K152">
        <f>IF(IFERROR(L152,7)=7,"",RIGHT(L152,LEN(L152)-2)&amp;".")</f>
        <v/>
      </c>
      <c s="18" r="L152">
        <f>IFERROR(__xludf.dummyfunction("CONCATENATE(ArrayFormula(""; ""&amp;QUERY(Hallazgos!A:E,""SELECT B WHERE E CONTAINS '""&amp;A3&amp;""' LABEL B ''"")))"),"#VALUE!")</f>
        <v/>
      </c>
    </row>
    <row customHeight="1" s="134" r="153" ht="15.75" spans="1:12">
      <c s="60" r="A153" t="s">
        <v>448</v>
      </c>
      <c s="60" r="B153" t="s">
        <v>901</v>
      </c>
      <c s="60" r="C153" t="s">
        <v>66</v>
      </c>
      <c s="59" r="D153" t="s">
        <v>505</v>
      </c>
      <c s="59" r="E153" t="s">
        <v>68</v>
      </c>
      <c s="59" r="F153" t="s">
        <v>101</v>
      </c>
      <c s="19" r="G153" t="s">
        <v>29</v>
      </c>
      <c s="19" r="H153" t="s">
        <v>29</v>
      </c>
      <c s="19" r="I153" t="s">
        <v>29</v>
      </c>
      <c s="19" r="J153">
        <f>IF(G153="Sí", IF(H153="Sí", "DP", "SP"), IF(H153="Sí", "SD", "-"))</f>
        <v/>
      </c>
      <c s="18" r="K153">
        <f>IF(IFERROR(L153,7)=7,"",RIGHT(L153,LEN(L153)-2)&amp;".")</f>
        <v/>
      </c>
      <c s="18" r="L153">
        <f>IFERROR(__xludf.dummyfunction("CONCATENATE(ArrayFormula(""; ""&amp;QUERY(Hallazgos!A:E,""SELECT B WHERE E CONTAINS '""&amp;A3&amp;""' LABEL B ''"")))"),"#VALUE!")</f>
        <v/>
      </c>
    </row>
    <row customHeight="1" s="134" r="154" ht="15.75" spans="1:12">
      <c s="60" r="A154" t="s">
        <v>451</v>
      </c>
      <c s="60" r="B154" t="s">
        <v>902</v>
      </c>
      <c s="60" r="C154" t="s">
        <v>66</v>
      </c>
      <c s="59" r="D154" t="s">
        <v>505</v>
      </c>
      <c s="59" r="E154" t="s">
        <v>127</v>
      </c>
      <c s="59" r="F154" t="s">
        <v>101</v>
      </c>
      <c s="19" r="G154" t="s">
        <v>29</v>
      </c>
      <c s="19" r="H154" t="s">
        <v>29</v>
      </c>
      <c s="19" r="I154" t="s">
        <v>29</v>
      </c>
      <c s="19" r="J154">
        <f>IF(G154="Sí", IF(H154="Sí", "DP", "SP"), IF(H154="Sí", "SD", "-"))</f>
        <v/>
      </c>
      <c s="18" r="K154">
        <f>IF(IFERROR(L154,7)=7,"",RIGHT(L154,LEN(L154)-2)&amp;".")</f>
        <v/>
      </c>
      <c s="18" r="L154">
        <f>IFERROR(__xludf.dummyfunction("CONCATENATE(ArrayFormula(""; ""&amp;QUERY(Hallazgos!A:E,""SELECT B WHERE E CONTAINS '""&amp;A3&amp;""' LABEL B ''"")))"),"#VALUE!")</f>
        <v/>
      </c>
    </row>
    <row customHeight="1" s="134" r="155" ht="15.75" spans="1:12">
      <c s="58" r="A155" t="s">
        <v>453</v>
      </c>
      <c s="58" r="B155" t="s">
        <v>521</v>
      </c>
      <c s="61" r="C155" t="s">
        <v>66</v>
      </c>
      <c s="59" r="D155" t="s">
        <v>505</v>
      </c>
      <c s="59" r="E155" t="s">
        <v>450</v>
      </c>
      <c s="59" r="F155" t="s">
        <v>101</v>
      </c>
      <c s="19" r="G155" t="s">
        <v>29</v>
      </c>
      <c s="19" r="H155" t="s">
        <v>29</v>
      </c>
      <c s="19" r="I155" t="s">
        <v>29</v>
      </c>
      <c s="19" r="J155">
        <f>IF(G155="Sí", IF(H155="Sí", "DP", "SP"), IF(H155="Sí", "SD", "-"))</f>
        <v/>
      </c>
      <c s="18" r="K155">
        <f>IF(IFERROR(L155,7)=7,"",RIGHT(L155,LEN(L155)-2)&amp;".")</f>
        <v/>
      </c>
      <c s="18" r="L155">
        <f>IFERROR(__xludf.dummyfunction("CONCATENATE(ArrayFormula(""; ""&amp;QUERY(Hallazgos!A:E,""SELECT B WHERE E CONTAINS '""&amp;A3&amp;""' LABEL B ''"")))"),"#VALUE!")</f>
        <v/>
      </c>
    </row>
    <row customHeight="1" s="134" r="156" ht="15.75" spans="1:12">
      <c s="58" r="A156" t="s">
        <v>455</v>
      </c>
      <c s="58" r="B156" t="s">
        <v>523</v>
      </c>
      <c s="61" r="C156" t="s">
        <v>66</v>
      </c>
      <c s="59" r="D156" t="s">
        <v>505</v>
      </c>
      <c s="59" r="E156" t="s">
        <v>160</v>
      </c>
      <c s="59" r="F156" t="s">
        <v>101</v>
      </c>
      <c s="19" r="G156" t="s">
        <v>29</v>
      </c>
      <c s="19" r="H156" t="s">
        <v>29</v>
      </c>
      <c s="19" r="I156" t="s">
        <v>29</v>
      </c>
      <c s="19" r="J156">
        <f>IF(G156="Sí", IF(H156="Sí", "DP", "SP"), IF(H156="Sí", "SD", "-"))</f>
        <v/>
      </c>
      <c s="18" r="K156">
        <f>IF(IFERROR(L156,7)=7,"",RIGHT(L156,LEN(L156)-2)&amp;".")</f>
        <v/>
      </c>
      <c s="18" r="L156">
        <f>IFERROR(__xludf.dummyfunction("CONCATENATE(ArrayFormula(""; ""&amp;QUERY(Hallazgos!A:E,""SELECT B WHERE E CONTAINS '""&amp;A3&amp;""' LABEL B ''"")))"),"#VALUE!")</f>
        <v/>
      </c>
    </row>
    <row customHeight="1" s="134" r="157" ht="15.75" spans="1:12">
      <c s="58" r="A157" t="s">
        <v>457</v>
      </c>
      <c s="58" r="B157" t="s">
        <v>903</v>
      </c>
      <c s="61" r="C157" t="s">
        <v>84</v>
      </c>
      <c s="59" r="D157" t="s">
        <v>590</v>
      </c>
      <c s="59" r="E157" t="s">
        <v>68</v>
      </c>
      <c s="59" r="F157" t="s">
        <v>90</v>
      </c>
      <c s="19" r="G157" t="s">
        <v>29</v>
      </c>
      <c s="19" r="H157" t="s">
        <v>29</v>
      </c>
      <c s="19" r="I157" t="s">
        <v>29</v>
      </c>
      <c s="19" r="J157">
        <f>IF(G157="Sí", IF(H157="Sí", "DP", "SP"), IF(H157="Sí", "SD", "-"))</f>
        <v/>
      </c>
      <c s="18" r="K157">
        <f>IF(IFERROR(L157,7)=7,"",RIGHT(L157,LEN(L157)-2)&amp;".")</f>
        <v/>
      </c>
      <c s="18" r="L157">
        <f>IFERROR(__xludf.dummyfunction("CONCATENATE(ArrayFormula(""; ""&amp;QUERY(Hallazgos!A:E,""SELECT B WHERE E CONTAINS '""&amp;A3&amp;""' LABEL B ''"")))"),"#VALUE!")</f>
        <v/>
      </c>
    </row>
    <row customHeight="1" s="134" r="158" ht="15.75" spans="1:12">
      <c s="58" r="A158" t="s">
        <v>461</v>
      </c>
      <c s="58" r="B158" t="s">
        <v>594</v>
      </c>
      <c s="61" r="C158" t="s">
        <v>84</v>
      </c>
      <c s="59" r="D158" t="s">
        <v>590</v>
      </c>
      <c s="59" r="E158" t="s">
        <v>68</v>
      </c>
      <c s="59" r="F158" t="s">
        <v>90</v>
      </c>
      <c s="19" r="G158" t="s">
        <v>29</v>
      </c>
      <c s="19" r="H158" t="s">
        <v>29</v>
      </c>
      <c s="19" r="I158" t="s">
        <v>29</v>
      </c>
      <c s="19" r="J158">
        <f>IF(G158="Sí", IF(H158="Sí", "DP", "SP"), IF(H158="Sí", "SD", "-"))</f>
        <v/>
      </c>
      <c s="18" r="K158">
        <f>IF(IFERROR(L158,7)=7,"",RIGHT(L158,LEN(L158)-2)&amp;".")</f>
        <v/>
      </c>
      <c s="18" r="L158">
        <f>IFERROR(__xludf.dummyfunction("CONCATENATE(ArrayFormula(""; ""&amp;QUERY(Hallazgos!A:E,""SELECT B WHERE E CONTAINS '""&amp;A3&amp;""' LABEL B ''"")))"),"#VALUE!")</f>
        <v/>
      </c>
    </row>
    <row customHeight="1" s="134" r="159" ht="15.75" spans="1:12">
      <c s="58" r="A159" t="s">
        <v>463</v>
      </c>
      <c s="58" r="B159" t="s">
        <v>200</v>
      </c>
      <c s="61" r="C159" t="s">
        <v>84</v>
      </c>
      <c s="59" r="D159" t="s">
        <v>581</v>
      </c>
      <c s="59" r="E159" t="s">
        <v>176</v>
      </c>
      <c s="59" r="F159" t="s">
        <v>101</v>
      </c>
      <c s="19" r="G159" t="s">
        <v>29</v>
      </c>
      <c s="19" r="H159" t="s">
        <v>29</v>
      </c>
      <c s="19" r="I159" t="s">
        <v>29</v>
      </c>
      <c s="19" r="J159">
        <f>IF(G159="Sí", IF(H159="Sí", "DP", "SP"), IF(H159="Sí", "SD", "-"))</f>
        <v/>
      </c>
      <c s="18" r="K159">
        <f>IF(IFERROR(L159,7)=7,"",RIGHT(L159,LEN(L159)-2)&amp;".")</f>
        <v/>
      </c>
      <c s="18" r="L159">
        <f>IFERROR(__xludf.dummyfunction("CONCATENATE(ArrayFormula(""; ""&amp;QUERY(Hallazgos!A:E,""SELECT B WHERE E CONTAINS '""&amp;A3&amp;""' LABEL B ''"")))"),"#VALUE!")</f>
        <v/>
      </c>
    </row>
    <row customHeight="1" s="134" r="160" ht="15.75" spans="1:12">
      <c s="58" r="A160" t="s">
        <v>465</v>
      </c>
      <c s="58" r="B160" t="s">
        <v>202</v>
      </c>
      <c s="61" r="C160" t="s">
        <v>84</v>
      </c>
      <c s="59" r="D160" t="s">
        <v>581</v>
      </c>
      <c s="59" r="E160" t="s">
        <v>68</v>
      </c>
      <c s="59" r="F160" t="s">
        <v>119</v>
      </c>
      <c s="19" r="G160" t="s">
        <v>29</v>
      </c>
      <c s="19" r="H160" t="s">
        <v>29</v>
      </c>
      <c s="19" r="I160" t="s">
        <v>29</v>
      </c>
      <c s="19" r="J160">
        <f>IF(G160="Sí", IF(H160="Sí", "DP", "SP"), IF(H160="Sí", "SD", "-"))</f>
        <v/>
      </c>
      <c s="18" r="K160">
        <f>IF(IFERROR(L160,7)=7,"",RIGHT(L160,LEN(L160)-2)&amp;".")</f>
        <v/>
      </c>
      <c s="18" r="L160">
        <f>IFERROR(__xludf.dummyfunction("CONCATENATE(ArrayFormula(""; ""&amp;QUERY(Hallazgos!A:E,""SELECT B WHERE E CONTAINS '""&amp;A3&amp;""' LABEL B ''"")))"),"#VALUE!")</f>
        <v/>
      </c>
    </row>
    <row customHeight="1" s="134" r="161" ht="15.75" spans="1:12">
      <c s="58" r="A161" t="s">
        <v>467</v>
      </c>
      <c s="58" r="B161" t="s">
        <v>904</v>
      </c>
      <c s="58" r="C161" t="s">
        <v>84</v>
      </c>
      <c s="59" r="D161" t="s">
        <v>590</v>
      </c>
      <c s="59" r="E161" t="s">
        <v>68</v>
      </c>
      <c s="59" r="F161" t="s">
        <v>90</v>
      </c>
      <c s="19" r="G161" t="s">
        <v>29</v>
      </c>
      <c s="19" r="H161" t="s">
        <v>29</v>
      </c>
      <c s="19" r="I161" t="s">
        <v>29</v>
      </c>
      <c s="19" r="J161">
        <f>IF(G161="Sí", IF(H161="Sí", "DP", "SP"), IF(H161="Sí", "SD", "-"))</f>
        <v/>
      </c>
      <c s="18" r="K161">
        <f>IF(IFERROR(L161,7)=7,"",RIGHT(L161,LEN(L161)-2)&amp;".")</f>
        <v/>
      </c>
      <c s="18" r="L161">
        <f>IFERROR(__xludf.dummyfunction("CONCATENATE(ArrayFormula(""; ""&amp;QUERY(Hallazgos!A:E,""SELECT B WHERE E CONTAINS '""&amp;A3&amp;""' LABEL B ''"")))"),"#VALUE!")</f>
        <v/>
      </c>
    </row>
    <row customHeight="1" s="134" r="162" ht="15.75" spans="1:12">
      <c s="61" r="A162" t="s">
        <v>469</v>
      </c>
      <c s="61" r="B162" t="s">
        <v>626</v>
      </c>
      <c s="61" r="C162" t="s">
        <v>84</v>
      </c>
      <c s="59" r="D162" t="s">
        <v>627</v>
      </c>
      <c s="59" r="E162" t="s">
        <v>127</v>
      </c>
      <c s="59" r="F162" t="s">
        <v>101</v>
      </c>
      <c s="19" r="G162" t="s">
        <v>29</v>
      </c>
      <c s="19" r="H162" t="s">
        <v>29</v>
      </c>
      <c s="19" r="I162" t="s">
        <v>29</v>
      </c>
      <c s="19" r="J162">
        <f>IF(G162="Sí", IF(H162="Sí", "DP", "SP"), IF(H162="Sí", "SD", "-"))</f>
        <v/>
      </c>
      <c s="18" r="K162">
        <f>IF(IFERROR(L162,7)=7,"",RIGHT(L162,LEN(L162)-2)&amp;".")</f>
        <v/>
      </c>
      <c s="18" r="L162">
        <f>IFERROR(__xludf.dummyfunction("CONCATENATE(ArrayFormula(""; ""&amp;QUERY(Hallazgos!A:E,""SELECT B WHERE E CONTAINS '""&amp;A3&amp;""' LABEL B ''"")))"),"#VALUE!")</f>
        <v/>
      </c>
    </row>
    <row customHeight="1" s="134" r="163" ht="15.75" spans="1:12">
      <c s="62" r="A163" t="s">
        <v>471</v>
      </c>
      <c s="62" r="B163" t="s">
        <v>905</v>
      </c>
      <c s="62" r="C163" t="s">
        <v>84</v>
      </c>
      <c s="59" r="D163" t="s">
        <v>627</v>
      </c>
      <c s="59" r="E163" t="s">
        <v>127</v>
      </c>
      <c s="59" r="F163" t="s">
        <v>101</v>
      </c>
      <c s="19" r="G163" t="s">
        <v>29</v>
      </c>
      <c s="19" r="H163" t="s">
        <v>29</v>
      </c>
      <c s="19" r="I163" t="s">
        <v>29</v>
      </c>
      <c s="19" r="J163">
        <f>IF(G163="Sí", IF(H163="Sí", "DP", "SP"), IF(H163="Sí", "SD", "-"))</f>
        <v/>
      </c>
      <c s="18" r="K163">
        <f>IF(IFERROR(L163,7)=7,"",RIGHT(L163,LEN(L163)-2)&amp;".")</f>
        <v/>
      </c>
      <c s="18" r="L163">
        <f>IFERROR(__xludf.dummyfunction("CONCATENATE(ArrayFormula(""; ""&amp;QUERY(Hallazgos!A:E,""SELECT B WHERE E CONTAINS '""&amp;A3&amp;""' LABEL B ''"")))"),"#VALUE!")</f>
        <v/>
      </c>
    </row>
    <row customHeight="1" s="134" r="164" ht="15.75" spans="1:12">
      <c s="61" r="A164" t="s">
        <v>497</v>
      </c>
      <c s="61" r="B164" t="s">
        <v>615</v>
      </c>
      <c s="61" r="C164" t="s">
        <v>66</v>
      </c>
      <c s="59" r="D164" t="s">
        <v>616</v>
      </c>
      <c s="59" r="E164" t="s">
        <v>118</v>
      </c>
      <c s="59" r="F164" t="s">
        <v>101</v>
      </c>
      <c s="19" r="G164" t="s">
        <v>29</v>
      </c>
      <c s="19" r="H164" t="s">
        <v>29</v>
      </c>
      <c s="19" r="I164" t="s">
        <v>29</v>
      </c>
      <c s="19" r="J164">
        <f>IF(G164="Sí", IF(H164="Sí", "DP", "SP"), IF(H164="Sí", "SD", "-"))</f>
        <v/>
      </c>
      <c s="18" r="K164">
        <f>IF(IFERROR(L164,7)=7,"",RIGHT(L164,LEN(L164)-2)&amp;".")</f>
        <v/>
      </c>
      <c s="18" r="L164">
        <f>IFERROR(__xludf.dummyfunction("CONCATENATE(ArrayFormula(""; ""&amp;QUERY(Hallazgos!A:E,""SELECT B WHERE E CONTAINS '""&amp;A3&amp;""' LABEL B ''"")))"),"#VALUE!")</f>
        <v/>
      </c>
    </row>
    <row customHeight="1" s="134" r="165" ht="15.75" spans="1:12">
      <c s="61" r="A165" t="s">
        <v>499</v>
      </c>
      <c s="61" r="B165" t="s">
        <v>618</v>
      </c>
      <c s="62" r="C165" t="s">
        <v>66</v>
      </c>
      <c s="59" r="D165" t="s">
        <v>616</v>
      </c>
      <c s="59" r="E165" t="s">
        <v>118</v>
      </c>
      <c s="59" r="F165" t="s">
        <v>101</v>
      </c>
      <c s="19" r="G165" t="s">
        <v>29</v>
      </c>
      <c s="19" r="H165" t="s">
        <v>29</v>
      </c>
      <c s="19" r="I165" t="s">
        <v>29</v>
      </c>
      <c s="19" r="J165">
        <f>IF(G165="Sí", IF(H165="Sí", "DP", "SP"), IF(H165="Sí", "SD", "-"))</f>
        <v/>
      </c>
      <c s="18" r="K165">
        <f>IF(IFERROR(L165,7)=7,"",RIGHT(L165,LEN(L165)-2)&amp;".")</f>
        <v/>
      </c>
      <c s="18" r="L165">
        <f>IFERROR(__xludf.dummyfunction("CONCATENATE(ArrayFormula(""; ""&amp;QUERY(Hallazgos!A:E,""SELECT B WHERE E CONTAINS '""&amp;A3&amp;""' LABEL B ''"")))"),"#VALUE!")</f>
        <v/>
      </c>
    </row>
    <row customHeight="1" s="134" r="166" ht="15.75" spans="1:12">
      <c s="61" r="A166" t="s">
        <v>501</v>
      </c>
      <c s="62" r="B166" t="s">
        <v>906</v>
      </c>
      <c s="61" r="C166" t="s">
        <v>84</v>
      </c>
      <c s="59" r="D166" t="s">
        <v>616</v>
      </c>
      <c s="59" r="E166" t="s">
        <v>142</v>
      </c>
      <c s="59" r="F166" t="s">
        <v>101</v>
      </c>
      <c s="19" r="G166" t="s">
        <v>29</v>
      </c>
      <c s="19" r="H166" t="s">
        <v>29</v>
      </c>
      <c s="19" r="I166" t="s">
        <v>29</v>
      </c>
      <c s="19" r="J166">
        <f>IF(G166="Sí", IF(H166="Sí", "DP", "SP"), IF(H166="Sí", "SD", "-"))</f>
        <v/>
      </c>
      <c s="18" r="K166">
        <f>IF(IFERROR(L166,7)=7,"",RIGHT(L166,LEN(L166)-2)&amp;".")</f>
        <v/>
      </c>
      <c s="18" r="L166">
        <f>IFERROR(__xludf.dummyfunction("CONCATENATE(ArrayFormula(""; ""&amp;QUERY(Hallazgos!A:E,""SELECT B WHERE E CONTAINS '""&amp;A3&amp;""' LABEL B ''"")))"),"#VALUE!")</f>
        <v/>
      </c>
    </row>
    <row customHeight="1" s="134" r="167" ht="15.75" spans="1:12">
      <c s="61" r="A167" t="s">
        <v>503</v>
      </c>
      <c s="62" r="B167" t="s">
        <v>907</v>
      </c>
      <c s="58" r="C167" t="s">
        <v>84</v>
      </c>
      <c s="59" r="D167" t="s">
        <v>616</v>
      </c>
      <c s="59" r="E167" t="s">
        <v>100</v>
      </c>
      <c s="59" r="F167" t="s">
        <v>101</v>
      </c>
      <c s="19" r="G167" t="s">
        <v>29</v>
      </c>
      <c s="19" r="H167" t="s">
        <v>29</v>
      </c>
      <c s="19" r="I167" t="s">
        <v>29</v>
      </c>
      <c s="19" r="J167">
        <f>IF(G167="Sí", IF(H167="Sí", "DP", "SP"), IF(H167="Sí", "SD", "-"))</f>
        <v/>
      </c>
      <c s="18" r="K167">
        <f>IF(IFERROR(L167,7)=7,"",RIGHT(L167,LEN(L167)-2)&amp;".")</f>
        <v/>
      </c>
      <c s="18" r="L167">
        <f>IFERROR(__xludf.dummyfunction("CONCATENATE(ArrayFormula(""; ""&amp;QUERY(Hallazgos!A:E,""SELECT B WHERE E CONTAINS '""&amp;A3&amp;""' LABEL B ''"")))"),"#VALUE!")</f>
        <v/>
      </c>
    </row>
    <row customHeight="1" s="134" r="168" ht="15.75" spans="1:12">
      <c s="61" r="A168" t="s">
        <v>506</v>
      </c>
      <c s="61" r="B168" t="s">
        <v>908</v>
      </c>
      <c s="61" r="C168" t="s">
        <v>66</v>
      </c>
      <c s="59" r="D168" t="s">
        <v>616</v>
      </c>
      <c s="59" r="E168" t="s">
        <v>226</v>
      </c>
      <c s="59" r="F168" t="s">
        <v>101</v>
      </c>
      <c s="19" r="G168" t="s">
        <v>29</v>
      </c>
      <c s="19" r="H168" t="s">
        <v>29</v>
      </c>
      <c s="19" r="I168" t="s">
        <v>29</v>
      </c>
      <c s="19" r="J168">
        <f>IF(G168="Sí", IF(H168="Sí", "DP", "SP"), IF(H168="Sí", "SD", "-"))</f>
        <v/>
      </c>
      <c s="18" r="K168">
        <f>IF(IFERROR(L168,7)=7,"",RIGHT(L168,LEN(L168)-2)&amp;".")</f>
        <v/>
      </c>
      <c s="18" r="L168">
        <f>IFERROR(__xludf.dummyfunction("CONCATENATE(ArrayFormula(""; ""&amp;QUERY(Hallazgos!A:E,""SELECT B WHERE E CONTAINS '""&amp;A3&amp;""' LABEL B ''"")))"),"#VALUE!")</f>
        <v/>
      </c>
    </row>
    <row customHeight="1" s="134" r="169" ht="15.75" spans="1:12">
      <c s="61" r="A169" t="s">
        <v>508</v>
      </c>
      <c s="61" r="B169" t="s">
        <v>909</v>
      </c>
      <c s="61" r="C169" t="s">
        <v>84</v>
      </c>
      <c s="59" r="D169" t="s">
        <v>910</v>
      </c>
      <c s="59" r="E169" t="s">
        <v>160</v>
      </c>
      <c s="59" r="F169" t="s">
        <v>101</v>
      </c>
      <c s="19" r="G169" t="s">
        <v>29</v>
      </c>
      <c s="19" r="H169" t="s">
        <v>29</v>
      </c>
      <c s="19" r="I169" t="s">
        <v>29</v>
      </c>
      <c s="19" r="J169">
        <f>IF(G169="Sí", IF(H169="Sí", "DP", "SP"), IF(H169="Sí", "SD", "-"))</f>
        <v/>
      </c>
      <c s="18" r="K169">
        <f>IF(IFERROR(L169,7)=7,"",RIGHT(L169,LEN(L169)-2)&amp;".")</f>
        <v/>
      </c>
      <c s="18" r="L169">
        <f>IFERROR(__xludf.dummyfunction("CONCATENATE(ArrayFormula(""; ""&amp;QUERY(Hallazgos!A:E,""SELECT B WHERE E CONTAINS '""&amp;A3&amp;""' LABEL B ''"")))"),"#VALUE!")</f>
        <v/>
      </c>
    </row>
    <row customHeight="1" s="134" r="170" ht="15.75" spans="1:12">
      <c s="61" r="A170" t="s">
        <v>510</v>
      </c>
      <c s="61" r="B170" t="s">
        <v>911</v>
      </c>
      <c s="61" r="C170" t="s">
        <v>84</v>
      </c>
      <c s="59" r="D170" t="s">
        <v>910</v>
      </c>
      <c s="59" r="E170" t="s">
        <v>160</v>
      </c>
      <c s="59" r="F170" t="s">
        <v>101</v>
      </c>
      <c s="19" r="G170" t="s">
        <v>29</v>
      </c>
      <c s="19" r="H170" t="s">
        <v>29</v>
      </c>
      <c s="19" r="I170" t="s">
        <v>29</v>
      </c>
      <c s="19" r="J170">
        <f>IF(G170="Sí", IF(H170="Sí", "DP", "SP"), IF(H170="Sí", "SD", "-"))</f>
        <v/>
      </c>
      <c s="18" r="K170">
        <f>IF(IFERROR(L170,7)=7,"",RIGHT(L170,LEN(L170)-2)&amp;".")</f>
        <v/>
      </c>
      <c s="18" r="L170">
        <f>IFERROR(__xludf.dummyfunction("CONCATENATE(ArrayFormula(""; ""&amp;QUERY(Hallazgos!A:E,""SELECT B WHERE E CONTAINS '""&amp;A3&amp;""' LABEL B ''"")))"),"#VALUE!")</f>
        <v/>
      </c>
    </row>
    <row customHeight="1" s="134" r="171" ht="15.75" spans="1:12">
      <c s="61" r="A171" t="s">
        <v>512</v>
      </c>
      <c s="61" r="B171" t="s">
        <v>912</v>
      </c>
      <c s="61" r="C171" t="s">
        <v>87</v>
      </c>
      <c s="59" r="D171" t="s">
        <v>115</v>
      </c>
      <c s="59" r="E171" t="s">
        <v>68</v>
      </c>
      <c s="59" r="F171" t="s">
        <v>101</v>
      </c>
      <c s="19" r="G171" t="s">
        <v>29</v>
      </c>
      <c s="19" r="H171" t="s">
        <v>29</v>
      </c>
      <c s="19" r="I171" t="s">
        <v>29</v>
      </c>
      <c s="19" r="J171">
        <f>IF(G171="Sí", IF(H171="Sí", "DP", "SP"), IF(H171="Sí", "SD", "-"))</f>
        <v/>
      </c>
      <c s="18" r="K171">
        <f>IF(IFERROR(L171,7)=7,"",RIGHT(L171,LEN(L171)-2)&amp;".")</f>
        <v/>
      </c>
      <c s="18" r="L171">
        <f>IFERROR(__xludf.dummyfunction("CONCATENATE(ArrayFormula(""; ""&amp;QUERY(Hallazgos!A:E,""SELECT B WHERE E CONTAINS '""&amp;A3&amp;""' LABEL B ''"")))"),"#VALUE!")</f>
        <v/>
      </c>
    </row>
    <row customHeight="1" s="134" r="172" ht="15.75" spans="1:12">
      <c s="61" r="A172" t="s">
        <v>514</v>
      </c>
      <c s="61" r="B172" t="s">
        <v>913</v>
      </c>
      <c s="61" r="C172" t="s">
        <v>87</v>
      </c>
      <c s="59" r="D172" t="s">
        <v>115</v>
      </c>
      <c s="59" r="E172" t="s">
        <v>118</v>
      </c>
      <c s="59" r="F172" t="s">
        <v>119</v>
      </c>
      <c s="19" r="G172" t="s">
        <v>29</v>
      </c>
      <c s="19" r="H172" t="s">
        <v>29</v>
      </c>
      <c s="19" r="I172" t="s">
        <v>29</v>
      </c>
      <c s="19" r="J172">
        <f>IF(G172="Sí", IF(H172="Sí", "DP", "SP"), IF(H172="Sí", "SD", "-"))</f>
        <v/>
      </c>
      <c s="18" r="K172">
        <f>IF(IFERROR(L172,7)=7,"",RIGHT(L172,LEN(L172)-2)&amp;".")</f>
        <v/>
      </c>
      <c s="18" r="L172">
        <f>IFERROR(__xludf.dummyfunction("CONCATENATE(ArrayFormula(""; ""&amp;QUERY(Hallazgos!A:E,""SELECT B WHERE E CONTAINS '""&amp;A3&amp;""' LABEL B ''"")))"),"#VALUE!")</f>
        <v/>
      </c>
    </row>
    <row customHeight="1" s="134" r="173" ht="15.75" spans="1:12">
      <c s="61" r="A173" t="s">
        <v>516</v>
      </c>
      <c s="61" r="B173" t="s">
        <v>914</v>
      </c>
      <c s="61" r="C173" t="s">
        <v>87</v>
      </c>
      <c s="59" r="D173" t="s">
        <v>115</v>
      </c>
      <c s="59" r="E173" t="s">
        <v>122</v>
      </c>
      <c s="59" r="F173" t="s">
        <v>101</v>
      </c>
      <c s="19" r="G173" t="s">
        <v>29</v>
      </c>
      <c s="19" r="H173" t="s">
        <v>29</v>
      </c>
      <c s="19" r="I173" t="s">
        <v>29</v>
      </c>
      <c s="19" r="J173">
        <f>IF(G173="Sí", IF(H173="Sí", "DP", "SP"), IF(H173="Sí", "SD", "-"))</f>
        <v/>
      </c>
      <c s="18" r="K173">
        <f>IF(IFERROR(L173,7)=7,"",RIGHT(L173,LEN(L173)-2)&amp;".")</f>
        <v/>
      </c>
      <c s="18" r="L173">
        <f>IFERROR(__xludf.dummyfunction("CONCATENATE(ArrayFormula(""; ""&amp;QUERY(Hallazgos!A:E,""SELECT B WHERE E CONTAINS '""&amp;A3&amp;""' LABEL B ''"")))"),"#VALUE!")</f>
        <v/>
      </c>
    </row>
    <row customHeight="1" s="134" r="174" ht="15.75" spans="1:12">
      <c s="61" r="A174" t="s">
        <v>518</v>
      </c>
      <c s="61" r="B174" t="s">
        <v>915</v>
      </c>
      <c s="61" r="C174" t="s">
        <v>87</v>
      </c>
      <c s="59" r="D174" t="s">
        <v>115</v>
      </c>
      <c s="59" r="E174" t="s">
        <v>122</v>
      </c>
      <c s="59" r="F174" t="s">
        <v>119</v>
      </c>
      <c s="19" r="G174" t="s">
        <v>29</v>
      </c>
      <c s="19" r="H174" t="s">
        <v>29</v>
      </c>
      <c s="19" r="I174" t="s">
        <v>29</v>
      </c>
      <c s="19" r="J174">
        <f>IF(G174="Sí", IF(H174="Sí", "DP", "SP"), IF(H174="Sí", "SD", "-"))</f>
        <v/>
      </c>
      <c s="18" r="K174">
        <f>IF(IFERROR(L174,7)=7,"",RIGHT(L174,LEN(L174)-2)&amp;".")</f>
        <v/>
      </c>
      <c s="18" r="L174">
        <f>IFERROR(__xludf.dummyfunction("CONCATENATE(ArrayFormula(""; ""&amp;QUERY(Hallazgos!A:E,""SELECT B WHERE E CONTAINS '""&amp;A3&amp;""' LABEL B ''"")))"),"#VALUE!")</f>
        <v/>
      </c>
    </row>
    <row customHeight="1" s="134" r="175" ht="15.75" spans="1:12">
      <c s="61" r="A175" t="s">
        <v>520</v>
      </c>
      <c s="61" r="B175" t="s">
        <v>916</v>
      </c>
      <c s="61" r="C175" t="s">
        <v>87</v>
      </c>
      <c s="59" r="D175" t="s">
        <v>115</v>
      </c>
      <c s="59" r="E175" t="s">
        <v>127</v>
      </c>
      <c s="59" r="F175" t="s">
        <v>101</v>
      </c>
      <c s="19" r="G175" t="s">
        <v>29</v>
      </c>
      <c s="19" r="H175" t="s">
        <v>29</v>
      </c>
      <c s="19" r="I175" t="s">
        <v>29</v>
      </c>
      <c s="19" r="J175">
        <f>IF(G175="Sí", IF(H175="Sí", "DP", "SP"), IF(H175="Sí", "SD", "-"))</f>
        <v/>
      </c>
      <c s="18" r="K175">
        <f>IF(IFERROR(L175,7)=7,"",RIGHT(L175,LEN(L175)-2)&amp;".")</f>
        <v/>
      </c>
      <c s="18" r="L175">
        <f>IFERROR(__xludf.dummyfunction("CONCATENATE(ArrayFormula(""; ""&amp;QUERY(Hallazgos!A:E,""SELECT B WHERE E CONTAINS '""&amp;A3&amp;""' LABEL B ''"")))"),"#VALUE!")</f>
        <v/>
      </c>
    </row>
    <row customHeight="1" s="134" r="176" ht="15.75" spans="1:12">
      <c s="61" r="A176" t="s">
        <v>522</v>
      </c>
      <c s="61" r="B176" t="s">
        <v>917</v>
      </c>
      <c s="61" r="C176" t="s">
        <v>87</v>
      </c>
      <c s="59" r="D176" t="s">
        <v>115</v>
      </c>
      <c s="59" r="E176" t="s">
        <v>127</v>
      </c>
      <c s="59" r="F176" t="s">
        <v>101</v>
      </c>
      <c s="19" r="G176" t="s">
        <v>29</v>
      </c>
      <c s="19" r="H176" t="s">
        <v>29</v>
      </c>
      <c s="19" r="I176" t="s">
        <v>29</v>
      </c>
      <c s="19" r="J176">
        <f>IF(G176="Sí", IF(H176="Sí", "DP", "SP"), IF(H176="Sí", "SD", "-"))</f>
        <v/>
      </c>
      <c s="18" r="K176">
        <f>IF(IFERROR(L176,7)=7,"",RIGHT(L176,LEN(L176)-2)&amp;".")</f>
        <v/>
      </c>
      <c s="18" r="L176">
        <f>IFERROR(__xludf.dummyfunction("CONCATENATE(ArrayFormula(""; ""&amp;QUERY(Hallazgos!A:E,""SELECT B WHERE E CONTAINS '""&amp;A3&amp;""' LABEL B ''"")))"),"#VALUE!")</f>
        <v/>
      </c>
    </row>
    <row customHeight="1" s="134" r="177" ht="15.75" spans="1:12">
      <c s="61" r="A177" t="s">
        <v>527</v>
      </c>
      <c s="61" r="B177" t="s">
        <v>918</v>
      </c>
      <c s="60" r="C177" t="s">
        <v>87</v>
      </c>
      <c s="59" r="D177" t="s">
        <v>231</v>
      </c>
      <c s="59" r="E177" t="s">
        <v>100</v>
      </c>
      <c s="59" r="F177" t="s">
        <v>101</v>
      </c>
      <c s="19" r="G177" t="s">
        <v>29</v>
      </c>
      <c s="19" r="H177" t="s">
        <v>29</v>
      </c>
      <c s="19" r="I177" t="s">
        <v>29</v>
      </c>
      <c s="19" r="J177">
        <f>IF(G177="Sí", IF(H177="Sí", "DP", "SP"), IF(H177="Sí", "SD", "-"))</f>
        <v/>
      </c>
      <c s="18" r="K177">
        <f>IF(IFERROR(L177,7)=7,"",RIGHT(L177,LEN(L177)-2)&amp;".")</f>
        <v/>
      </c>
      <c s="18" r="L177">
        <f>IFERROR(__xludf.dummyfunction("CONCATENATE(ArrayFormula(""; ""&amp;QUERY(Hallazgos!A:E,""SELECT B WHERE E CONTAINS '""&amp;A3&amp;""' LABEL B ''"")))"),"#VALUE!")</f>
        <v/>
      </c>
    </row>
    <row customHeight="1" s="134" r="178" ht="15.75" spans="1:12">
      <c s="61" r="A178" t="s">
        <v>529</v>
      </c>
      <c s="61" r="B178" t="s">
        <v>919</v>
      </c>
      <c s="61" r="C178" t="s">
        <v>87</v>
      </c>
      <c s="59" r="D178" t="s">
        <v>115</v>
      </c>
      <c s="59" r="E178" t="s">
        <v>127</v>
      </c>
      <c s="59" r="F178" t="s">
        <v>119</v>
      </c>
      <c s="19" r="G178" t="s">
        <v>29</v>
      </c>
      <c s="19" r="H178" t="s">
        <v>29</v>
      </c>
      <c s="19" r="I178" t="s">
        <v>29</v>
      </c>
      <c s="19" r="J178">
        <f>IF(G178="Sí", IF(H178="Sí", "DP", "SP"), IF(H178="Sí", "SD", "-"))</f>
        <v/>
      </c>
      <c s="18" r="K178">
        <f>IF(IFERROR(L178,7)=7,"",RIGHT(L178,LEN(L178)-2)&amp;".")</f>
        <v/>
      </c>
      <c s="18" r="L178">
        <f>IFERROR(__xludf.dummyfunction("CONCATENATE(ArrayFormula(""; ""&amp;QUERY(Hallazgos!A:E,""SELECT B WHERE E CONTAINS '""&amp;A3&amp;""' LABEL B ''"")))"),"#VALUE!")</f>
        <v/>
      </c>
    </row>
    <row customHeight="1" s="134" r="179" ht="15.75" spans="1:12">
      <c s="61" r="A179" t="s">
        <v>531</v>
      </c>
      <c s="61" r="B179" t="s">
        <v>920</v>
      </c>
      <c s="61" r="C179" t="s">
        <v>87</v>
      </c>
      <c s="59" r="D179" t="s">
        <v>115</v>
      </c>
      <c s="59" r="E179" t="s">
        <v>134</v>
      </c>
      <c s="59" r="F179" t="s">
        <v>119</v>
      </c>
      <c s="19" r="G179" t="s">
        <v>29</v>
      </c>
      <c s="19" r="H179" t="s">
        <v>29</v>
      </c>
      <c s="19" r="I179" t="s">
        <v>29</v>
      </c>
      <c s="19" r="J179">
        <f>IF(G179="Sí", IF(H179="Sí", "DP", "SP"), IF(H179="Sí", "SD", "-"))</f>
        <v/>
      </c>
      <c s="18" r="K179">
        <f>IF(IFERROR(L179,7)=7,"",RIGHT(L179,LEN(L179)-2)&amp;".")</f>
        <v/>
      </c>
      <c s="18" r="L179">
        <f>IFERROR(__xludf.dummyfunction("CONCATENATE(ArrayFormula(""; ""&amp;QUERY(Hallazgos!A:E,""SELECT B WHERE E CONTAINS '""&amp;A3&amp;""' LABEL B ''"")))"),"#VALUE!")</f>
        <v/>
      </c>
    </row>
    <row customHeight="1" s="134" r="180" ht="15.75" spans="1:12">
      <c s="61" r="A180" t="s">
        <v>534</v>
      </c>
      <c s="61" r="B180" t="s">
        <v>136</v>
      </c>
      <c s="61" r="C180" t="s">
        <v>87</v>
      </c>
      <c s="59" r="D180" t="s">
        <v>115</v>
      </c>
      <c s="59" r="E180" t="s">
        <v>127</v>
      </c>
      <c s="59" r="F180" t="s">
        <v>119</v>
      </c>
      <c s="19" r="G180" t="s">
        <v>29</v>
      </c>
      <c s="19" r="H180" t="s">
        <v>29</v>
      </c>
      <c s="19" r="I180" t="s">
        <v>29</v>
      </c>
      <c s="19" r="J180">
        <f>IF(G180="Sí", IF(H180="Sí", "DP", "SP"), IF(H180="Sí", "SD", "-"))</f>
        <v/>
      </c>
      <c s="18" r="K180">
        <f>IF(IFERROR(L180,7)=7,"",RIGHT(L180,LEN(L180)-2)&amp;".")</f>
        <v/>
      </c>
      <c s="18" r="L180">
        <f>IFERROR(__xludf.dummyfunction("CONCATENATE(ArrayFormula(""; ""&amp;QUERY(Hallazgos!A:E,""SELECT B WHERE E CONTAINS '""&amp;A3&amp;""' LABEL B ''"")))"),"#VALUE!")</f>
        <v/>
      </c>
    </row>
    <row customHeight="1" s="134" r="181" ht="15.75" spans="1:12">
      <c s="61" r="A181" t="s">
        <v>536</v>
      </c>
      <c s="61" r="B181" t="s">
        <v>921</v>
      </c>
      <c s="61" r="C181" t="s">
        <v>66</v>
      </c>
      <c s="59" r="D181" t="s">
        <v>643</v>
      </c>
      <c s="59" r="E181" t="s">
        <v>100</v>
      </c>
      <c s="59" r="F181" t="s">
        <v>101</v>
      </c>
      <c s="19" r="G181" t="s">
        <v>29</v>
      </c>
      <c s="19" r="H181" t="s">
        <v>29</v>
      </c>
      <c s="19" r="I181" t="s">
        <v>29</v>
      </c>
      <c s="19" r="J181">
        <f>IF(G181="Sí", IF(H181="Sí", "DP", "SP"), IF(H181="Sí", "SD", "-"))</f>
        <v/>
      </c>
      <c s="18" r="K181">
        <f>IF(IFERROR(L181,7)=7,"",RIGHT(L181,LEN(L181)-2)&amp;".")</f>
        <v/>
      </c>
      <c s="18" r="L181">
        <f>IFERROR(__xludf.dummyfunction("CONCATENATE(ArrayFormula(""; ""&amp;QUERY(Hallazgos!A:E,""SELECT B WHERE E CONTAINS '""&amp;A3&amp;""' LABEL B ''"")))"),"#VALUE!")</f>
        <v/>
      </c>
    </row>
    <row customHeight="1" s="134" r="182" ht="15.75" spans="1:12">
      <c s="61" r="A182" t="s">
        <v>538</v>
      </c>
      <c s="61" r="B182" t="s">
        <v>922</v>
      </c>
      <c s="61" r="C182" t="s">
        <v>87</v>
      </c>
      <c s="59" r="D182" t="s">
        <v>147</v>
      </c>
      <c s="59" r="E182" t="s">
        <v>122</v>
      </c>
      <c s="59" r="F182" t="s">
        <v>101</v>
      </c>
      <c s="19" r="G182" t="s">
        <v>29</v>
      </c>
      <c s="19" r="H182" t="s">
        <v>29</v>
      </c>
      <c s="19" r="I182" t="s">
        <v>29</v>
      </c>
      <c s="19" r="J182">
        <f>IF(G182="Sí", IF(H182="Sí", "DP", "SP"), IF(H182="Sí", "SD", "-"))</f>
        <v/>
      </c>
      <c s="18" r="K182">
        <f>IF(IFERROR(L182,7)=7,"",RIGHT(L182,LEN(L182)-2)&amp;".")</f>
        <v/>
      </c>
      <c s="18" r="L182">
        <f>IFERROR(__xludf.dummyfunction("CONCATENATE(ArrayFormula(""; ""&amp;QUERY(Hallazgos!A:E,""SELECT B WHERE E CONTAINS '""&amp;A3&amp;""' LABEL B ''"")))"),"#VALUE!")</f>
        <v/>
      </c>
    </row>
    <row customHeight="1" s="134" r="183" ht="15.75" spans="1:12">
      <c s="61" r="A183" t="s">
        <v>541</v>
      </c>
      <c s="61" r="B183" t="s">
        <v>649</v>
      </c>
      <c s="61" r="C183" t="s">
        <v>87</v>
      </c>
      <c s="59" r="D183" t="s">
        <v>643</v>
      </c>
      <c s="59" r="E183" t="s">
        <v>226</v>
      </c>
      <c s="59" r="F183" t="s">
        <v>101</v>
      </c>
      <c s="19" r="G183" t="s">
        <v>29</v>
      </c>
      <c s="19" r="H183" t="s">
        <v>29</v>
      </c>
      <c s="19" r="I183" t="s">
        <v>29</v>
      </c>
      <c s="19" r="J183">
        <f>IF(G183="Sí", IF(H183="Sí", "DP", "SP"), IF(H183="Sí", "SD", "-"))</f>
        <v/>
      </c>
      <c s="18" r="K183">
        <f>IF(IFERROR(L183,7)=7,"",RIGHT(L183,LEN(L183)-2)&amp;".")</f>
        <v/>
      </c>
      <c s="18" r="L183">
        <f>IFERROR(__xludf.dummyfunction("CONCATENATE(ArrayFormula(""; ""&amp;QUERY(Hallazgos!A:E,""SELECT B WHERE E CONTAINS '""&amp;A3&amp;""' LABEL B ''"")))"),"#VALUE!")</f>
        <v/>
      </c>
    </row>
    <row customHeight="1" s="134" r="184" ht="15.75" spans="1:12">
      <c s="61" r="A184" t="s">
        <v>546</v>
      </c>
      <c s="61" r="B184" t="s">
        <v>653</v>
      </c>
      <c s="61" r="C184" t="s">
        <v>66</v>
      </c>
      <c s="59" r="D184" t="s">
        <v>643</v>
      </c>
      <c s="59" r="E184" t="s">
        <v>68</v>
      </c>
      <c s="59" r="F184" t="s">
        <v>101</v>
      </c>
      <c s="19" r="G184" t="s">
        <v>29</v>
      </c>
      <c s="19" r="H184" t="s">
        <v>29</v>
      </c>
      <c s="19" r="I184" t="s">
        <v>29</v>
      </c>
      <c s="19" r="J184">
        <f>IF(G184="Sí", IF(H184="Sí", "DP", "SP"), IF(H184="Sí", "SD", "-"))</f>
        <v/>
      </c>
      <c s="18" r="K184">
        <f>IF(IFERROR(L184,7)=7,"",RIGHT(L184,LEN(L184)-2)&amp;".")</f>
        <v/>
      </c>
      <c s="18" r="L184">
        <f>IFERROR(__xludf.dummyfunction("CONCATENATE(ArrayFormula(""; ""&amp;QUERY(Hallazgos!A:E,""SELECT B WHERE E CONTAINS '""&amp;A3&amp;""' LABEL B ''"")))"),"#VALUE!")</f>
        <v/>
      </c>
    </row>
    <row customHeight="1" s="134" r="185" ht="15.75" spans="1:12">
      <c s="61" r="A185" t="s">
        <v>548</v>
      </c>
      <c s="61" r="B185" t="s">
        <v>923</v>
      </c>
      <c s="61" r="C185" t="s">
        <v>84</v>
      </c>
      <c s="59" r="D185" t="s">
        <v>643</v>
      </c>
      <c s="59" r="E185" t="s">
        <v>68</v>
      </c>
      <c s="59" r="F185" t="s">
        <v>101</v>
      </c>
      <c s="19" r="G185" t="s">
        <v>29</v>
      </c>
      <c s="19" r="H185" t="s">
        <v>29</v>
      </c>
      <c s="19" r="I185" t="s">
        <v>29</v>
      </c>
      <c s="19" r="J185">
        <f>IF(G185="Sí", IF(H185="Sí", "DP", "SP"), IF(H185="Sí", "SD", "-"))</f>
        <v/>
      </c>
      <c s="18" r="K185">
        <f>IF(IFERROR(L185,7)=7,"",RIGHT(L185,LEN(L185)-2)&amp;".")</f>
        <v/>
      </c>
      <c s="18" r="L185">
        <f>IFERROR(__xludf.dummyfunction("CONCATENATE(ArrayFormula(""; ""&amp;QUERY(Hallazgos!A:E,""SELECT B WHERE E CONTAINS '""&amp;A3&amp;""' LABEL B ''"")))"),"#VALUE!")</f>
        <v/>
      </c>
    </row>
    <row customHeight="1" s="134" r="186" ht="15.75" spans="1:12">
      <c s="61" r="A186" t="s">
        <v>551</v>
      </c>
      <c s="61" r="B186" t="s">
        <v>924</v>
      </c>
      <c s="61" r="C186" t="s">
        <v>66</v>
      </c>
      <c s="59" r="D186" t="s">
        <v>643</v>
      </c>
      <c s="59" r="E186" t="s">
        <v>226</v>
      </c>
      <c s="59" r="F186" t="s">
        <v>101</v>
      </c>
      <c s="19" r="G186" t="s">
        <v>29</v>
      </c>
      <c s="19" r="H186" t="s">
        <v>29</v>
      </c>
      <c s="19" r="I186" t="s">
        <v>29</v>
      </c>
      <c s="19" r="J186">
        <f>IF(G186="Sí", IF(H186="Sí", "DP", "SP"), IF(H186="Sí", "SD", "-"))</f>
        <v/>
      </c>
      <c s="18" r="K186">
        <f>IF(IFERROR(L186,7)=7,"",RIGHT(L186,LEN(L186)-2)&amp;".")</f>
        <v/>
      </c>
      <c s="18" r="L186">
        <f>IFERROR(__xludf.dummyfunction("CONCATENATE(ArrayFormula(""; ""&amp;QUERY(Hallazgos!A:E,""SELECT B WHERE E CONTAINS '""&amp;A3&amp;""' LABEL B ''"")))"),"#VALUE!")</f>
        <v/>
      </c>
    </row>
    <row customHeight="1" s="134" r="187" ht="15.75" spans="1:12">
      <c s="61" r="A187" t="s">
        <v>553</v>
      </c>
      <c s="61" r="B187" t="s">
        <v>925</v>
      </c>
      <c s="61" r="C187" t="s">
        <v>66</v>
      </c>
      <c s="59" r="D187" t="s">
        <v>643</v>
      </c>
      <c s="59" r="E187" t="s">
        <v>226</v>
      </c>
      <c s="59" r="F187" t="s">
        <v>101</v>
      </c>
      <c s="19" r="G187" t="s">
        <v>29</v>
      </c>
      <c s="19" r="H187" t="s">
        <v>29</v>
      </c>
      <c s="19" r="I187" t="s">
        <v>29</v>
      </c>
      <c s="19" r="J187">
        <f>IF(G187="Sí", IF(H187="Sí", "DP", "SP"), IF(H187="Sí", "SD", "-"))</f>
        <v/>
      </c>
      <c s="18" r="K187">
        <f>IF(IFERROR(L187,7)=7,"",RIGHT(L187,LEN(L187)-2)&amp;".")</f>
        <v/>
      </c>
      <c s="18" r="L187">
        <f>IFERROR(__xludf.dummyfunction("CONCATENATE(ArrayFormula(""; ""&amp;QUERY(Hallazgos!A:E,""SELECT B WHERE E CONTAINS '""&amp;A3&amp;""' LABEL B ''"")))"),"#VALUE!")</f>
        <v/>
      </c>
    </row>
    <row customHeight="1" s="134" r="188" ht="15.75" spans="1:12">
      <c s="61" r="A188" t="s">
        <v>555</v>
      </c>
      <c s="61" r="B188" t="s">
        <v>926</v>
      </c>
      <c s="61" r="C188" t="s">
        <v>66</v>
      </c>
      <c s="59" r="D188" t="s">
        <v>643</v>
      </c>
      <c s="59" r="E188" t="s">
        <v>127</v>
      </c>
      <c s="59" r="F188" t="s">
        <v>101</v>
      </c>
      <c s="19" r="G188" t="s">
        <v>29</v>
      </c>
      <c s="19" r="H188" t="s">
        <v>29</v>
      </c>
      <c s="19" r="I188" t="s">
        <v>29</v>
      </c>
      <c s="19" r="J188">
        <f>IF(G188="Sí", IF(H188="Sí", "DP", "SP"), IF(H188="Sí", "SD", "-"))</f>
        <v/>
      </c>
      <c s="18" r="K188">
        <f>IF(IFERROR(L188,7)=7,"",RIGHT(L188,LEN(L188)-2)&amp;".")</f>
        <v/>
      </c>
      <c s="18" r="L188">
        <f>IFERROR(__xludf.dummyfunction("CONCATENATE(ArrayFormula(""; ""&amp;QUERY(Hallazgos!A:E,""SELECT B WHERE E CONTAINS '""&amp;A3&amp;""' LABEL B ''"")))"),"#VALUE!")</f>
        <v/>
      </c>
    </row>
    <row customHeight="1" s="134" r="189" ht="15.75" spans="1:12">
      <c s="61" r="A189" t="s">
        <v>557</v>
      </c>
      <c s="61" r="B189" t="s">
        <v>927</v>
      </c>
      <c s="61" r="C189" t="s">
        <v>66</v>
      </c>
      <c s="59" r="D189" t="s">
        <v>643</v>
      </c>
      <c s="59" r="E189" t="s">
        <v>142</v>
      </c>
      <c s="59" r="F189" t="s">
        <v>101</v>
      </c>
      <c s="19" r="G189" t="s">
        <v>29</v>
      </c>
      <c s="19" r="H189" t="s">
        <v>29</v>
      </c>
      <c s="19" r="I189" t="s">
        <v>29</v>
      </c>
      <c s="19" r="J189">
        <f>IF(G189="Sí", IF(H189="Sí", "DP", "SP"), IF(H189="Sí", "SD", "-"))</f>
        <v/>
      </c>
      <c s="18" r="K189">
        <f>IF(IFERROR(L189,7)=7,"",RIGHT(L189,LEN(L189)-2)&amp;".")</f>
        <v/>
      </c>
      <c s="18" r="L189">
        <f>IFERROR(__xludf.dummyfunction("CONCATENATE(ArrayFormula(""; ""&amp;QUERY(Hallazgos!A:E,""SELECT B WHERE E CONTAINS '""&amp;A3&amp;""' LABEL B ''"")))"),"#VALUE!")</f>
        <v/>
      </c>
    </row>
    <row customHeight="1" s="134" r="190" ht="15.75" spans="1:12">
      <c s="61" r="A190" t="s">
        <v>559</v>
      </c>
      <c s="61" r="B190" t="s">
        <v>928</v>
      </c>
      <c s="61" r="C190" t="s">
        <v>66</v>
      </c>
      <c s="59" r="D190" t="s">
        <v>643</v>
      </c>
      <c s="59" r="E190" t="s">
        <v>142</v>
      </c>
      <c s="59" r="F190" t="s">
        <v>101</v>
      </c>
      <c s="19" r="G190" t="s">
        <v>29</v>
      </c>
      <c s="19" r="H190" t="s">
        <v>29</v>
      </c>
      <c s="19" r="I190" t="s">
        <v>29</v>
      </c>
      <c s="19" r="J190">
        <f>IF(G190="Sí", IF(H190="Sí", "DP", "SP"), IF(H190="Sí", "SD", "-"))</f>
        <v/>
      </c>
      <c s="18" r="K190">
        <f>IF(IFERROR(L190,7)=7,"",RIGHT(L190,LEN(L190)-2)&amp;".")</f>
        <v/>
      </c>
      <c s="18" r="L190">
        <f>IFERROR(__xludf.dummyfunction("CONCATENATE(ArrayFormula(""; ""&amp;QUERY(Hallazgos!A:E,""SELECT B WHERE E CONTAINS '""&amp;A3&amp;""' LABEL B ''"")))"),"#VALUE!")</f>
        <v/>
      </c>
    </row>
    <row customHeight="1" s="134" r="191" ht="15.75" spans="1:12">
      <c s="59" r="A191" t="s">
        <v>563</v>
      </c>
      <c s="59" r="B191" t="s">
        <v>669</v>
      </c>
      <c s="59" r="C191" t="s">
        <v>66</v>
      </c>
      <c s="59" r="D191" t="s">
        <v>643</v>
      </c>
      <c s="59" r="E191" t="s">
        <v>122</v>
      </c>
      <c s="59" r="F191" t="s">
        <v>148</v>
      </c>
      <c s="19" r="G191" t="s">
        <v>29</v>
      </c>
      <c s="19" r="H191" t="s">
        <v>29</v>
      </c>
      <c s="19" r="I191" t="s">
        <v>29</v>
      </c>
      <c s="19" r="J191">
        <f>IF(G191="Sí", IF(H191="Sí", "DP", "SP"), IF(H191="Sí", "SD", "-"))</f>
        <v/>
      </c>
      <c s="18" r="K191" t="n"/>
      <c s="18" r="L191">
        <f>IFERROR(__xludf.dummyfunction("CONCATENATE(ArrayFormula(""; ""&amp;QUERY(Hallazgos!A:E,""SELECT B WHERE E CONTAINS '""&amp;A3&amp;""' LABEL B ''"")))"),"#VALUE!")</f>
        <v/>
      </c>
    </row>
    <row customHeight="1" s="134" r="192" ht="15.75" spans="1:12">
      <c s="59" r="A192" t="s">
        <v>565</v>
      </c>
      <c s="59" r="B192" t="s">
        <v>929</v>
      </c>
      <c s="59" r="C192" t="s">
        <v>87</v>
      </c>
      <c s="59" r="D192" t="s">
        <v>643</v>
      </c>
      <c s="59" r="E192" t="s">
        <v>226</v>
      </c>
      <c s="59" r="F192" t="s">
        <v>101</v>
      </c>
      <c s="19" r="G192" t="s">
        <v>29</v>
      </c>
      <c s="19" r="H192" t="s">
        <v>29</v>
      </c>
      <c s="19" r="I192" t="s">
        <v>29</v>
      </c>
      <c s="19" r="J192">
        <f>IF(G192="Sí", IF(H192="Sí", "DP", "SP"), IF(H192="Sí", "SD", "-"))</f>
        <v/>
      </c>
      <c s="18" r="K192" t="n"/>
      <c s="18" r="L192">
        <f>IFERROR(__xludf.dummyfunction("CONCATENATE(ArrayFormula(""; ""&amp;QUERY(Hallazgos!A:E,""SELECT B WHERE E CONTAINS '""&amp;A3&amp;""' LABEL B ''"")))"),"#VALUE!")</f>
        <v/>
      </c>
    </row>
    <row customHeight="1" s="134" r="193" ht="15.75" spans="1:12">
      <c s="59" r="A193" t="s">
        <v>567</v>
      </c>
      <c s="59" r="B193" t="s">
        <v>930</v>
      </c>
      <c s="59" r="C193" t="s">
        <v>66</v>
      </c>
      <c s="59" r="D193" t="s">
        <v>643</v>
      </c>
      <c s="59" r="E193" t="s">
        <v>100</v>
      </c>
      <c s="59" r="F193" t="s">
        <v>101</v>
      </c>
      <c s="19" r="G193" t="s">
        <v>29</v>
      </c>
      <c s="19" r="H193" t="s">
        <v>29</v>
      </c>
      <c s="19" r="I193" t="s">
        <v>29</v>
      </c>
      <c s="19" r="J193">
        <f>IF(G193="Sí", IF(H193="Sí", "DP", "SP"), IF(H193="Sí", "SD", "-"))</f>
        <v/>
      </c>
      <c s="18" r="K193" t="n"/>
      <c s="18" r="L193">
        <f>IFERROR(__xludf.dummyfunction("CONCATENATE(ArrayFormula(""; ""&amp;QUERY(Hallazgos!A:E,""SELECT B WHERE E CONTAINS '""&amp;A3&amp;""' LABEL B ''"")))"),"#VALUE!")</f>
        <v/>
      </c>
    </row>
    <row customHeight="1" s="134" r="194" ht="15.75" spans="1:12">
      <c s="59" r="A194" t="s">
        <v>569</v>
      </c>
      <c s="59" r="B194" t="s">
        <v>675</v>
      </c>
      <c s="59" r="C194" t="s">
        <v>66</v>
      </c>
      <c s="59" r="D194" t="s">
        <v>643</v>
      </c>
      <c s="59" r="E194" t="s">
        <v>155</v>
      </c>
      <c s="59" r="F194" t="s">
        <v>101</v>
      </c>
      <c s="19" r="G194" t="s">
        <v>29</v>
      </c>
      <c s="19" r="H194" t="s">
        <v>29</v>
      </c>
      <c s="19" r="I194" t="s">
        <v>29</v>
      </c>
      <c s="19" r="J194">
        <f>IF(G194="Sí", IF(H194="Sí", "DP", "SP"), IF(H194="Sí", "SD", "-"))</f>
        <v/>
      </c>
      <c s="18" r="K194" t="n"/>
      <c s="18" r="L194">
        <f>IFERROR(__xludf.dummyfunction("CONCATENATE(ArrayFormula(""; ""&amp;QUERY(Hallazgos!A:E,""SELECT B WHERE E CONTAINS '""&amp;A3&amp;""' LABEL B ''"")))"),"#VALUE!")</f>
        <v/>
      </c>
    </row>
    <row customHeight="1" s="134" r="195" ht="15.75" spans="1:12">
      <c s="59" r="A195" t="s">
        <v>571</v>
      </c>
      <c s="59" r="B195" t="s">
        <v>931</v>
      </c>
      <c s="59" r="C195" t="s">
        <v>66</v>
      </c>
      <c s="59" r="D195" t="s">
        <v>643</v>
      </c>
      <c s="59" r="E195" t="s">
        <v>223</v>
      </c>
      <c s="59" r="F195" t="s">
        <v>101</v>
      </c>
      <c s="19" r="G195" t="s">
        <v>29</v>
      </c>
      <c s="19" r="H195" t="s">
        <v>29</v>
      </c>
      <c s="19" r="I195" t="s">
        <v>29</v>
      </c>
      <c s="19" r="J195">
        <f>IF(G195="Sí", IF(H195="Sí", "DP", "SP"), IF(H195="Sí", "SD", "-"))</f>
        <v/>
      </c>
      <c s="18" r="K195" t="n"/>
      <c s="18" r="L195">
        <f>IFERROR(__xludf.dummyfunction("CONCATENATE(ArrayFormula(""; ""&amp;QUERY(Hallazgos!A:E,""SELECT B WHERE E CONTAINS '""&amp;A3&amp;""' LABEL B ''"")))"),"#VALUE!")</f>
        <v/>
      </c>
    </row>
    <row customHeight="1" s="134" r="196" ht="15.75" spans="1:12">
      <c s="59" r="A196" t="s">
        <v>573</v>
      </c>
      <c s="59" r="B196" t="s">
        <v>679</v>
      </c>
      <c s="59" r="C196" t="s">
        <v>84</v>
      </c>
      <c s="59" r="D196" t="s">
        <v>643</v>
      </c>
      <c s="59" r="E196" t="s">
        <v>68</v>
      </c>
      <c s="59" r="F196" t="s">
        <v>90</v>
      </c>
      <c s="19" r="G196" t="s">
        <v>29</v>
      </c>
      <c s="19" r="H196" t="s">
        <v>29</v>
      </c>
      <c s="19" r="I196" t="s">
        <v>29</v>
      </c>
      <c s="19" r="J196">
        <f>IF(G196="Sí", IF(H196="Sí", "DP", "SP"), IF(H196="Sí", "SD", "-"))</f>
        <v/>
      </c>
      <c s="18" r="K196" t="n"/>
      <c s="18" r="L196">
        <f>IFERROR(__xludf.dummyfunction("CONCATENATE(ArrayFormula(""; ""&amp;QUERY(Hallazgos!A:E,""SELECT B WHERE E CONTAINS '""&amp;A3&amp;""' LABEL B ''"")))"),"#VALUE!")</f>
        <v/>
      </c>
    </row>
    <row customHeight="1" s="134" r="197" ht="15.75" spans="1:12">
      <c s="59" r="A197" t="s">
        <v>575</v>
      </c>
      <c s="59" r="B197" t="s">
        <v>932</v>
      </c>
      <c s="59" r="C197" t="s">
        <v>66</v>
      </c>
      <c s="59" r="D197" t="s">
        <v>643</v>
      </c>
      <c s="59" r="E197" t="s">
        <v>234</v>
      </c>
      <c s="59" r="F197" t="s">
        <v>101</v>
      </c>
      <c s="19" r="G197" t="s">
        <v>29</v>
      </c>
      <c s="19" r="H197" t="s">
        <v>29</v>
      </c>
      <c s="19" r="I197" t="s">
        <v>29</v>
      </c>
      <c s="19" r="J197">
        <f>IF(G197="Sí", IF(H197="Sí", "DP", "SP"), IF(H197="Sí", "SD", "-"))</f>
        <v/>
      </c>
      <c s="18" r="K197" t="n"/>
      <c s="18" r="L197">
        <f>IFERROR(__xludf.dummyfunction("CONCATENATE(ArrayFormula(""; ""&amp;QUERY(Hallazgos!A:E,""SELECT B WHERE E CONTAINS '""&amp;A3&amp;""' LABEL B ''"")))"),"#VALUE!")</f>
        <v/>
      </c>
    </row>
    <row customHeight="1" s="134" r="198" ht="15.75" spans="1:12">
      <c s="59" r="A198" t="s">
        <v>577</v>
      </c>
      <c s="59" r="B198" t="s">
        <v>933</v>
      </c>
      <c s="59" r="C198" t="s">
        <v>66</v>
      </c>
      <c s="59" r="D198" t="s">
        <v>643</v>
      </c>
      <c s="59" r="E198" t="s">
        <v>127</v>
      </c>
      <c s="59" r="F198" t="s">
        <v>101</v>
      </c>
      <c s="19" r="G198" t="s">
        <v>29</v>
      </c>
      <c s="19" r="H198" t="s">
        <v>29</v>
      </c>
      <c s="19" r="I198" t="s">
        <v>29</v>
      </c>
      <c s="19" r="J198">
        <f>IF(G198="Sí", IF(H198="Sí", "DP", "SP"), IF(H198="Sí", "SD", "-"))</f>
        <v/>
      </c>
      <c s="18" r="K198" t="n"/>
      <c s="18" r="L198">
        <f>IFERROR(__xludf.dummyfunction("CONCATENATE(ArrayFormula(""; ""&amp;QUERY(Hallazgos!A:E,""SELECT B WHERE E CONTAINS '""&amp;A3&amp;""' LABEL B ''"")))"),"#VALUE!")</f>
        <v/>
      </c>
    </row>
    <row customHeight="1" s="134" r="199" ht="15.75" spans="1:12">
      <c s="59" r="A199" t="s">
        <v>579</v>
      </c>
      <c s="59" r="B199" t="s">
        <v>934</v>
      </c>
      <c s="59" r="C199" t="s">
        <v>66</v>
      </c>
      <c s="59" r="D199" t="s">
        <v>643</v>
      </c>
      <c s="59" r="E199" t="s">
        <v>127</v>
      </c>
      <c s="59" r="F199" t="s">
        <v>101</v>
      </c>
      <c s="19" r="G199" t="s">
        <v>29</v>
      </c>
      <c s="19" r="H199" t="s">
        <v>29</v>
      </c>
      <c s="19" r="I199" t="s">
        <v>29</v>
      </c>
      <c s="19" r="J199">
        <f>IF(G199="Sí", IF(H199="Sí", "DP", "SP"), IF(H199="Sí", "SD", "-"))</f>
        <v/>
      </c>
      <c s="18" r="K199" t="n"/>
      <c s="18" r="L199">
        <f>IFERROR(__xludf.dummyfunction("CONCATENATE(ArrayFormula(""; ""&amp;QUERY(Hallazgos!A:E,""SELECT B WHERE E CONTAINS '""&amp;A3&amp;""' LABEL B ''"")))"),"#VALUE!")</f>
        <v/>
      </c>
    </row>
    <row customHeight="1" s="134" r="200" ht="15.75" spans="1:12">
      <c s="59" r="A200" t="s">
        <v>582</v>
      </c>
      <c s="59" r="B200" t="s">
        <v>685</v>
      </c>
      <c s="59" r="C200" t="s">
        <v>84</v>
      </c>
      <c s="59" r="D200" t="s">
        <v>643</v>
      </c>
      <c s="59" r="E200" t="s">
        <v>68</v>
      </c>
      <c s="59" r="F200" t="s">
        <v>148</v>
      </c>
      <c s="19" r="G200" t="s">
        <v>29</v>
      </c>
      <c s="19" r="H200" t="s">
        <v>29</v>
      </c>
      <c s="19" r="I200" t="s">
        <v>29</v>
      </c>
      <c s="19" r="J200">
        <f>IF(G200="Sí", IF(H200="Sí", "DP", "SP"), IF(H200="Sí", "SD", "-"))</f>
        <v/>
      </c>
      <c s="18" r="K200" t="n"/>
      <c s="18" r="L200">
        <f>IFERROR(__xludf.dummyfunction("CONCATENATE(ArrayFormula(""; ""&amp;QUERY(Hallazgos!A:E,""SELECT B WHERE E CONTAINS '""&amp;A3&amp;""' LABEL B ''"")))"),"#VALUE!")</f>
        <v/>
      </c>
    </row>
    <row customHeight="1" s="134" r="201" ht="15.75" spans="1:12">
      <c s="59" r="A201" t="s">
        <v>584</v>
      </c>
      <c s="59" r="B201" t="s">
        <v>687</v>
      </c>
      <c s="59" r="C201" t="s">
        <v>84</v>
      </c>
      <c s="59" r="D201" t="s">
        <v>643</v>
      </c>
      <c s="59" r="E201" t="s">
        <v>68</v>
      </c>
      <c s="59" r="F201" t="s">
        <v>148</v>
      </c>
      <c s="19" r="G201" t="s">
        <v>29</v>
      </c>
      <c s="19" r="H201" t="s">
        <v>29</v>
      </c>
      <c s="19" r="I201" t="s">
        <v>29</v>
      </c>
      <c s="19" r="J201">
        <f>IF(G201="Sí", IF(H201="Sí", "DP", "SP"), IF(H201="Sí", "SD", "-"))</f>
        <v/>
      </c>
      <c s="18" r="K201" t="n"/>
      <c s="18" r="L201">
        <f>IFERROR(__xludf.dummyfunction("CONCATENATE(ArrayFormula(""; ""&amp;QUERY(Hallazgos!A:E,""SELECT B WHERE E CONTAINS '""&amp;A3&amp;""' LABEL B ''"")))"),"#VALUE!")</f>
        <v/>
      </c>
    </row>
    <row customHeight="1" s="134" r="202" ht="15.75" spans="1:12">
      <c s="59" r="A202" t="s">
        <v>586</v>
      </c>
      <c s="59" r="B202" t="s">
        <v>103</v>
      </c>
      <c s="59" r="C202" t="s">
        <v>84</v>
      </c>
      <c s="59" r="D202" t="s">
        <v>104</v>
      </c>
      <c s="59" r="E202" t="s">
        <v>68</v>
      </c>
      <c s="59" r="F202" t="s">
        <v>101</v>
      </c>
      <c s="19" r="G202" t="s">
        <v>29</v>
      </c>
      <c s="19" r="H202" t="s">
        <v>29</v>
      </c>
      <c s="19" r="I202" t="s">
        <v>29</v>
      </c>
      <c s="19" r="J202">
        <f>IF(G202="Sí", IF(H202="Sí", "DP", "SP"), IF(H202="Sí", "SD", "-"))</f>
        <v/>
      </c>
      <c s="18" r="K202" t="n"/>
      <c s="18" r="L202">
        <f>IFERROR(__xludf.dummyfunction("CONCATENATE(ArrayFormula(""; ""&amp;QUERY(Hallazgos!A:E,""SELECT B WHERE E CONTAINS '""&amp;A3&amp;""' LABEL B ''"")))"),"#VALUE!")</f>
        <v/>
      </c>
    </row>
    <row customHeight="1" s="134" r="203" ht="15.75" spans="1:12">
      <c s="59" r="A203" t="s">
        <v>588</v>
      </c>
      <c s="59" r="B203" t="s">
        <v>106</v>
      </c>
      <c s="59" r="C203" t="s">
        <v>84</v>
      </c>
      <c s="59" r="D203" t="s">
        <v>104</v>
      </c>
      <c s="59" r="E203" t="s">
        <v>68</v>
      </c>
      <c s="59" r="F203" t="s">
        <v>101</v>
      </c>
      <c s="19" r="G203" t="s">
        <v>29</v>
      </c>
      <c s="19" r="H203" t="s">
        <v>29</v>
      </c>
      <c s="19" r="I203" t="s">
        <v>29</v>
      </c>
      <c s="19" r="J203">
        <f>IF(G203="Sí", IF(H203="Sí", "DP", "SP"), IF(H203="Sí", "SD", "-"))</f>
        <v/>
      </c>
      <c s="18" r="K203" t="n"/>
      <c s="18" r="L203">
        <f>IFERROR(__xludf.dummyfunction("CONCATENATE(ArrayFormula(""; ""&amp;QUERY(Hallazgos!A:E,""SELECT B WHERE E CONTAINS '""&amp;A3&amp;""' LABEL B ''"")))"),"#VALUE!")</f>
        <v/>
      </c>
    </row>
    <row customHeight="1" s="134" r="204" ht="15.75" spans="1:12">
      <c s="59" r="A204" t="s">
        <v>591</v>
      </c>
      <c s="59" r="B204" t="s">
        <v>108</v>
      </c>
      <c s="59" r="C204" t="s">
        <v>84</v>
      </c>
      <c s="59" r="D204" t="s">
        <v>104</v>
      </c>
      <c s="59" r="E204" t="s">
        <v>68</v>
      </c>
      <c s="59" r="F204" t="s">
        <v>69</v>
      </c>
      <c s="19" r="G204" t="s">
        <v>29</v>
      </c>
      <c s="19" r="H204" t="s">
        <v>29</v>
      </c>
      <c s="19" r="I204" t="s">
        <v>29</v>
      </c>
      <c s="19" r="J204">
        <f>IF(G204="Sí", IF(H204="Sí", "DP", "SP"), IF(H204="Sí", "SD", "-"))</f>
        <v/>
      </c>
      <c s="18" r="K204" t="n"/>
      <c s="18" r="L204">
        <f>IFERROR(__xludf.dummyfunction("CONCATENATE(ArrayFormula(""; ""&amp;QUERY(Hallazgos!A:E,""SELECT B WHERE E CONTAINS '""&amp;A3&amp;""' LABEL B ''"")))"),"#VALUE!")</f>
        <v/>
      </c>
    </row>
    <row customHeight="1" s="134" r="205" ht="15.75" spans="1:12">
      <c s="59" r="A205" t="s">
        <v>595</v>
      </c>
      <c s="59" r="B205" t="s">
        <v>935</v>
      </c>
      <c s="59" r="C205" t="s">
        <v>84</v>
      </c>
      <c s="59" r="D205" t="s">
        <v>104</v>
      </c>
      <c s="59" r="E205" t="s">
        <v>68</v>
      </c>
      <c s="59" r="F205" t="s">
        <v>101</v>
      </c>
      <c s="19" r="G205" t="s">
        <v>29</v>
      </c>
      <c s="19" r="H205" t="s">
        <v>29</v>
      </c>
      <c s="19" r="I205" t="s">
        <v>29</v>
      </c>
      <c s="19" r="J205">
        <f>IF(G205="Sí", IF(H205="Sí", "DP", "SP"), IF(H205="Sí", "SD", "-"))</f>
        <v/>
      </c>
      <c s="18" r="K205" t="n"/>
      <c s="18" r="L205">
        <f>IFERROR(__xludf.dummyfunction("CONCATENATE(ArrayFormula(""; ""&amp;QUERY(Hallazgos!A:E,""SELECT B WHERE E CONTAINS '""&amp;A3&amp;""' LABEL B ''"")))"),"#VALUE!")</f>
        <v/>
      </c>
    </row>
    <row customHeight="1" s="134" r="206" ht="15.75" spans="1:12">
      <c s="59" r="A206" t="s">
        <v>597</v>
      </c>
      <c s="59" r="B206" t="s">
        <v>936</v>
      </c>
      <c s="59" r="C206" t="s">
        <v>66</v>
      </c>
      <c s="59" r="D206" t="s">
        <v>643</v>
      </c>
      <c s="59" r="E206" t="s">
        <v>690</v>
      </c>
      <c s="59" r="F206" t="s">
        <v>101</v>
      </c>
      <c s="19" r="G206" t="s">
        <v>29</v>
      </c>
      <c s="19" r="H206" t="s">
        <v>29</v>
      </c>
      <c s="19" r="I206" t="s">
        <v>29</v>
      </c>
      <c s="19" r="J206">
        <f>IF(G206="Sí", IF(H206="Sí", "DP", "SP"), IF(H206="Sí", "SD", "-"))</f>
        <v/>
      </c>
      <c s="18" r="K206" t="n"/>
      <c s="18" r="L206">
        <f>IFERROR(__xludf.dummyfunction("CONCATENATE(ArrayFormula(""; ""&amp;QUERY(Hallazgos!A:E,""SELECT B WHERE E CONTAINS '""&amp;A3&amp;""' LABEL B ''"")))"),"#VALUE!")</f>
        <v/>
      </c>
    </row>
    <row customHeight="1" s="134" r="207" ht="15.75" spans="1:12">
      <c s="59" r="A207" t="s">
        <v>600</v>
      </c>
      <c s="59" r="B207" t="s">
        <v>937</v>
      </c>
      <c s="59" r="C207" t="s">
        <v>66</v>
      </c>
      <c s="59" r="D207" t="s">
        <v>643</v>
      </c>
      <c s="59" r="E207" t="s">
        <v>690</v>
      </c>
      <c s="59" r="F207" t="s">
        <v>101</v>
      </c>
      <c s="19" r="G207" t="s">
        <v>29</v>
      </c>
      <c s="19" r="H207" t="s">
        <v>29</v>
      </c>
      <c s="19" r="I207" t="s">
        <v>29</v>
      </c>
      <c s="19" r="J207">
        <f>IF(G207="Sí", IF(H207="Sí", "DP", "SP"), IF(H207="Sí", "SD", "-"))</f>
        <v/>
      </c>
      <c s="18" r="K207" t="n"/>
      <c s="18" r="L207">
        <f>IFERROR(__xludf.dummyfunction("CONCATENATE(ArrayFormula(""; ""&amp;QUERY(Hallazgos!A:E,""SELECT B WHERE E CONTAINS '""&amp;A3&amp;""' LABEL B ''"")))"),"#VALUE!")</f>
        <v/>
      </c>
    </row>
    <row customHeight="1" s="134" r="208" ht="15.75" spans="1:12">
      <c s="59" r="A208" t="s">
        <v>602</v>
      </c>
      <c s="59" r="B208" t="s">
        <v>436</v>
      </c>
      <c s="59" r="C208" t="s">
        <v>87</v>
      </c>
      <c s="59" r="D208" t="s">
        <v>394</v>
      </c>
      <c s="59" r="E208" t="s">
        <v>160</v>
      </c>
      <c s="59" r="F208" t="s">
        <v>119</v>
      </c>
      <c s="19" r="G208" t="s">
        <v>29</v>
      </c>
      <c s="19" r="H208" t="s">
        <v>29</v>
      </c>
      <c s="19" r="I208" t="s">
        <v>29</v>
      </c>
      <c s="19" r="J208">
        <f>IF(G208="Sí", IF(H208="Sí", "DP", "SP"), IF(H208="Sí", "SD", "-"))</f>
        <v/>
      </c>
      <c s="18" r="K208" t="n"/>
      <c s="18" r="L208">
        <f>IFERROR(__xludf.dummyfunction("CONCATENATE(ArrayFormula(""; ""&amp;QUERY(Hallazgos!A:E,""SELECT B WHERE E CONTAINS '""&amp;A3&amp;""' LABEL B ''"")))"),"#VALUE!")</f>
        <v/>
      </c>
    </row>
    <row customHeight="1" s="134" r="209" ht="15.75" spans="1:12">
      <c s="59" r="A209" t="s">
        <v>604</v>
      </c>
      <c s="59" r="B209" t="s">
        <v>938</v>
      </c>
      <c s="59" r="C209" t="s">
        <v>87</v>
      </c>
      <c s="59" r="D209" t="s">
        <v>312</v>
      </c>
      <c s="59" r="E209" t="s">
        <v>122</v>
      </c>
      <c s="59" r="F209" t="s">
        <v>119</v>
      </c>
      <c s="19" r="G209" t="s">
        <v>29</v>
      </c>
      <c s="19" r="H209" t="s">
        <v>29</v>
      </c>
      <c s="19" r="I209" t="s">
        <v>29</v>
      </c>
      <c s="19" r="J209">
        <f>IF(G209="Sí", IF(H209="Sí", "DP", "SP"), IF(H209="Sí", "SD", "-"))</f>
        <v/>
      </c>
      <c s="18" r="K209" t="n"/>
      <c s="18" r="L209">
        <f>IFERROR(__xludf.dummyfunction("CONCATENATE(ArrayFormula(""; ""&amp;QUERY(Hallazgos!A:E,""SELECT B WHERE E CONTAINS '""&amp;A3&amp;""' LABEL B ''"")))"),"#VALUE!")</f>
        <v/>
      </c>
    </row>
    <row customHeight="1" s="134" r="210" ht="15.75" spans="1:12">
      <c s="59" r="A210" t="s">
        <v>606</v>
      </c>
      <c s="59" r="B210" t="s">
        <v>327</v>
      </c>
      <c s="59" r="C210" t="s">
        <v>87</v>
      </c>
      <c s="59" r="D210" t="s">
        <v>312</v>
      </c>
      <c s="59" r="E210" t="s">
        <v>100</v>
      </c>
      <c s="59" r="F210" t="s">
        <v>101</v>
      </c>
      <c s="19" r="G210" t="s">
        <v>29</v>
      </c>
      <c s="19" r="H210" t="s">
        <v>29</v>
      </c>
      <c s="19" r="I210" t="s">
        <v>29</v>
      </c>
      <c s="19" r="J210">
        <f>IF(G210="Sí", IF(H210="Sí", "DP", "SP"), IF(H210="Sí", "SD", "-"))</f>
        <v/>
      </c>
      <c s="18" r="K210" t="n"/>
      <c s="18" r="L210">
        <f>IFERROR(__xludf.dummyfunction("CONCATENATE(ArrayFormula(""; ""&amp;QUERY(Hallazgos!A:E,""SELECT B WHERE E CONTAINS '""&amp;A3&amp;""' LABEL B ''"")))"),"#VALUE!")</f>
        <v/>
      </c>
    </row>
    <row customHeight="1" s="134" r="211" ht="15.75" spans="1:12">
      <c s="59" r="A211" t="s">
        <v>608</v>
      </c>
      <c s="59" r="B211" t="s">
        <v>329</v>
      </c>
      <c s="59" r="C211" t="s">
        <v>87</v>
      </c>
      <c s="59" r="D211" t="s">
        <v>312</v>
      </c>
      <c s="59" r="E211" t="s">
        <v>134</v>
      </c>
      <c s="59" r="F211" t="s">
        <v>101</v>
      </c>
      <c s="19" r="G211" t="s">
        <v>29</v>
      </c>
      <c s="19" r="H211" t="s">
        <v>29</v>
      </c>
      <c s="19" r="I211" t="s">
        <v>29</v>
      </c>
      <c s="19" r="J211">
        <f>IF(G211="Sí", IF(H211="Sí", "DP", "SP"), IF(H211="Sí", "SD", "-"))</f>
        <v/>
      </c>
      <c s="18" r="K211" t="n"/>
      <c s="18" r="L211">
        <f>IFERROR(__xludf.dummyfunction("CONCATENATE(ArrayFormula(""; ""&amp;QUERY(Hallazgos!A:E,""SELECT B WHERE E CONTAINS '""&amp;A3&amp;""' LABEL B ''"")))"),"#VALUE!")</f>
        <v/>
      </c>
    </row>
    <row customHeight="1" s="134" r="212" ht="15.75" spans="1:12">
      <c s="59" r="A212" t="s">
        <v>610</v>
      </c>
      <c s="59" r="B212" t="s">
        <v>939</v>
      </c>
      <c s="59" r="C212" t="s">
        <v>87</v>
      </c>
      <c s="59" r="D212" t="s">
        <v>550</v>
      </c>
      <c s="59" r="E212" t="s">
        <v>134</v>
      </c>
      <c s="59" r="F212" t="s">
        <v>101</v>
      </c>
      <c s="19" r="G212" t="s">
        <v>29</v>
      </c>
      <c s="19" r="H212" t="s">
        <v>29</v>
      </c>
      <c s="19" r="I212" t="s">
        <v>29</v>
      </c>
      <c s="19" r="J212">
        <f>IF(G212="Sí", IF(H212="Sí", "DP", "SP"), IF(H212="Sí", "SD", "-"))</f>
        <v/>
      </c>
      <c s="18" r="K212" t="n"/>
      <c s="18" r="L212">
        <f>IFERROR(__xludf.dummyfunction("CONCATENATE(ArrayFormula(""; ""&amp;QUERY(Hallazgos!A:E,""SELECT B WHERE E CONTAINS '""&amp;A3&amp;""' LABEL B ''"")))"),"#VALUE!")</f>
        <v/>
      </c>
    </row>
    <row customHeight="1" s="134" r="213" ht="15.75" spans="1:12">
      <c s="59" r="A213" t="s">
        <v>612</v>
      </c>
      <c s="59" r="B213" t="s">
        <v>940</v>
      </c>
      <c s="59" r="C213" t="s">
        <v>87</v>
      </c>
      <c s="59" r="D213" t="s">
        <v>394</v>
      </c>
      <c s="59" r="E213" t="s">
        <v>160</v>
      </c>
      <c s="59" r="F213" t="s">
        <v>119</v>
      </c>
      <c s="19" r="G213" t="s">
        <v>29</v>
      </c>
      <c s="19" r="H213" t="s">
        <v>29</v>
      </c>
      <c s="19" r="I213" t="s">
        <v>29</v>
      </c>
      <c s="19" r="J213">
        <f>IF(G213="Sí", IF(H213="Sí", "DP", "SP"), IF(H213="Sí", "SD", "-"))</f>
        <v/>
      </c>
      <c s="18" r="K213" t="n"/>
      <c s="18" r="L213">
        <f>IFERROR(__xludf.dummyfunction("CONCATENATE(ArrayFormula(""; ""&amp;QUERY(Hallazgos!A:E,""SELECT B WHERE E CONTAINS '""&amp;A3&amp;""' LABEL B ''"")))"),"#VALUE!")</f>
        <v/>
      </c>
    </row>
    <row customHeight="1" s="134" r="214" ht="15.75" spans="1:12">
      <c s="59" r="A214" t="s">
        <v>614</v>
      </c>
      <c s="59" r="B214" t="s">
        <v>466</v>
      </c>
      <c s="59" r="C214" t="s">
        <v>66</v>
      </c>
      <c s="59" r="D214" t="s">
        <v>443</v>
      </c>
      <c s="59" r="E214" t="s">
        <v>127</v>
      </c>
      <c s="59" r="F214" t="s">
        <v>69</v>
      </c>
      <c s="19" r="G214" t="s">
        <v>29</v>
      </c>
      <c s="19" r="H214" t="s">
        <v>29</v>
      </c>
      <c s="19" r="I214" t="s">
        <v>29</v>
      </c>
      <c s="19" r="J214">
        <f>IF(G214="Sí", IF(H214="Sí", "DP", "SP"), IF(H214="Sí", "SD", "-"))</f>
        <v/>
      </c>
      <c s="18" r="K214" t="n"/>
      <c s="18" r="L214">
        <f>IFERROR(__xludf.dummyfunction("CONCATENATE(ArrayFormula(""; ""&amp;QUERY(Hallazgos!A:E,""SELECT B WHERE E CONTAINS '""&amp;A3&amp;""' LABEL B ''"")))"),"#VALUE!")</f>
        <v/>
      </c>
    </row>
    <row customHeight="1" s="134" r="215" ht="15.75" spans="1:12">
      <c s="59" r="A215" t="s">
        <v>617</v>
      </c>
      <c s="59" r="B215" t="s">
        <v>468</v>
      </c>
      <c s="59" r="C215" t="s">
        <v>66</v>
      </c>
      <c s="59" r="D215" t="s">
        <v>443</v>
      </c>
      <c s="59" r="E215" t="s">
        <v>127</v>
      </c>
      <c s="59" r="F215" t="s">
        <v>69</v>
      </c>
      <c s="19" r="G215" t="s">
        <v>29</v>
      </c>
      <c s="19" r="H215" t="s">
        <v>29</v>
      </c>
      <c s="19" r="I215" t="s">
        <v>29</v>
      </c>
      <c s="19" r="J215">
        <f>IF(G215="Sí", IF(H215="Sí", "DP", "SP"), IF(H215="Sí", "SD", "-"))</f>
        <v/>
      </c>
      <c s="18" r="K215" t="n"/>
      <c s="18" r="L215">
        <f>IFERROR(__xludf.dummyfunction("CONCATENATE(ArrayFormula(""; ""&amp;QUERY(Hallazgos!A:E,""SELECT B WHERE E CONTAINS '""&amp;A3&amp;""' LABEL B ''"")))"),"#VALUE!")</f>
        <v/>
      </c>
    </row>
    <row customHeight="1" s="134" r="216" ht="15.75" spans="1:12">
      <c s="59" r="A216" t="s">
        <v>619</v>
      </c>
      <c s="59" r="B216" t="s">
        <v>470</v>
      </c>
      <c s="59" r="C216" t="s">
        <v>66</v>
      </c>
      <c s="59" r="D216" t="s">
        <v>443</v>
      </c>
      <c s="59" r="E216" t="s">
        <v>127</v>
      </c>
      <c s="59" r="F216" t="s">
        <v>90</v>
      </c>
      <c s="19" r="G216" t="s">
        <v>29</v>
      </c>
      <c s="19" r="H216" t="s">
        <v>29</v>
      </c>
      <c s="19" r="I216" t="s">
        <v>29</v>
      </c>
      <c s="19" r="J216">
        <f>IF(G216="Sí", IF(H216="Sí", "DP", "SP"), IF(H216="Sí", "SD", "-"))</f>
        <v/>
      </c>
      <c s="18" r="K216" t="n"/>
      <c s="18" r="L216">
        <f>IFERROR(__xludf.dummyfunction("CONCATENATE(ArrayFormula(""; ""&amp;QUERY(Hallazgos!A:E,""SELECT B WHERE E CONTAINS '""&amp;A3&amp;""' LABEL B ''"")))"),"#VALUE!")</f>
        <v/>
      </c>
    </row>
    <row customHeight="1" s="134" r="217" ht="15.75" spans="1:12">
      <c s="59" r="A217" t="s">
        <v>621</v>
      </c>
      <c s="59" r="B217" t="s">
        <v>472</v>
      </c>
      <c s="59" r="C217" t="s">
        <v>66</v>
      </c>
      <c s="59" r="D217" t="s">
        <v>443</v>
      </c>
      <c s="59" r="E217" t="s">
        <v>127</v>
      </c>
      <c s="59" r="F217" t="s">
        <v>119</v>
      </c>
      <c s="19" r="G217" t="s">
        <v>29</v>
      </c>
      <c s="19" r="H217" t="s">
        <v>29</v>
      </c>
      <c s="19" r="I217" t="s">
        <v>29</v>
      </c>
      <c s="19" r="J217">
        <f>IF(G217="Sí", IF(H217="Sí", "DP", "SP"), IF(H217="Sí", "SD", "-"))</f>
        <v/>
      </c>
      <c s="18" r="K217" t="n"/>
      <c s="18" r="L217">
        <f>IFERROR(__xludf.dummyfunction("CONCATENATE(ArrayFormula(""; ""&amp;QUERY(Hallazgos!A:E,""SELECT B WHERE E CONTAINS '""&amp;A3&amp;""' LABEL B ''"")))"),"#VALUE!")</f>
        <v/>
      </c>
    </row>
    <row customHeight="1" s="134" r="218" ht="15.75" spans="1:12">
      <c s="59" r="A218" t="s">
        <v>623</v>
      </c>
      <c s="59" r="B218" t="s">
        <v>474</v>
      </c>
      <c s="59" r="C218" t="s">
        <v>66</v>
      </c>
      <c s="59" r="D218" t="s">
        <v>443</v>
      </c>
      <c s="59" r="E218" t="s">
        <v>127</v>
      </c>
      <c s="59" r="F218" t="s">
        <v>101</v>
      </c>
      <c s="19" r="G218" t="s">
        <v>29</v>
      </c>
      <c s="19" r="H218" t="s">
        <v>29</v>
      </c>
      <c s="19" r="I218" t="s">
        <v>29</v>
      </c>
      <c s="19" r="J218">
        <f>IF(G218="Sí", IF(H218="Sí", "DP", "SP"), IF(H218="Sí", "SD", "-"))</f>
        <v/>
      </c>
      <c s="18" r="K218" t="n"/>
      <c s="18" r="L218">
        <f>IFERROR(__xludf.dummyfunction("CONCATENATE(ArrayFormula(""; ""&amp;QUERY(Hallazgos!A:E,""SELECT B WHERE E CONTAINS '""&amp;A3&amp;""' LABEL B ''"")))"),"#VALUE!")</f>
        <v/>
      </c>
    </row>
    <row customHeight="1" s="134" r="219" ht="15.75" spans="1:12">
      <c s="59" r="A219" t="s">
        <v>625</v>
      </c>
      <c s="59" r="B219" t="s">
        <v>692</v>
      </c>
      <c s="59" r="C219" t="s">
        <v>66</v>
      </c>
      <c s="59" r="D219" t="s">
        <v>643</v>
      </c>
      <c s="59" r="E219" t="s">
        <v>160</v>
      </c>
      <c s="59" r="F219" t="s">
        <v>101</v>
      </c>
      <c s="19" r="G219" t="s">
        <v>29</v>
      </c>
      <c s="19" r="H219" t="s">
        <v>29</v>
      </c>
      <c s="19" r="I219" t="s">
        <v>29</v>
      </c>
      <c s="19" r="J219">
        <f>IF(G219="Sí", IF(H219="Sí", "DP", "SP"), IF(H219="Sí", "SD", "-"))</f>
        <v/>
      </c>
      <c s="18" r="K219" t="n"/>
      <c s="18" r="L219">
        <f>IFERROR(__xludf.dummyfunction("CONCATENATE(ArrayFormula(""; ""&amp;QUERY(Hallazgos!A:E,""SELECT B WHERE E CONTAINS '""&amp;A3&amp;""' LABEL B ''"")))"),"#VALUE!")</f>
        <v/>
      </c>
    </row>
    <row customHeight="1" s="134" r="220" ht="15.75" spans="1:12">
      <c s="63" r="A220" t="n"/>
      <c s="20" r="B220" t="n"/>
      <c s="20" r="C220" t="n"/>
      <c s="63" r="D220" t="n"/>
      <c s="63" r="E220" t="n"/>
      <c s="63" r="F220" t="n"/>
      <c s="64" r="G220" t="n"/>
      <c s="64" r="H220" t="n"/>
      <c s="64" r="I220" t="n"/>
      <c s="63" r="J220" t="n"/>
      <c s="65" r="K220" t="n"/>
      <c s="63" r="L220" t="n"/>
    </row>
    <row customHeight="1" s="134" r="221" ht="15.75" spans="1:12">
      <c s="66" r="A221" t="n"/>
      <c s="23" r="B221" t="s">
        <v>941</v>
      </c>
      <c s="22" r="C221" t="s">
        <v>942</v>
      </c>
      <c s="67" r="D221" t="n"/>
      <c s="68" r="E221" t="n"/>
      <c s="68" r="F221" t="n"/>
      <c s="69" r="G221" t="n"/>
      <c s="70" r="H221" t="n"/>
      <c s="70" r="I221" t="n"/>
      <c s="71" r="K221" t="n"/>
    </row>
    <row customHeight="1" s="134" r="222" ht="15.75" spans="1:12">
      <c s="66" r="A222" t="n"/>
      <c s="72" r="B222" t="s">
        <v>943</v>
      </c>
      <c s="19" r="C222">
        <f>COUNTIF(J3:J219,"DP")</f>
        <v/>
      </c>
      <c s="73" r="D222" t="n"/>
      <c s="74" r="G222" t="n"/>
      <c s="70" r="H222" t="n"/>
      <c s="70" r="I222" t="n"/>
      <c s="71" r="K222" t="n"/>
    </row>
    <row customHeight="1" s="134" r="223" ht="15.75" spans="1:12">
      <c s="66" r="A223" t="n"/>
      <c s="72" r="B223" t="s">
        <v>944</v>
      </c>
      <c s="19" r="C223">
        <f>COUNTIF(J3:J219,"SP")</f>
        <v/>
      </c>
      <c s="73" r="D223" t="n"/>
      <c s="74" r="G223" t="n"/>
      <c s="70" r="H223" t="n"/>
      <c s="70" r="I223" t="n"/>
      <c s="71" r="K223" t="n"/>
    </row>
    <row customHeight="1" s="134" r="224" ht="15.75" spans="1:12">
      <c s="66" r="A224" t="n"/>
      <c s="72" r="B224" t="s">
        <v>945</v>
      </c>
      <c s="19" r="C224">
        <f>COUNTIF(J3:J219,"SD")</f>
        <v/>
      </c>
      <c s="73" r="D224" t="n"/>
      <c s="74" r="G224" t="n"/>
      <c s="70" r="H224" t="n"/>
      <c s="70" r="I224" t="n"/>
      <c s="71" r="K224" t="n"/>
    </row>
    <row customHeight="1" s="134" r="225" ht="15.75" spans="1:12">
      <c s="20" r="B225" t="n"/>
      <c s="20" r="C225" t="n"/>
      <c s="56" r="D225" t="n"/>
      <c s="56" r="E225" t="n"/>
      <c s="70" r="G225" t="n"/>
      <c s="70" r="H225" t="n"/>
      <c s="70" r="I225" t="n"/>
      <c s="71" r="K225" t="n"/>
    </row>
    <row customHeight="1" s="134" r="226" ht="15.75" spans="1:12">
      <c s="66" r="A226" t="n"/>
      <c s="23" r="B226" t="s">
        <v>708</v>
      </c>
      <c s="22" r="C226" t="s">
        <v>49</v>
      </c>
      <c s="22" r="D226" t="s">
        <v>709</v>
      </c>
      <c s="22" r="E226" t="s">
        <v>710</v>
      </c>
      <c s="67" r="F226" t="n"/>
      <c s="69" r="G226" t="n"/>
      <c s="69" r="H226" t="n"/>
      <c s="69" r="I226" t="n"/>
      <c s="71" r="K226" t="n"/>
    </row>
    <row customHeight="1" s="134" r="227" ht="15.75" spans="1:12">
      <c s="66" r="A227" t="n"/>
      <c s="72" r="B227" t="s">
        <v>711</v>
      </c>
      <c s="24" r="C227">
        <f>IFERROR(D227/(D227+E227),"Error")</f>
        <v/>
      </c>
      <c s="25" r="D227">
        <f>COUNTIF(G2:G219,"Sí")</f>
        <v/>
      </c>
      <c s="25" r="E227">
        <f>COUNTIF(G2:G219,"No")</f>
        <v/>
      </c>
      <c s="73" r="F227" t="n"/>
      <c s="75" r="G227" t="n"/>
      <c s="70" r="H227" t="n"/>
      <c s="70" r="I227" t="n"/>
      <c s="71" r="K227" t="n"/>
    </row>
    <row customHeight="1" s="134" r="228" ht="15.75" spans="1:12">
      <c s="66" r="A228" t="n"/>
      <c s="72" r="B228" t="s">
        <v>712</v>
      </c>
      <c s="24" r="C228">
        <f>IFERROR(D228/D227, "Error")</f>
        <v/>
      </c>
      <c s="25" r="D228">
        <f>COUNTIF(H2:H219,"Sí")</f>
        <v/>
      </c>
      <c s="25" r="E228">
        <f>COUNTIF(H2:H219,"No")</f>
        <v/>
      </c>
      <c s="73" r="F228" t="n"/>
      <c s="75" r="G228" t="n"/>
      <c s="70" r="H228" t="n"/>
      <c s="70" r="I228" t="n"/>
      <c s="71" r="K228" t="n"/>
    </row>
    <row customHeight="1" s="134" r="229" ht="15.75" spans="1:12">
      <c s="66" r="A229" t="n"/>
      <c s="72" r="B229" t="s">
        <v>713</v>
      </c>
      <c s="24" r="C229">
        <f>IFERROR(D229/D228, "Error")</f>
        <v/>
      </c>
      <c s="25" r="D229">
        <f>COUNTIF(I2:I219,"Sí")</f>
        <v/>
      </c>
      <c s="25" r="E229">
        <f>COUNTIF(I2:I219,"No")</f>
        <v/>
      </c>
      <c s="73" r="F229" t="n"/>
      <c s="75" r="G229" t="n"/>
      <c s="70" r="H229" t="n"/>
      <c s="70" r="I229" t="n"/>
      <c s="71" r="K229" t="n"/>
    </row>
  </sheetData>
  <autoFilter ref="A2:L219"/>
  <mergeCells count="1">
    <mergeCell ref="A1:K1"/>
  </mergeCells>
  <conditionalFormatting sqref="H222">
    <cfRule aboveAverage="0" bottom="0" dxfId="1" equalAverage="0" percent="0" priority="2" rank="0" text="Error" type="containsText"/>
  </conditionalFormatting>
  <dataValidations count="2">
    <dataValidation allowBlank="0" operator="between" showDropDown="0" showErrorMessage="1" showInputMessage="0" sqref="J3:J219" type="list">
      <formula1>"DP,SP,SD,-"</formula1>
      <formula2>0</formula2>
    </dataValidation>
    <dataValidation allowBlank="0" operator="between" showDropDown="0" showErrorMessage="0" showInputMessage="0" sqref="G3:G219 H3:H219 I3:I219"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9.xml><?xml version="1.0" encoding="utf-8"?>
<worksheet xmlns="http://schemas.openxmlformats.org/spreadsheetml/2006/main">
  <sheetPr filterMode="0">
    <tabColor rgb="FF000000"/>
    <outlinePr summaryBelow="1" summaryRight="1"/>
    <pageSetUpPr fitToPage="0"/>
  </sheetPr>
  <dimension ref="A1:H155"/>
  <sheetViews>
    <sheetView colorId="64" defaultGridColor="1" rightToLeft="0" showFormulas="0" showGridLines="1"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3.3622448979592"/>
    <col customWidth="1" max="2" min="2" width="8.23469387755102"/>
    <col customWidth="1" max="3" min="3" width="80.8622448979592"/>
    <col customWidth="1" max="4" min="4" width="12.9591836734694"/>
    <col customWidth="1" max="5" min="5" width="14.8469387755102"/>
    <col customWidth="1" max="6" min="6" width="13.0918367346939"/>
    <col customWidth="1" max="7" min="7" width="66.9540816326531"/>
    <col customWidth="1" hidden="1" max="8" min="8"/>
    <col customWidth="1" max="1025" min="9" width="13.6326530612245"/>
  </cols>
  <sheetData>
    <row customHeight="1" s="134" r="1" ht="15.75" spans="1:8">
      <c s="14" r="A1" t="s">
        <v>56</v>
      </c>
    </row>
    <row customHeight="1" s="134" r="2" ht="15.75" spans="1:8">
      <c s="15" r="A2" t="s">
        <v>946</v>
      </c>
      <c s="15" r="B2" t="s">
        <v>42</v>
      </c>
      <c s="15" r="C2" t="s">
        <v>947</v>
      </c>
      <c s="15" r="D2" t="s">
        <v>27</v>
      </c>
      <c s="48" r="E2" t="s">
        <v>63</v>
      </c>
      <c s="15" r="F2" t="s">
        <v>46</v>
      </c>
      <c s="15" r="G2" t="s">
        <v>48</v>
      </c>
      <c s="73" r="H2" t="n"/>
    </row>
    <row customHeight="1" s="134" r="3" ht="15.75" spans="1:8">
      <c s="76" r="A3" t="s">
        <v>69</v>
      </c>
      <c s="76" r="B3" t="s">
        <v>948</v>
      </c>
      <c s="76" r="C3" t="s">
        <v>65</v>
      </c>
      <c s="19" r="D3" t="s">
        <v>949</v>
      </c>
      <c s="19" r="E3" t="s">
        <v>949</v>
      </c>
      <c s="19" r="F3" t="s">
        <v>949</v>
      </c>
      <c s="76" r="G3">
        <f>IF(IFERROR(H3,7)=7,"",RIGHT(H3,LEN(H3)-2)&amp;".")</f>
        <v/>
      </c>
      <c s="73" r="H3">
        <f>IFERROR(__xludf.dummyfunction("CONCATENATE(ArrayFormula(""; ""&amp;QUERY(Hallazgos!A:E,""SELECT B WHERE E CONTAINS '""&amp;B3&amp;""' LABEL B ''"")))"),"#VALUE!")</f>
        <v/>
      </c>
    </row>
    <row customHeight="1" s="134" r="4" ht="15.75" spans="1:8">
      <c s="76" r="A4" t="s">
        <v>69</v>
      </c>
      <c s="76" r="B4" t="s">
        <v>950</v>
      </c>
      <c s="76" r="C4" t="s">
        <v>951</v>
      </c>
      <c s="19" r="D4" t="s">
        <v>952</v>
      </c>
      <c s="19" r="E4" t="s">
        <v>952</v>
      </c>
      <c s="19" r="F4" t="s">
        <v>952</v>
      </c>
      <c s="76" r="G4">
        <f>IF(IFERROR(H4,7)=7,"",RIGHT(H4,LEN(H4)-2)&amp;".")</f>
        <v/>
      </c>
      <c s="73" r="H4">
        <f>IFERROR(__xludf.dummyfunction("CONCATENATE(ArrayFormula(""; ""&amp;QUERY(Hallazgos!A:E,""SELECT B WHERE E CONTAINS '""&amp;B3&amp;""' LABEL B ''"")))"),"#VALUE!")</f>
        <v/>
      </c>
    </row>
    <row customHeight="1" s="134" r="5" ht="15.75" spans="1:8">
      <c s="76" r="A5" t="s">
        <v>69</v>
      </c>
      <c s="76" r="B5" t="s">
        <v>953</v>
      </c>
      <c s="76" r="C5" t="s">
        <v>954</v>
      </c>
      <c s="19" r="D5" t="s">
        <v>952</v>
      </c>
      <c s="19" r="E5" t="s">
        <v>952</v>
      </c>
      <c s="19" r="F5" t="s">
        <v>952</v>
      </c>
      <c s="76" r="G5">
        <f>IF(IFERROR(H5,7)=7,"",RIGHT(H5,LEN(H5)-2)&amp;".")</f>
        <v/>
      </c>
      <c s="73" r="H5">
        <f>IFERROR(__xludf.dummyfunction("CONCATENATE(ArrayFormula(""; ""&amp;QUERY(Hallazgos!A:E,""SELECT B WHERE E CONTAINS '""&amp;B3&amp;""' LABEL B ''"")))"),"#VALUE!")</f>
        <v/>
      </c>
    </row>
    <row customHeight="1" s="134" r="6" ht="15.75" spans="1:8">
      <c s="76" r="A6" t="s">
        <v>69</v>
      </c>
      <c s="76" r="B6" t="s">
        <v>955</v>
      </c>
      <c s="76" r="C6" t="s">
        <v>956</v>
      </c>
      <c s="19" r="D6" t="s">
        <v>952</v>
      </c>
      <c s="19" r="E6" t="s">
        <v>952</v>
      </c>
      <c s="19" r="F6" t="s">
        <v>952</v>
      </c>
      <c s="76" r="G6">
        <f>IF(IFERROR(H6,7)=7,"",RIGHT(H6,LEN(H6)-2)&amp;".")</f>
        <v/>
      </c>
      <c s="73" r="H6">
        <f>IFERROR(__xludf.dummyfunction("CONCATENATE(ArrayFormula(""; ""&amp;QUERY(Hallazgos!A:E,""SELECT B WHERE E CONTAINS '""&amp;B3&amp;""' LABEL B ''"")))"),"#VALUE!")</f>
        <v/>
      </c>
    </row>
    <row customHeight="1" s="134" r="7" ht="15.75" spans="1:8">
      <c s="76" r="A7" t="s">
        <v>69</v>
      </c>
      <c s="76" r="B7" t="s">
        <v>957</v>
      </c>
      <c s="76" r="C7" t="s">
        <v>958</v>
      </c>
      <c s="19" r="D7" t="s">
        <v>952</v>
      </c>
      <c s="19" r="E7" t="s">
        <v>952</v>
      </c>
      <c s="19" r="F7" t="s">
        <v>952</v>
      </c>
      <c s="76" r="G7">
        <f>IF(IFERROR(H7,7)=7,"",RIGHT(H7,LEN(H7)-2)&amp;".")</f>
        <v/>
      </c>
      <c s="73" r="H7">
        <f>IFERROR(__xludf.dummyfunction("CONCATENATE(ArrayFormula(""; ""&amp;QUERY(Hallazgos!A:E,""SELECT B WHERE E CONTAINS '""&amp;B3&amp;""' LABEL B ''"")))"),"#VALUE!")</f>
        <v/>
      </c>
    </row>
    <row customHeight="1" s="134" r="8" ht="15.75" spans="1:8">
      <c s="76" r="A8" t="s">
        <v>142</v>
      </c>
      <c s="76" r="B8" t="s">
        <v>959</v>
      </c>
      <c s="76" r="C8" t="s">
        <v>960</v>
      </c>
      <c s="19" r="D8" t="s">
        <v>952</v>
      </c>
      <c s="19" r="E8" t="s">
        <v>952</v>
      </c>
      <c s="19" r="F8" t="s">
        <v>952</v>
      </c>
      <c s="76" r="G8">
        <f>IF(IFERROR(H8,7)=7,"",RIGHT(H8,LEN(H8)-2)&amp;".")</f>
        <v/>
      </c>
      <c s="73" r="H8">
        <f>IFERROR(__xludf.dummyfunction("CONCATENATE(ArrayFormula(""; ""&amp;QUERY(Hallazgos!A:E,""SELECT B WHERE E CONTAINS '""&amp;B3&amp;""' LABEL B ''"")))"),"#VALUE!")</f>
        <v/>
      </c>
    </row>
    <row customHeight="1" s="134" r="9" ht="15.75" spans="1:8">
      <c s="76" r="A9" t="s">
        <v>142</v>
      </c>
      <c s="76" r="B9" t="s">
        <v>961</v>
      </c>
      <c s="76" r="C9" t="s">
        <v>962</v>
      </c>
      <c s="19" r="D9" t="s">
        <v>952</v>
      </c>
      <c s="19" r="E9" t="s">
        <v>952</v>
      </c>
      <c s="19" r="F9" t="s">
        <v>952</v>
      </c>
      <c s="76" r="G9">
        <f>IF(IFERROR(H9,7)=7,"",RIGHT(H9,LEN(H9)-2)&amp;".")</f>
        <v/>
      </c>
      <c s="73" r="H9">
        <f>IFERROR(__xludf.dummyfunction("CONCATENATE(ArrayFormula(""; ""&amp;QUERY(Hallazgos!A:E,""SELECT B WHERE E CONTAINS '""&amp;B3&amp;""' LABEL B ''"")))"),"#VALUE!")</f>
        <v/>
      </c>
    </row>
    <row customHeight="1" s="134" r="10" ht="15.75" spans="1:8">
      <c s="76" r="A10" t="s">
        <v>231</v>
      </c>
      <c s="76" r="B10" t="s">
        <v>963</v>
      </c>
      <c s="76" r="C10" t="s">
        <v>964</v>
      </c>
      <c s="19" r="D10" t="s">
        <v>952</v>
      </c>
      <c s="19" r="E10" t="s">
        <v>952</v>
      </c>
      <c s="19" r="F10" t="s">
        <v>952</v>
      </c>
      <c s="76" r="G10">
        <f>IF(IFERROR(H10,7)=7,"",RIGHT(H10,LEN(H10)-2)&amp;".")</f>
        <v/>
      </c>
      <c s="73" r="H10">
        <f>IFERROR(__xludf.dummyfunction("CONCATENATE(ArrayFormula(""; ""&amp;QUERY(Hallazgos!A:E,""SELECT B WHERE E CONTAINS '""&amp;B3&amp;""' LABEL B ''"")))"),"#VALUE!")</f>
        <v/>
      </c>
    </row>
    <row customHeight="1" s="134" r="11" ht="15.75" spans="1:8">
      <c s="76" r="A11" t="s">
        <v>231</v>
      </c>
      <c s="76" r="B11" t="s">
        <v>965</v>
      </c>
      <c s="76" r="C11" t="s">
        <v>966</v>
      </c>
      <c s="19" r="D11" t="s">
        <v>952</v>
      </c>
      <c s="19" r="E11" t="s">
        <v>952</v>
      </c>
      <c s="19" r="F11" t="s">
        <v>952</v>
      </c>
      <c s="76" r="G11">
        <f>IF(IFERROR(H11,7)=7,"",RIGHT(H11,LEN(H11)-2)&amp;".")</f>
        <v/>
      </c>
      <c s="73" r="H11">
        <f>IFERROR(__xludf.dummyfunction("CONCATENATE(ArrayFormula(""; ""&amp;QUERY(Hallazgos!A:E,""SELECT B WHERE E CONTAINS '""&amp;B3&amp;""' LABEL B ''"")))"),"#VALUE!")</f>
        <v/>
      </c>
    </row>
    <row customHeight="1" s="134" r="12" ht="15.75" spans="1:8">
      <c s="76" r="A12" t="s">
        <v>231</v>
      </c>
      <c s="76" r="B12" t="s">
        <v>967</v>
      </c>
      <c s="76" r="C12" t="s">
        <v>968</v>
      </c>
      <c s="19" r="D12" t="s">
        <v>952</v>
      </c>
      <c s="19" r="E12" t="s">
        <v>952</v>
      </c>
      <c s="19" r="F12" t="s">
        <v>952</v>
      </c>
      <c s="76" r="G12">
        <f>IF(IFERROR(H12,7)=7,"",RIGHT(H12,LEN(H12)-2)&amp;".")</f>
        <v/>
      </c>
      <c s="73" r="H12">
        <f>IFERROR(__xludf.dummyfunction("CONCATENATE(ArrayFormula(""; ""&amp;QUERY(Hallazgos!A:E,""SELECT B WHERE E CONTAINS '""&amp;B3&amp;""' LABEL B ''"")))"),"#VALUE!")</f>
        <v/>
      </c>
    </row>
    <row customHeight="1" s="134" r="13" ht="15.75" spans="1:8">
      <c s="76" r="A13" t="s">
        <v>231</v>
      </c>
      <c s="76" r="B13" t="s">
        <v>969</v>
      </c>
      <c s="76" r="C13" t="s">
        <v>970</v>
      </c>
      <c s="19" r="D13" t="s">
        <v>952</v>
      </c>
      <c s="19" r="E13" t="s">
        <v>952</v>
      </c>
      <c s="19" r="F13" t="s">
        <v>952</v>
      </c>
      <c s="76" r="G13">
        <f>IF(IFERROR(H13,7)=7,"",RIGHT(H13,LEN(H13)-2)&amp;".")</f>
        <v/>
      </c>
      <c s="73" r="H13">
        <f>IFERROR(__xludf.dummyfunction("CONCATENATE(ArrayFormula(""; ""&amp;QUERY(Hallazgos!A:E,""SELECT B WHERE E CONTAINS '""&amp;B3&amp;""' LABEL B ''"")))"),"#VALUE!")</f>
        <v/>
      </c>
    </row>
    <row customHeight="1" s="134" r="14" ht="15.75" spans="1:8">
      <c s="76" r="A14" t="s">
        <v>231</v>
      </c>
      <c s="76" r="B14" t="s">
        <v>971</v>
      </c>
      <c s="76" r="C14" t="s">
        <v>972</v>
      </c>
      <c s="19" r="D14" t="s">
        <v>952</v>
      </c>
      <c s="19" r="E14" t="s">
        <v>952</v>
      </c>
      <c s="19" r="F14" t="s">
        <v>952</v>
      </c>
      <c s="76" r="G14">
        <f>IF(IFERROR(H14,7)=7,"",RIGHT(H14,LEN(H14)-2)&amp;".")</f>
        <v/>
      </c>
      <c s="73" r="H14">
        <f>IFERROR(__xludf.dummyfunction("CONCATENATE(ArrayFormula(""; ""&amp;QUERY(Hallazgos!A:E,""SELECT B WHERE E CONTAINS '""&amp;B3&amp;""' LABEL B ''"")))"),"#VALUE!")</f>
        <v/>
      </c>
    </row>
    <row customHeight="1" s="134" r="15" ht="15.75" spans="1:8">
      <c s="76" r="A15" t="s">
        <v>231</v>
      </c>
      <c s="76" r="B15" t="s">
        <v>973</v>
      </c>
      <c s="76" r="C15" t="s">
        <v>974</v>
      </c>
      <c s="19" r="D15" t="s">
        <v>952</v>
      </c>
      <c s="19" r="E15" t="s">
        <v>952</v>
      </c>
      <c s="19" r="F15" t="s">
        <v>952</v>
      </c>
      <c s="76" r="G15">
        <f>IF(IFERROR(H15,7)=7,"",RIGHT(H15,LEN(H15)-2)&amp;".")</f>
        <v/>
      </c>
      <c s="73" r="H15">
        <f>IFERROR(__xludf.dummyfunction("CONCATENATE(ArrayFormula(""; ""&amp;QUERY(Hallazgos!A:E,""SELECT B WHERE E CONTAINS '""&amp;B3&amp;""' LABEL B ''"")))"),"#VALUE!")</f>
        <v/>
      </c>
    </row>
    <row customHeight="1" s="134" r="16" ht="15.75" spans="1:8">
      <c s="76" r="A16" t="s">
        <v>231</v>
      </c>
      <c s="76" r="B16" t="s">
        <v>975</v>
      </c>
      <c s="76" r="C16" t="s">
        <v>976</v>
      </c>
      <c s="19" r="D16" t="s">
        <v>952</v>
      </c>
      <c s="19" r="E16" t="s">
        <v>952</v>
      </c>
      <c s="19" r="F16" t="s">
        <v>952</v>
      </c>
      <c s="76" r="G16">
        <f>IF(IFERROR(H16,7)=7,"",RIGHT(H16,LEN(H16)-2)&amp;".")</f>
        <v/>
      </c>
      <c s="73" r="H16">
        <f>IFERROR(__xludf.dummyfunction("CONCATENATE(ArrayFormula(""; ""&amp;QUERY(Hallazgos!A:E,""SELECT B WHERE E CONTAINS '""&amp;B3&amp;""' LABEL B ''"")))"),"#VALUE!")</f>
        <v/>
      </c>
    </row>
    <row customHeight="1" s="134" r="17" ht="15.75" spans="1:8">
      <c s="76" r="A17" t="s">
        <v>977</v>
      </c>
      <c s="76" r="B17" t="s">
        <v>978</v>
      </c>
      <c s="76" r="C17" t="s">
        <v>979</v>
      </c>
      <c s="19" r="D17" t="s">
        <v>952</v>
      </c>
      <c s="19" r="E17" t="s">
        <v>952</v>
      </c>
      <c s="19" r="F17" t="s">
        <v>952</v>
      </c>
      <c s="76" r="G17">
        <f>IF(IFERROR(H17,7)=7,"",RIGHT(H17,LEN(H17)-2)&amp;".")</f>
        <v/>
      </c>
      <c s="73" r="H17">
        <f>IFERROR(__xludf.dummyfunction("CONCATENATE(ArrayFormula(""; ""&amp;QUERY(Hallazgos!A:E,""SELECT B WHERE E CONTAINS '""&amp;B3&amp;""' LABEL B ''"")))"),"#VALUE!")</f>
        <v/>
      </c>
    </row>
    <row customHeight="1" s="134" r="18" ht="15.75" spans="1:8">
      <c s="76" r="A18" t="s">
        <v>977</v>
      </c>
      <c s="76" r="B18" t="s">
        <v>980</v>
      </c>
      <c s="76" r="C18" t="s">
        <v>981</v>
      </c>
      <c s="19" r="D18" t="s">
        <v>952</v>
      </c>
      <c s="19" r="E18" t="s">
        <v>952</v>
      </c>
      <c s="19" r="F18" t="s">
        <v>952</v>
      </c>
      <c s="76" r="G18">
        <f>IF(IFERROR(H18,7)=7,"",RIGHT(H18,LEN(H18)-2)&amp;".")</f>
        <v/>
      </c>
      <c s="73" r="H18">
        <f>IFERROR(__xludf.dummyfunction("CONCATENATE(ArrayFormula(""; ""&amp;QUERY(Hallazgos!A:E,""SELECT B WHERE E CONTAINS '""&amp;B3&amp;""' LABEL B ''"")))"),"#VALUE!")</f>
        <v/>
      </c>
    </row>
    <row customHeight="1" s="134" r="19" ht="15.75" spans="1:8">
      <c s="76" r="A19" t="s">
        <v>977</v>
      </c>
      <c s="76" r="B19" t="s">
        <v>982</v>
      </c>
      <c s="76" r="C19" t="s">
        <v>983</v>
      </c>
      <c s="19" r="D19" t="s">
        <v>952</v>
      </c>
      <c s="19" r="E19" t="s">
        <v>952</v>
      </c>
      <c s="19" r="F19" t="s">
        <v>952</v>
      </c>
      <c s="76" r="G19">
        <f>IF(IFERROR(H19,7)=7,"",RIGHT(H19,LEN(H19)-2)&amp;".")</f>
        <v/>
      </c>
      <c s="73" r="H19">
        <f>IFERROR(__xludf.dummyfunction("CONCATENATE(ArrayFormula(""; ""&amp;QUERY(Hallazgos!A:E,""SELECT B WHERE E CONTAINS '""&amp;B3&amp;""' LABEL B ''"")))"),"#VALUE!")</f>
        <v/>
      </c>
    </row>
    <row customHeight="1" s="134" r="20" ht="15.75" spans="1:8">
      <c s="76" r="A20" t="s">
        <v>977</v>
      </c>
      <c s="76" r="B20" t="s">
        <v>984</v>
      </c>
      <c s="76" r="C20" t="s">
        <v>985</v>
      </c>
      <c s="19" r="D20" t="s">
        <v>952</v>
      </c>
      <c s="19" r="E20" t="s">
        <v>952</v>
      </c>
      <c s="19" r="F20" t="s">
        <v>952</v>
      </c>
      <c s="76" r="G20">
        <f>IF(IFERROR(H20,7)=7,"",RIGHT(H20,LEN(H20)-2)&amp;".")</f>
        <v/>
      </c>
      <c s="73" r="H20">
        <f>IFERROR(__xludf.dummyfunction("CONCATENATE(ArrayFormula(""; ""&amp;QUERY(Hallazgos!A:E,""SELECT B WHERE E CONTAINS '""&amp;B3&amp;""' LABEL B ''"")))"),"#VALUE!")</f>
        <v/>
      </c>
    </row>
    <row customHeight="1" s="134" r="21" ht="15.75" spans="1:8">
      <c s="76" r="A21" t="s">
        <v>977</v>
      </c>
      <c s="76" r="B21" t="s">
        <v>986</v>
      </c>
      <c s="76" r="C21" t="s">
        <v>987</v>
      </c>
      <c s="19" r="D21" t="s">
        <v>952</v>
      </c>
      <c s="19" r="E21" t="s">
        <v>952</v>
      </c>
      <c s="19" r="F21" t="s">
        <v>952</v>
      </c>
      <c s="76" r="G21">
        <f>IF(IFERROR(H21,7)=7,"",RIGHT(H21,LEN(H21)-2)&amp;".")</f>
        <v/>
      </c>
      <c s="73" r="H21">
        <f>IFERROR(__xludf.dummyfunction("CONCATENATE(ArrayFormula(""; ""&amp;QUERY(Hallazgos!A:E,""SELECT B WHERE E CONTAINS '""&amp;B3&amp;""' LABEL B ''"")))"),"#VALUE!")</f>
        <v/>
      </c>
    </row>
    <row customHeight="1" s="134" r="22" ht="15.75" spans="1:8">
      <c s="76" r="A22" t="s">
        <v>977</v>
      </c>
      <c s="76" r="B22" t="s">
        <v>988</v>
      </c>
      <c s="76" r="C22" t="s">
        <v>989</v>
      </c>
      <c s="19" r="D22" t="s">
        <v>952</v>
      </c>
      <c s="19" r="E22" t="s">
        <v>952</v>
      </c>
      <c s="19" r="F22" t="s">
        <v>952</v>
      </c>
      <c s="76" r="G22">
        <f>IF(IFERROR(H22,7)=7,"",RIGHT(H22,LEN(H22)-2)&amp;".")</f>
        <v/>
      </c>
      <c s="73" r="H22">
        <f>IFERROR(__xludf.dummyfunction("CONCATENATE(ArrayFormula(""; ""&amp;QUERY(Hallazgos!A:E,""SELECT B WHERE E CONTAINS '""&amp;B3&amp;""' LABEL B ''"")))"),"#VALUE!")</f>
        <v/>
      </c>
    </row>
    <row customHeight="1" s="134" r="23" ht="15.75" spans="1:8">
      <c s="76" r="A23" t="s">
        <v>977</v>
      </c>
      <c s="76" r="B23" t="s">
        <v>990</v>
      </c>
      <c s="76" r="C23" t="s">
        <v>991</v>
      </c>
      <c s="19" r="D23" t="s">
        <v>952</v>
      </c>
      <c s="19" r="E23" t="s">
        <v>952</v>
      </c>
      <c s="19" r="F23" t="s">
        <v>952</v>
      </c>
      <c s="76" r="G23">
        <f>IF(IFERROR(H23,7)=7,"",RIGHT(H23,LEN(H23)-2)&amp;".")</f>
        <v/>
      </c>
      <c s="73" r="H23">
        <f>IFERROR(__xludf.dummyfunction("CONCATENATE(ArrayFormula(""; ""&amp;QUERY(Hallazgos!A:E,""SELECT B WHERE E CONTAINS '""&amp;B3&amp;""' LABEL B ''"")))"),"#VALUE!")</f>
        <v/>
      </c>
    </row>
    <row customHeight="1" s="134" r="24" ht="15.75" spans="1:8">
      <c s="76" r="A24" t="s">
        <v>977</v>
      </c>
      <c s="76" r="B24" t="s">
        <v>992</v>
      </c>
      <c s="76" r="C24" t="s">
        <v>993</v>
      </c>
      <c s="19" r="D24" t="s">
        <v>952</v>
      </c>
      <c s="19" r="E24" t="s">
        <v>952</v>
      </c>
      <c s="19" r="F24" t="s">
        <v>952</v>
      </c>
      <c s="76" r="G24">
        <f>IF(IFERROR(H24,7)=7,"",RIGHT(H24,LEN(H24)-2)&amp;".")</f>
        <v/>
      </c>
      <c s="73" r="H24">
        <f>IFERROR(__xludf.dummyfunction("CONCATENATE(ArrayFormula(""; ""&amp;QUERY(Hallazgos!A:E,""SELECT B WHERE E CONTAINS '""&amp;B3&amp;""' LABEL B ''"")))"),"#VALUE!")</f>
        <v/>
      </c>
    </row>
    <row customHeight="1" s="134" r="25" ht="15.75" spans="1:8">
      <c s="76" r="A25" t="s">
        <v>977</v>
      </c>
      <c s="76" r="B25" t="s">
        <v>994</v>
      </c>
      <c s="76" r="C25" t="s">
        <v>995</v>
      </c>
      <c s="19" r="D25" t="s">
        <v>952</v>
      </c>
      <c s="19" r="E25" t="s">
        <v>952</v>
      </c>
      <c s="19" r="F25" t="s">
        <v>952</v>
      </c>
      <c s="76" r="G25">
        <f>IF(IFERROR(H25,7)=7,"",RIGHT(H25,LEN(H25)-2)&amp;".")</f>
        <v/>
      </c>
      <c s="73" r="H25">
        <f>IFERROR(__xludf.dummyfunction("CONCATENATE(ArrayFormula(""; ""&amp;QUERY(Hallazgos!A:E,""SELECT B WHERE E CONTAINS '""&amp;B3&amp;""' LABEL B ''"")))"),"#VALUE!")</f>
        <v/>
      </c>
    </row>
    <row customHeight="1" s="134" r="26" ht="15.75" spans="1:8">
      <c s="76" r="A26" t="s">
        <v>977</v>
      </c>
      <c s="76" r="B26" t="s">
        <v>996</v>
      </c>
      <c s="76" r="C26" t="s">
        <v>997</v>
      </c>
      <c s="19" r="D26" t="s">
        <v>952</v>
      </c>
      <c s="19" r="E26" t="s">
        <v>952</v>
      </c>
      <c s="19" r="F26" t="s">
        <v>952</v>
      </c>
      <c s="76" r="G26">
        <f>IF(IFERROR(H26,7)=7,"",RIGHT(H26,LEN(H26)-2)&amp;".")</f>
        <v/>
      </c>
      <c s="73" r="H26">
        <f>IFERROR(__xludf.dummyfunction("CONCATENATE(ArrayFormula(""; ""&amp;QUERY(Hallazgos!A:E,""SELECT B WHERE E CONTAINS '""&amp;B3&amp;""' LABEL B ''"")))"),"#VALUE!")</f>
        <v/>
      </c>
    </row>
    <row customHeight="1" s="134" r="27" ht="15.75" spans="1:8">
      <c s="76" r="A27" t="s">
        <v>977</v>
      </c>
      <c s="76" r="B27" t="s">
        <v>998</v>
      </c>
      <c s="76" r="C27" t="s">
        <v>999</v>
      </c>
      <c s="19" r="D27" t="s">
        <v>952</v>
      </c>
      <c s="19" r="E27" t="s">
        <v>952</v>
      </c>
      <c s="19" r="F27" t="s">
        <v>952</v>
      </c>
      <c s="76" r="G27">
        <f>IF(IFERROR(H27,7)=7,"",RIGHT(H27,LEN(H27)-2)&amp;".")</f>
        <v/>
      </c>
      <c s="73" r="H27">
        <f>IFERROR(__xludf.dummyfunction("CONCATENATE(ArrayFormula(""; ""&amp;QUERY(Hallazgos!A:E,""SELECT B WHERE E CONTAINS '""&amp;B3&amp;""' LABEL B ''"")))"),"#VALUE!")</f>
        <v/>
      </c>
    </row>
    <row customHeight="1" s="134" r="28" ht="15.75" spans="1:8">
      <c s="76" r="A28" t="s">
        <v>977</v>
      </c>
      <c s="76" r="B28" t="s">
        <v>1000</v>
      </c>
      <c s="76" r="C28" t="s">
        <v>1001</v>
      </c>
      <c s="19" r="D28" t="s">
        <v>952</v>
      </c>
      <c s="19" r="E28" t="s">
        <v>952</v>
      </c>
      <c s="19" r="F28" t="s">
        <v>952</v>
      </c>
      <c s="76" r="G28">
        <f>IF(IFERROR(H28,7)=7,"",RIGHT(H28,LEN(H28)-2)&amp;".")</f>
        <v/>
      </c>
      <c s="73" r="H28">
        <f>IFERROR(__xludf.dummyfunction("CONCATENATE(ArrayFormula(""; ""&amp;QUERY(Hallazgos!A:E,""SELECT B WHERE E CONTAINS '""&amp;B3&amp;""' LABEL B ''"")))"),"#VALUE!")</f>
        <v/>
      </c>
    </row>
    <row customHeight="1" s="134" r="29" ht="15.75" spans="1:8">
      <c s="76" r="A29" t="s">
        <v>977</v>
      </c>
      <c s="76" r="B29" t="s">
        <v>1002</v>
      </c>
      <c s="76" r="C29" t="s">
        <v>1003</v>
      </c>
      <c s="19" r="D29" t="s">
        <v>952</v>
      </c>
      <c s="19" r="E29" t="s">
        <v>952</v>
      </c>
      <c s="19" r="F29" t="s">
        <v>952</v>
      </c>
      <c s="76" r="G29">
        <f>IF(IFERROR(H29,7)=7,"",RIGHT(H29,LEN(H29)-2)&amp;".")</f>
        <v/>
      </c>
      <c s="73" r="H29">
        <f>IFERROR(__xludf.dummyfunction("CONCATENATE(ArrayFormula(""; ""&amp;QUERY(Hallazgos!A:E,""SELECT B WHERE E CONTAINS '""&amp;B3&amp;""' LABEL B ''"")))"),"#VALUE!")</f>
        <v/>
      </c>
    </row>
    <row customHeight="1" s="134" r="30" ht="15.75" spans="1:8">
      <c s="76" r="A30" t="s">
        <v>977</v>
      </c>
      <c s="76" r="B30" t="s">
        <v>1004</v>
      </c>
      <c s="76" r="C30" t="s">
        <v>1005</v>
      </c>
      <c s="19" r="D30" t="s">
        <v>952</v>
      </c>
      <c s="19" r="E30" t="s">
        <v>952</v>
      </c>
      <c s="19" r="F30" t="s">
        <v>952</v>
      </c>
      <c s="76" r="G30">
        <f>IF(IFERROR(H30,7)=7,"",RIGHT(H30,LEN(H30)-2)&amp;".")</f>
        <v/>
      </c>
      <c s="73" r="H30">
        <f>IFERROR(__xludf.dummyfunction("CONCATENATE(ArrayFormula(""; ""&amp;QUERY(Hallazgos!A:E,""SELECT B WHERE E CONTAINS '""&amp;B3&amp;""' LABEL B ''"")))"),"#VALUE!")</f>
        <v/>
      </c>
    </row>
    <row customHeight="1" s="134" r="31" ht="15.75" spans="1:8">
      <c s="76" r="A31" t="s">
        <v>977</v>
      </c>
      <c s="76" r="B31" t="s">
        <v>1006</v>
      </c>
      <c s="76" r="C31" t="s">
        <v>1007</v>
      </c>
      <c s="19" r="D31" t="s">
        <v>952</v>
      </c>
      <c s="19" r="E31" t="s">
        <v>952</v>
      </c>
      <c s="19" r="F31" t="s">
        <v>952</v>
      </c>
      <c s="76" r="G31">
        <f>IF(IFERROR(H31,7)=7,"",RIGHT(H31,LEN(H31)-2)&amp;".")</f>
        <v/>
      </c>
      <c s="73" r="H31">
        <f>IFERROR(__xludf.dummyfunction("CONCATENATE(ArrayFormula(""; ""&amp;QUERY(Hallazgos!A:E,""SELECT B WHERE E CONTAINS '""&amp;B3&amp;""' LABEL B ''"")))"),"#VALUE!")</f>
        <v/>
      </c>
    </row>
    <row customHeight="1" s="134" r="32" ht="15.75" spans="1:8">
      <c s="76" r="A32" t="s">
        <v>977</v>
      </c>
      <c s="76" r="B32" t="s">
        <v>1008</v>
      </c>
      <c s="76" r="C32" t="s">
        <v>1009</v>
      </c>
      <c s="19" r="D32" t="s">
        <v>952</v>
      </c>
      <c s="19" r="E32" t="s">
        <v>952</v>
      </c>
      <c s="19" r="F32" t="s">
        <v>952</v>
      </c>
      <c s="76" r="G32">
        <f>IF(IFERROR(H32,7)=7,"",RIGHT(H32,LEN(H32)-2)&amp;".")</f>
        <v/>
      </c>
      <c s="73" r="H32">
        <f>IFERROR(__xludf.dummyfunction("CONCATENATE(ArrayFormula(""; ""&amp;QUERY(Hallazgos!A:E,""SELECT B WHERE E CONTAINS '""&amp;B3&amp;""' LABEL B ''"")))"),"#VALUE!")</f>
        <v/>
      </c>
    </row>
    <row customHeight="1" s="134" r="33" ht="15.75" spans="1:8">
      <c s="76" r="A33" t="s">
        <v>977</v>
      </c>
      <c s="76" r="B33" t="s">
        <v>1010</v>
      </c>
      <c s="76" r="C33" t="s">
        <v>1011</v>
      </c>
      <c s="19" r="D33" t="s">
        <v>952</v>
      </c>
      <c s="19" r="E33" t="s">
        <v>952</v>
      </c>
      <c s="19" r="F33" t="s">
        <v>952</v>
      </c>
      <c s="76" r="G33">
        <f>IF(IFERROR(H33,7)=7,"",RIGHT(H33,LEN(H33)-2)&amp;".")</f>
        <v/>
      </c>
      <c s="73" r="H33">
        <f>IFERROR(__xludf.dummyfunction("CONCATENATE(ArrayFormula(""; ""&amp;QUERY(Hallazgos!A:E,""SELECT B WHERE E CONTAINS '""&amp;B3&amp;""' LABEL B ''"")))"),"#VALUE!")</f>
        <v/>
      </c>
    </row>
    <row customHeight="1" s="134" r="34" ht="15.75" spans="1:8">
      <c s="76" r="A34" t="s">
        <v>312</v>
      </c>
      <c s="76" r="B34" t="s">
        <v>1012</v>
      </c>
      <c s="76" r="C34" t="s">
        <v>1013</v>
      </c>
      <c s="19" r="D34" t="s">
        <v>952</v>
      </c>
      <c s="19" r="E34" t="s">
        <v>952</v>
      </c>
      <c s="19" r="F34" t="s">
        <v>952</v>
      </c>
      <c s="76" r="G34">
        <f>IF(IFERROR(H34,7)=7,"",RIGHT(H34,LEN(H34)-2)&amp;".")</f>
        <v/>
      </c>
      <c s="73" r="H34">
        <f>IFERROR(__xludf.dummyfunction("CONCATENATE(ArrayFormula(""; ""&amp;QUERY(Hallazgos!A:E,""SELECT B WHERE E CONTAINS '""&amp;B3&amp;""' LABEL B ''"")))"),"#VALUE!")</f>
        <v/>
      </c>
    </row>
    <row customHeight="1" s="134" r="35" ht="15.75" spans="1:8">
      <c s="76" r="A35" t="s">
        <v>312</v>
      </c>
      <c s="76" r="B35" t="s">
        <v>1014</v>
      </c>
      <c s="76" r="C35" t="s">
        <v>1015</v>
      </c>
      <c s="19" r="D35" t="s">
        <v>952</v>
      </c>
      <c s="19" r="E35" t="s">
        <v>952</v>
      </c>
      <c s="19" r="F35" t="s">
        <v>952</v>
      </c>
      <c s="76" r="G35">
        <f>IF(IFERROR(H35,7)=7,"",RIGHT(H35,LEN(H35)-2)&amp;".")</f>
        <v/>
      </c>
      <c s="73" r="H35">
        <f>IFERROR(__xludf.dummyfunction("CONCATENATE(ArrayFormula(""; ""&amp;QUERY(Hallazgos!A:E,""SELECT B WHERE E CONTAINS '""&amp;B3&amp;""' LABEL B ''"")))"),"#VALUE!")</f>
        <v/>
      </c>
    </row>
    <row customHeight="1" s="134" r="36" ht="15.75" spans="1:8">
      <c s="76" r="A36" t="s">
        <v>312</v>
      </c>
      <c s="76" r="B36" t="s">
        <v>1016</v>
      </c>
      <c s="76" r="C36" t="s">
        <v>1017</v>
      </c>
      <c s="19" r="D36" t="s">
        <v>952</v>
      </c>
      <c s="19" r="E36" t="s">
        <v>952</v>
      </c>
      <c s="19" r="F36" t="s">
        <v>952</v>
      </c>
      <c s="76" r="G36">
        <f>IF(IFERROR(H36,7)=7,"",RIGHT(H36,LEN(H36)-2)&amp;".")</f>
        <v/>
      </c>
      <c s="73" r="H36">
        <f>IFERROR(__xludf.dummyfunction("CONCATENATE(ArrayFormula(""; ""&amp;QUERY(Hallazgos!A:E,""SELECT B WHERE E CONTAINS '""&amp;B3&amp;""' LABEL B ''"")))"),"#VALUE!")</f>
        <v/>
      </c>
    </row>
    <row customHeight="1" s="134" r="37" ht="15.75" spans="1:8">
      <c s="76" r="A37" t="s">
        <v>312</v>
      </c>
      <c s="76" r="B37" t="s">
        <v>1018</v>
      </c>
      <c s="76" r="C37" t="s">
        <v>1019</v>
      </c>
      <c s="19" r="D37" t="s">
        <v>952</v>
      </c>
      <c s="19" r="E37" t="s">
        <v>952</v>
      </c>
      <c s="19" r="F37" t="s">
        <v>952</v>
      </c>
      <c s="76" r="G37">
        <f>IF(IFERROR(H37,7)=7,"",RIGHT(H37,LEN(H37)-2)&amp;".")</f>
        <v/>
      </c>
      <c s="73" r="H37">
        <f>IFERROR(__xludf.dummyfunction("CONCATENATE(ArrayFormula(""; ""&amp;QUERY(Hallazgos!A:E,""SELECT B WHERE E CONTAINS '""&amp;B3&amp;""' LABEL B ''"")))"),"#VALUE!")</f>
        <v/>
      </c>
    </row>
    <row customHeight="1" s="134" r="38" ht="15.75" spans="1:8">
      <c s="76" r="A38" t="s">
        <v>312</v>
      </c>
      <c s="76" r="B38" t="s">
        <v>1020</v>
      </c>
      <c s="76" r="C38" t="s">
        <v>1021</v>
      </c>
      <c s="19" r="D38" t="s">
        <v>952</v>
      </c>
      <c s="19" r="E38" t="s">
        <v>952</v>
      </c>
      <c s="19" r="F38" t="s">
        <v>952</v>
      </c>
      <c s="76" r="G38">
        <f>IF(IFERROR(H38,7)=7,"",RIGHT(H38,LEN(H38)-2)&amp;".")</f>
        <v/>
      </c>
      <c s="73" r="H38">
        <f>IFERROR(__xludf.dummyfunction("CONCATENATE(ArrayFormula(""; ""&amp;QUERY(Hallazgos!A:E,""SELECT B WHERE E CONTAINS '""&amp;B3&amp;""' LABEL B ''"")))"),"#VALUE!")</f>
        <v/>
      </c>
    </row>
    <row customHeight="1" s="134" r="39" ht="15.75" spans="1:8">
      <c s="76" r="A39" t="s">
        <v>40</v>
      </c>
      <c s="76" r="B39" t="s">
        <v>1022</v>
      </c>
      <c s="76" r="C39" t="s">
        <v>1023</v>
      </c>
      <c s="19" r="D39" t="s">
        <v>952</v>
      </c>
      <c s="19" r="E39" t="s">
        <v>952</v>
      </c>
      <c s="19" r="F39" t="s">
        <v>952</v>
      </c>
      <c s="76" r="G39">
        <f>IF(IFERROR(H39,7)=7,"",RIGHT(H39,LEN(H39)-2)&amp;".")</f>
        <v/>
      </c>
      <c s="73" r="H39">
        <f>IFERROR(__xludf.dummyfunction("CONCATENATE(ArrayFormula(""; ""&amp;QUERY(Hallazgos!A:E,""SELECT B WHERE E CONTAINS '""&amp;B3&amp;""' LABEL B ''"")))"),"#VALUE!")</f>
        <v/>
      </c>
    </row>
    <row customHeight="1" s="134" r="40" ht="15.75" spans="1:8">
      <c s="76" r="A40" t="s">
        <v>40</v>
      </c>
      <c s="76" r="B40" t="s">
        <v>1024</v>
      </c>
      <c s="76" r="C40" t="s">
        <v>1025</v>
      </c>
      <c s="19" r="D40" t="s">
        <v>952</v>
      </c>
      <c s="19" r="E40" t="s">
        <v>952</v>
      </c>
      <c s="19" r="F40" t="s">
        <v>952</v>
      </c>
      <c s="76" r="G40">
        <f>IF(IFERROR(H40,7)=7,"",RIGHT(H40,LEN(H40)-2)&amp;".")</f>
        <v/>
      </c>
      <c s="73" r="H40">
        <f>IFERROR(__xludf.dummyfunction("CONCATENATE(ArrayFormula(""; ""&amp;QUERY(Hallazgos!A:E,""SELECT B WHERE E CONTAINS '""&amp;B3&amp;""' LABEL B ''"")))"),"#VALUE!")</f>
        <v/>
      </c>
    </row>
    <row customHeight="1" s="134" r="41" ht="15.75" spans="1:8">
      <c s="76" r="A41" t="s">
        <v>40</v>
      </c>
      <c s="76" r="B41" t="s">
        <v>1026</v>
      </c>
      <c s="76" r="C41" t="s">
        <v>1027</v>
      </c>
      <c s="19" r="D41" t="s">
        <v>952</v>
      </c>
      <c s="19" r="E41" t="s">
        <v>952</v>
      </c>
      <c s="19" r="F41" t="s">
        <v>952</v>
      </c>
      <c s="76" r="G41">
        <f>IF(IFERROR(H41,7)=7,"",RIGHT(H41,LEN(H41)-2)&amp;".")</f>
        <v/>
      </c>
      <c s="73" r="H41">
        <f>IFERROR(__xludf.dummyfunction("CONCATENATE(ArrayFormula(""; ""&amp;QUERY(Hallazgos!A:E,""SELECT B WHERE E CONTAINS '""&amp;B3&amp;""' LABEL B ''"")))"),"#VALUE!")</f>
        <v/>
      </c>
    </row>
    <row customHeight="1" s="134" r="42" ht="15.75" spans="1:8">
      <c s="76" r="A42" t="s">
        <v>40</v>
      </c>
      <c s="76" r="B42" t="s">
        <v>1028</v>
      </c>
      <c s="76" r="C42" t="s">
        <v>1029</v>
      </c>
      <c s="19" r="D42" t="s">
        <v>952</v>
      </c>
      <c s="19" r="E42" t="s">
        <v>952</v>
      </c>
      <c s="19" r="F42" t="s">
        <v>952</v>
      </c>
      <c s="76" r="G42">
        <f>IF(IFERROR(H42,7)=7,"",RIGHT(H42,LEN(H42)-2)&amp;".")</f>
        <v/>
      </c>
      <c s="73" r="H42">
        <f>IFERROR(__xludf.dummyfunction("CONCATENATE(ArrayFormula(""; ""&amp;QUERY(Hallazgos!A:E,""SELECT B WHERE E CONTAINS '""&amp;B3&amp;""' LABEL B ''"")))"),"#VALUE!")</f>
        <v/>
      </c>
    </row>
    <row customHeight="1" s="134" r="43" ht="15.75" spans="1:8">
      <c s="76" r="A43" t="s">
        <v>40</v>
      </c>
      <c s="76" r="B43" t="s">
        <v>1030</v>
      </c>
      <c s="76" r="C43" t="s">
        <v>1031</v>
      </c>
      <c s="19" r="D43" t="s">
        <v>952</v>
      </c>
      <c s="19" r="E43" t="s">
        <v>952</v>
      </c>
      <c s="19" r="F43" t="s">
        <v>952</v>
      </c>
      <c s="76" r="G43">
        <f>IF(IFERROR(H43,7)=7,"",RIGHT(H43,LEN(H43)-2)&amp;".")</f>
        <v/>
      </c>
      <c s="73" r="H43">
        <f>IFERROR(__xludf.dummyfunction("CONCATENATE(ArrayFormula(""; ""&amp;QUERY(Hallazgos!A:E,""SELECT B WHERE E CONTAINS '""&amp;B3&amp;""' LABEL B ''"")))"),"#VALUE!")</f>
        <v/>
      </c>
    </row>
    <row customHeight="1" s="134" r="44" ht="15.75" spans="1:8">
      <c s="76" r="A44" t="s">
        <v>40</v>
      </c>
      <c s="76" r="B44" t="s">
        <v>1032</v>
      </c>
      <c s="76" r="C44" t="s">
        <v>1033</v>
      </c>
      <c s="19" r="D44" t="s">
        <v>952</v>
      </c>
      <c s="19" r="E44" t="s">
        <v>952</v>
      </c>
      <c s="19" r="F44" t="s">
        <v>952</v>
      </c>
      <c s="76" r="G44">
        <f>IF(IFERROR(H44,7)=7,"",RIGHT(H44,LEN(H44)-2)&amp;".")</f>
        <v/>
      </c>
      <c s="73" r="H44">
        <f>IFERROR(__xludf.dummyfunction("CONCATENATE(ArrayFormula(""; ""&amp;QUERY(Hallazgos!A:E,""SELECT B WHERE E CONTAINS '""&amp;B3&amp;""' LABEL B ''"")))"),"#VALUE!")</f>
        <v/>
      </c>
    </row>
    <row customHeight="1" s="134" r="45" ht="15.75" spans="1:8">
      <c s="76" r="A45" t="s">
        <v>40</v>
      </c>
      <c s="76" r="B45" t="s">
        <v>1034</v>
      </c>
      <c s="76" r="C45" t="s">
        <v>1035</v>
      </c>
      <c s="19" r="D45" t="s">
        <v>952</v>
      </c>
      <c s="19" r="E45" t="s">
        <v>952</v>
      </c>
      <c s="19" r="F45" t="s">
        <v>952</v>
      </c>
      <c s="76" r="G45">
        <f>IF(IFERROR(H45,7)=7,"",RIGHT(H45,LEN(H45)-2)&amp;".")</f>
        <v/>
      </c>
      <c s="73" r="H45">
        <f>IFERROR(__xludf.dummyfunction("CONCATENATE(ArrayFormula(""; ""&amp;QUERY(Hallazgos!A:E,""SELECT B WHERE E CONTAINS '""&amp;B3&amp;""' LABEL B ''"")))"),"#VALUE!")</f>
        <v/>
      </c>
    </row>
    <row customHeight="1" s="134" r="46" ht="15.75" spans="1:8">
      <c s="76" r="A46" t="s">
        <v>40</v>
      </c>
      <c s="76" r="B46" t="s">
        <v>1036</v>
      </c>
      <c s="76" r="C46" t="s">
        <v>1037</v>
      </c>
      <c s="19" r="D46" t="s">
        <v>952</v>
      </c>
      <c s="19" r="E46" t="s">
        <v>952</v>
      </c>
      <c s="19" r="F46" t="s">
        <v>952</v>
      </c>
      <c s="76" r="G46">
        <f>IF(IFERROR(H46,7)=7,"",RIGHT(H46,LEN(H46)-2)&amp;".")</f>
        <v/>
      </c>
      <c s="73" r="H46">
        <f>IFERROR(__xludf.dummyfunction("CONCATENATE(ArrayFormula(""; ""&amp;QUERY(Hallazgos!A:E,""SELECT B WHERE E CONTAINS '""&amp;B3&amp;""' LABEL B ''"")))"),"#VALUE!")</f>
        <v/>
      </c>
    </row>
    <row customHeight="1" s="134" r="47" ht="15.75" spans="1:8">
      <c s="76" r="A47" t="s">
        <v>40</v>
      </c>
      <c s="76" r="B47" t="s">
        <v>1038</v>
      </c>
      <c s="76" r="C47" t="s">
        <v>1039</v>
      </c>
      <c s="19" r="D47" t="s">
        <v>952</v>
      </c>
      <c s="19" r="E47" t="s">
        <v>952</v>
      </c>
      <c s="19" r="F47" t="s">
        <v>952</v>
      </c>
      <c s="76" r="G47">
        <f>IF(IFERROR(H47,7)=7,"",RIGHT(H47,LEN(H47)-2)&amp;".")</f>
        <v/>
      </c>
      <c s="73" r="H47">
        <f>IFERROR(__xludf.dummyfunction("CONCATENATE(ArrayFormula(""; ""&amp;QUERY(Hallazgos!A:E,""SELECT B WHERE E CONTAINS '""&amp;B3&amp;""' LABEL B ''"")))"),"#VALUE!")</f>
        <v/>
      </c>
    </row>
    <row customHeight="1" s="134" r="48" ht="15.75" spans="1:8">
      <c s="76" r="A48" t="s">
        <v>40</v>
      </c>
      <c s="76" r="B48" t="s">
        <v>1040</v>
      </c>
      <c s="76" r="C48" t="s">
        <v>1041</v>
      </c>
      <c s="19" r="D48" t="s">
        <v>952</v>
      </c>
      <c s="19" r="E48" t="s">
        <v>952</v>
      </c>
      <c s="19" r="F48" t="s">
        <v>952</v>
      </c>
      <c s="76" r="G48">
        <f>IF(IFERROR(H48,7)=7,"",RIGHT(H48,LEN(H48)-2)&amp;".")</f>
        <v/>
      </c>
      <c s="73" r="H48">
        <f>IFERROR(__xludf.dummyfunction("CONCATENATE(ArrayFormula(""; ""&amp;QUERY(Hallazgos!A:E,""SELECT B WHERE E CONTAINS '""&amp;B3&amp;""' LABEL B ''"")))"),"#VALUE!")</f>
        <v/>
      </c>
    </row>
    <row customHeight="1" s="134" r="49" ht="15.75" spans="1:8">
      <c s="76" r="A49" t="s">
        <v>40</v>
      </c>
      <c s="76" r="B49" t="s">
        <v>1042</v>
      </c>
      <c s="76" r="C49" t="s">
        <v>1043</v>
      </c>
      <c s="19" r="D49" t="s">
        <v>952</v>
      </c>
      <c s="19" r="E49" t="s">
        <v>952</v>
      </c>
      <c s="19" r="F49" t="s">
        <v>952</v>
      </c>
      <c s="76" r="G49">
        <f>IF(IFERROR(H49,7)=7,"",RIGHT(H49,LEN(H49)-2)&amp;".")</f>
        <v/>
      </c>
      <c s="73" r="H49">
        <f>IFERROR(__xludf.dummyfunction("CONCATENATE(ArrayFormula(""; ""&amp;QUERY(Hallazgos!A:E,""SELECT B WHERE E CONTAINS '""&amp;B3&amp;""' LABEL B ''"")))"),"#VALUE!")</f>
        <v/>
      </c>
    </row>
    <row customHeight="1" s="134" r="50" ht="15.75" spans="1:8">
      <c s="76" r="A50" t="s">
        <v>40</v>
      </c>
      <c s="76" r="B50" t="s">
        <v>1044</v>
      </c>
      <c s="76" r="C50" t="s">
        <v>1045</v>
      </c>
      <c s="19" r="D50" t="s">
        <v>952</v>
      </c>
      <c s="19" r="E50" t="s">
        <v>952</v>
      </c>
      <c s="19" r="F50" t="s">
        <v>952</v>
      </c>
      <c s="76" r="G50">
        <f>IF(IFERROR(H50,7)=7,"",RIGHT(H50,LEN(H50)-2)&amp;".")</f>
        <v/>
      </c>
      <c s="73" r="H50">
        <f>IFERROR(__xludf.dummyfunction("CONCATENATE(ArrayFormula(""; ""&amp;QUERY(Hallazgos!A:E,""SELECT B WHERE E CONTAINS '""&amp;B3&amp;""' LABEL B ''"")))"),"#VALUE!")</f>
        <v/>
      </c>
    </row>
    <row customHeight="1" s="134" r="51" ht="15.75" spans="1:8">
      <c s="76" r="A51" t="s">
        <v>40</v>
      </c>
      <c s="76" r="B51" t="s">
        <v>1046</v>
      </c>
      <c s="76" r="C51" t="s">
        <v>1047</v>
      </c>
      <c s="19" r="D51" t="s">
        <v>952</v>
      </c>
      <c s="19" r="E51" t="s">
        <v>952</v>
      </c>
      <c s="19" r="F51" t="s">
        <v>952</v>
      </c>
      <c s="76" r="G51">
        <f>IF(IFERROR(H51,7)=7,"",RIGHT(H51,LEN(H51)-2)&amp;".")</f>
        <v/>
      </c>
      <c s="73" r="H51">
        <f>IFERROR(__xludf.dummyfunction("CONCATENATE(ArrayFormula(""; ""&amp;QUERY(Hallazgos!A:E,""SELECT B WHERE E CONTAINS '""&amp;B3&amp;""' LABEL B ''"")))"),"#VALUE!")</f>
        <v/>
      </c>
    </row>
    <row customHeight="1" s="134" r="52" ht="15.75" spans="1:8">
      <c s="76" r="A52" t="s">
        <v>40</v>
      </c>
      <c s="76" r="B52" t="s">
        <v>1048</v>
      </c>
      <c s="76" r="C52" t="s">
        <v>1049</v>
      </c>
      <c s="19" r="D52" t="s">
        <v>952</v>
      </c>
      <c s="19" r="E52" t="s">
        <v>952</v>
      </c>
      <c s="19" r="F52" t="s">
        <v>952</v>
      </c>
      <c s="76" r="G52">
        <f>IF(IFERROR(H52,7)=7,"",RIGHT(H52,LEN(H52)-2)&amp;".")</f>
        <v/>
      </c>
      <c s="73" r="H52">
        <f>IFERROR(__xludf.dummyfunction("CONCATENATE(ArrayFormula(""; ""&amp;QUERY(Hallazgos!A:E,""SELECT B WHERE E CONTAINS '""&amp;B3&amp;""' LABEL B ''"")))"),"#VALUE!")</f>
        <v/>
      </c>
    </row>
    <row customHeight="1" s="134" r="53" ht="15.75" spans="1:8">
      <c s="76" r="A53" t="s">
        <v>40</v>
      </c>
      <c s="76" r="B53" t="s">
        <v>1050</v>
      </c>
      <c s="76" r="C53" t="s">
        <v>1051</v>
      </c>
      <c s="19" r="D53" t="s">
        <v>952</v>
      </c>
      <c s="19" r="E53" t="s">
        <v>952</v>
      </c>
      <c s="19" r="F53" t="s">
        <v>952</v>
      </c>
      <c s="76" r="G53">
        <f>IF(IFERROR(H53,7)=7,"",RIGHT(H53,LEN(H53)-2)&amp;".")</f>
        <v/>
      </c>
      <c s="73" r="H53">
        <f>IFERROR(__xludf.dummyfunction("CONCATENATE(ArrayFormula(""; ""&amp;QUERY(Hallazgos!A:E,""SELECT B WHERE E CONTAINS '""&amp;B3&amp;""' LABEL B ''"")))"),"#VALUE!")</f>
        <v/>
      </c>
    </row>
    <row customHeight="1" s="134" r="54" ht="15.75" spans="1:8">
      <c s="76" r="A54" t="s">
        <v>40</v>
      </c>
      <c s="76" r="B54" t="s">
        <v>1052</v>
      </c>
      <c s="76" r="C54" t="s">
        <v>1053</v>
      </c>
      <c s="19" r="D54" t="s">
        <v>952</v>
      </c>
      <c s="19" r="E54" t="s">
        <v>952</v>
      </c>
      <c s="19" r="F54" t="s">
        <v>952</v>
      </c>
      <c s="76" r="G54">
        <f>IF(IFERROR(H54,7)=7,"",RIGHT(H54,LEN(H54)-2)&amp;".")</f>
        <v/>
      </c>
      <c s="73" r="H54">
        <f>IFERROR(__xludf.dummyfunction("CONCATENATE(ArrayFormula(""; ""&amp;QUERY(Hallazgos!A:E,""SELECT B WHERE E CONTAINS '""&amp;B3&amp;""' LABEL B ''"")))"),"#VALUE!")</f>
        <v/>
      </c>
    </row>
    <row customHeight="1" s="134" r="55" ht="15.75" spans="1:8">
      <c s="76" r="A55" t="s">
        <v>383</v>
      </c>
      <c s="76" r="B55" t="s">
        <v>1054</v>
      </c>
      <c s="76" r="C55" t="s">
        <v>1055</v>
      </c>
      <c s="19" r="D55" t="s">
        <v>952</v>
      </c>
      <c s="19" r="E55" t="s">
        <v>952</v>
      </c>
      <c s="19" r="F55" t="s">
        <v>952</v>
      </c>
      <c s="76" r="G55">
        <f>IF(IFERROR(H55,7)=7,"",RIGHT(H55,LEN(H55)-2)&amp;".")</f>
        <v/>
      </c>
      <c s="73" r="H55">
        <f>IFERROR(__xludf.dummyfunction("CONCATENATE(ArrayFormula(""; ""&amp;QUERY(Hallazgos!A:E,""SELECT B WHERE E CONTAINS '""&amp;B3&amp;""' LABEL B ''"")))"),"#VALUE!")</f>
        <v/>
      </c>
    </row>
    <row customHeight="1" s="134" r="56" ht="15.75" spans="1:8">
      <c s="76" r="A56" t="s">
        <v>383</v>
      </c>
      <c s="76" r="B56" t="s">
        <v>1056</v>
      </c>
      <c s="76" r="C56" t="s">
        <v>1057</v>
      </c>
      <c s="19" r="D56" t="s">
        <v>952</v>
      </c>
      <c s="19" r="E56" t="s">
        <v>952</v>
      </c>
      <c s="19" r="F56" t="s">
        <v>952</v>
      </c>
      <c s="76" r="G56">
        <f>IF(IFERROR(H56,7)=7,"",RIGHT(H56,LEN(H56)-2)&amp;".")</f>
        <v/>
      </c>
      <c s="73" r="H56">
        <f>IFERROR(__xludf.dummyfunction("CONCATENATE(ArrayFormula(""; ""&amp;QUERY(Hallazgos!A:E,""SELECT B WHERE E CONTAINS '""&amp;B3&amp;""' LABEL B ''"")))"),"#VALUE!")</f>
        <v/>
      </c>
    </row>
    <row customHeight="1" s="134" r="57" ht="15.75" spans="1:8">
      <c s="76" r="A57" t="s">
        <v>383</v>
      </c>
      <c s="76" r="B57" t="s">
        <v>1058</v>
      </c>
      <c s="76" r="C57" t="s">
        <v>1059</v>
      </c>
      <c s="19" r="D57" t="s">
        <v>952</v>
      </c>
      <c s="19" r="E57" t="s">
        <v>952</v>
      </c>
      <c s="19" r="F57" t="s">
        <v>952</v>
      </c>
      <c s="76" r="G57">
        <f>IF(IFERROR(H57,7)=7,"",RIGHT(H57,LEN(H57)-2)&amp;".")</f>
        <v/>
      </c>
      <c s="73" r="H57">
        <f>IFERROR(__xludf.dummyfunction("CONCATENATE(ArrayFormula(""; ""&amp;QUERY(Hallazgos!A:E,""SELECT B WHERE E CONTAINS '""&amp;B3&amp;""' LABEL B ''"")))"),"#VALUE!")</f>
        <v/>
      </c>
    </row>
    <row customHeight="1" s="134" r="58" ht="15.75" spans="1:8">
      <c s="76" r="A58" t="s">
        <v>383</v>
      </c>
      <c s="76" r="B58" t="s">
        <v>1060</v>
      </c>
      <c s="76" r="C58" t="s">
        <v>1061</v>
      </c>
      <c s="19" r="D58" t="s">
        <v>952</v>
      </c>
      <c s="19" r="E58" t="s">
        <v>952</v>
      </c>
      <c s="19" r="F58" t="s">
        <v>952</v>
      </c>
      <c s="76" r="G58">
        <f>IF(IFERROR(H58,7)=7,"",RIGHT(H58,LEN(H58)-2)&amp;".")</f>
        <v/>
      </c>
      <c s="73" r="H58">
        <f>IFERROR(__xludf.dummyfunction("CONCATENATE(ArrayFormula(""; ""&amp;QUERY(Hallazgos!A:E,""SELECT B WHERE E CONTAINS '""&amp;B3&amp;""' LABEL B ''"")))"),"#VALUE!")</f>
        <v/>
      </c>
    </row>
    <row customHeight="1" s="134" r="59" ht="15.75" spans="1:8">
      <c s="76" r="A59" t="s">
        <v>383</v>
      </c>
      <c s="76" r="B59" t="s">
        <v>1062</v>
      </c>
      <c s="76" r="C59" t="s">
        <v>1063</v>
      </c>
      <c s="19" r="D59" t="s">
        <v>952</v>
      </c>
      <c s="19" r="E59" t="s">
        <v>952</v>
      </c>
      <c s="19" r="F59" t="s">
        <v>952</v>
      </c>
      <c s="76" r="G59">
        <f>IF(IFERROR(H59,7)=7,"",RIGHT(H59,LEN(H59)-2)&amp;".")</f>
        <v/>
      </c>
      <c s="73" r="H59">
        <f>IFERROR(__xludf.dummyfunction("CONCATENATE(ArrayFormula(""; ""&amp;QUERY(Hallazgos!A:E,""SELECT B WHERE E CONTAINS '""&amp;B3&amp;""' LABEL B ''"")))"),"#VALUE!")</f>
        <v/>
      </c>
    </row>
    <row customHeight="1" s="134" r="60" ht="15.75" spans="1:8">
      <c s="76" r="A60" t="s">
        <v>383</v>
      </c>
      <c s="76" r="B60" t="s">
        <v>1064</v>
      </c>
      <c s="76" r="C60" t="s">
        <v>1065</v>
      </c>
      <c s="19" r="D60" t="s">
        <v>952</v>
      </c>
      <c s="19" r="E60" t="s">
        <v>952</v>
      </c>
      <c s="19" r="F60" t="s">
        <v>952</v>
      </c>
      <c s="76" r="G60">
        <f>IF(IFERROR(H60,7)=7,"",RIGHT(H60,LEN(H60)-2)&amp;".")</f>
        <v/>
      </c>
      <c s="73" r="H60">
        <f>IFERROR(__xludf.dummyfunction("CONCATENATE(ArrayFormula(""; ""&amp;QUERY(Hallazgos!A:E,""SELECT B WHERE E CONTAINS '""&amp;B3&amp;""' LABEL B ''"")))"),"#VALUE!")</f>
        <v/>
      </c>
    </row>
    <row customHeight="1" s="134" r="61" ht="15.75" spans="1:8">
      <c s="76" r="A61" t="s">
        <v>383</v>
      </c>
      <c s="76" r="B61" t="s">
        <v>1066</v>
      </c>
      <c s="76" r="C61" t="s">
        <v>1067</v>
      </c>
      <c s="19" r="D61" t="s">
        <v>952</v>
      </c>
      <c s="19" r="E61" t="s">
        <v>952</v>
      </c>
      <c s="19" r="F61" t="s">
        <v>952</v>
      </c>
      <c s="76" r="G61">
        <f>IF(IFERROR(H61,7)=7,"",RIGHT(H61,LEN(H61)-2)&amp;".")</f>
        <v/>
      </c>
      <c s="73" r="H61">
        <f>IFERROR(__xludf.dummyfunction("CONCATENATE(ArrayFormula(""; ""&amp;QUERY(Hallazgos!A:E,""SELECT B WHERE E CONTAINS '""&amp;B3&amp;""' LABEL B ''"")))"),"#VALUE!")</f>
        <v/>
      </c>
    </row>
    <row customHeight="1" s="134" r="62" ht="15.75" spans="1:8">
      <c s="76" r="A62" t="s">
        <v>383</v>
      </c>
      <c s="76" r="B62" t="s">
        <v>1068</v>
      </c>
      <c s="76" r="C62" t="s">
        <v>1069</v>
      </c>
      <c s="19" r="D62" t="s">
        <v>952</v>
      </c>
      <c s="19" r="E62" t="s">
        <v>952</v>
      </c>
      <c s="19" r="F62" t="s">
        <v>952</v>
      </c>
      <c s="76" r="G62">
        <f>IF(IFERROR(H62,7)=7,"",RIGHT(H62,LEN(H62)-2)&amp;".")</f>
        <v/>
      </c>
      <c s="73" r="H62">
        <f>IFERROR(__xludf.dummyfunction("CONCATENATE(ArrayFormula(""; ""&amp;QUERY(Hallazgos!A:E,""SELECT B WHERE E CONTAINS '""&amp;B3&amp;""' LABEL B ''"")))"),"#VALUE!")</f>
        <v/>
      </c>
    </row>
    <row customHeight="1" s="134" r="63" ht="15.75" spans="1:8">
      <c s="76" r="A63" t="s">
        <v>443</v>
      </c>
      <c s="76" r="B63" t="s">
        <v>1070</v>
      </c>
      <c s="76" r="C63" t="s">
        <v>1071</v>
      </c>
      <c s="19" r="D63" t="s">
        <v>952</v>
      </c>
      <c s="19" r="E63" t="s">
        <v>952</v>
      </c>
      <c s="19" r="F63" t="s">
        <v>952</v>
      </c>
      <c s="76" r="G63">
        <f>IF(IFERROR(H63,7)=7,"",RIGHT(H63,LEN(H63)-2)&amp;".")</f>
        <v/>
      </c>
      <c s="73" r="H63">
        <f>IFERROR(__xludf.dummyfunction("CONCATENATE(ArrayFormula(""; ""&amp;QUERY(Hallazgos!A:E,""SELECT B WHERE E CONTAINS '""&amp;B3&amp;""' LABEL B ''"")))"),"#VALUE!")</f>
        <v/>
      </c>
    </row>
    <row customHeight="1" s="134" r="64" ht="15.75" spans="1:8">
      <c s="76" r="A64" t="s">
        <v>443</v>
      </c>
      <c s="76" r="B64" t="s">
        <v>1072</v>
      </c>
      <c s="76" r="C64" t="s">
        <v>1073</v>
      </c>
      <c s="19" r="D64" t="s">
        <v>952</v>
      </c>
      <c s="19" r="E64" t="s">
        <v>952</v>
      </c>
      <c s="19" r="F64" t="s">
        <v>952</v>
      </c>
      <c s="76" r="G64">
        <f>IF(IFERROR(H64,7)=7,"",RIGHT(H64,LEN(H64)-2)&amp;".")</f>
        <v/>
      </c>
      <c s="73" r="H64">
        <f>IFERROR(__xludf.dummyfunction("CONCATENATE(ArrayFormula(""; ""&amp;QUERY(Hallazgos!A:E,""SELECT B WHERE E CONTAINS '""&amp;B3&amp;""' LABEL B ''"")))"),"#VALUE!")</f>
        <v/>
      </c>
    </row>
    <row customHeight="1" s="134" r="65" ht="15.75" spans="1:8">
      <c s="76" r="A65" t="s">
        <v>443</v>
      </c>
      <c s="76" r="B65" t="s">
        <v>1074</v>
      </c>
      <c s="76" r="C65" t="s">
        <v>1075</v>
      </c>
      <c s="19" r="D65" t="s">
        <v>952</v>
      </c>
      <c s="19" r="E65" t="s">
        <v>952</v>
      </c>
      <c s="19" r="F65" t="s">
        <v>952</v>
      </c>
      <c s="76" r="G65">
        <f>IF(IFERROR(H65,7)=7,"",RIGHT(H65,LEN(H65)-2)&amp;".")</f>
        <v/>
      </c>
      <c s="73" r="H65">
        <f>IFERROR(__xludf.dummyfunction("CONCATENATE(ArrayFormula(""; ""&amp;QUERY(Hallazgos!A:E,""SELECT B WHERE E CONTAINS '""&amp;B3&amp;""' LABEL B ''"")))"),"#VALUE!")</f>
        <v/>
      </c>
    </row>
    <row customHeight="1" s="134" r="66" ht="15.75" spans="1:8">
      <c s="76" r="A66" t="s">
        <v>443</v>
      </c>
      <c s="76" r="B66" t="s">
        <v>1076</v>
      </c>
      <c s="76" r="C66" t="s">
        <v>1077</v>
      </c>
      <c s="19" r="D66" t="s">
        <v>952</v>
      </c>
      <c s="19" r="E66" t="s">
        <v>952</v>
      </c>
      <c s="19" r="F66" t="s">
        <v>952</v>
      </c>
      <c s="76" r="G66">
        <f>IF(IFERROR(H66,7)=7,"",RIGHT(H66,LEN(H66)-2)&amp;".")</f>
        <v/>
      </c>
      <c s="73" r="H66">
        <f>IFERROR(__xludf.dummyfunction("CONCATENATE(ArrayFormula(""; ""&amp;QUERY(Hallazgos!A:E,""SELECT B WHERE E CONTAINS '""&amp;B3&amp;""' LABEL B ''"")))"),"#VALUE!")</f>
        <v/>
      </c>
    </row>
    <row customHeight="1" s="134" r="67" ht="15.75" spans="1:8">
      <c s="76" r="A67" t="s">
        <v>443</v>
      </c>
      <c s="76" r="B67" t="s">
        <v>1078</v>
      </c>
      <c s="76" r="C67" t="s">
        <v>1079</v>
      </c>
      <c s="19" r="D67" t="s">
        <v>952</v>
      </c>
      <c s="19" r="E67" t="s">
        <v>952</v>
      </c>
      <c s="19" r="F67" t="s">
        <v>952</v>
      </c>
      <c s="76" r="G67">
        <f>IF(IFERROR(H67,7)=7,"",RIGHT(H67,LEN(H67)-2)&amp;".")</f>
        <v/>
      </c>
      <c s="73" r="H67">
        <f>IFERROR(__xludf.dummyfunction("CONCATENATE(ArrayFormula(""; ""&amp;QUERY(Hallazgos!A:E,""SELECT B WHERE E CONTAINS '""&amp;B3&amp;""' LABEL B ''"")))"),"#VALUE!")</f>
        <v/>
      </c>
    </row>
    <row customHeight="1" s="134" r="68" ht="15.75" spans="1:8">
      <c s="76" r="A68" t="s">
        <v>443</v>
      </c>
      <c s="76" r="B68" t="s">
        <v>1080</v>
      </c>
      <c s="76" r="C68" t="s">
        <v>1081</v>
      </c>
      <c s="19" r="D68" t="s">
        <v>952</v>
      </c>
      <c s="19" r="E68" t="s">
        <v>952</v>
      </c>
      <c s="19" r="F68" t="s">
        <v>952</v>
      </c>
      <c s="76" r="G68">
        <f>IF(IFERROR(H68,7)=7,"",RIGHT(H68,LEN(H68)-2)&amp;".")</f>
        <v/>
      </c>
      <c s="73" r="H68">
        <f>IFERROR(__xludf.dummyfunction("CONCATENATE(ArrayFormula(""; ""&amp;QUERY(Hallazgos!A:E,""SELECT B WHERE E CONTAINS '""&amp;B3&amp;""' LABEL B ''"")))"),"#VALUE!")</f>
        <v/>
      </c>
    </row>
    <row customHeight="1" s="134" r="69" ht="15.75" spans="1:8">
      <c s="76" r="A69" t="s">
        <v>443</v>
      </c>
      <c s="76" r="B69" t="s">
        <v>1082</v>
      </c>
      <c s="76" r="C69" t="s">
        <v>1083</v>
      </c>
      <c s="19" r="D69" t="s">
        <v>952</v>
      </c>
      <c s="19" r="E69" t="s">
        <v>952</v>
      </c>
      <c s="19" r="F69" t="s">
        <v>952</v>
      </c>
      <c s="76" r="G69">
        <f>IF(IFERROR(H69,7)=7,"",RIGHT(H69,LEN(H69)-2)&amp;".")</f>
        <v/>
      </c>
      <c s="73" r="H69">
        <f>IFERROR(__xludf.dummyfunction("CONCATENATE(ArrayFormula(""; ""&amp;QUERY(Hallazgos!A:E,""SELECT B WHERE E CONTAINS '""&amp;B3&amp;""' LABEL B ''"")))"),"#VALUE!")</f>
        <v/>
      </c>
    </row>
    <row customHeight="1" s="134" r="70" ht="15.75" spans="1:8">
      <c s="76" r="A70" t="s">
        <v>90</v>
      </c>
      <c s="76" r="B70" t="s">
        <v>1084</v>
      </c>
      <c s="76" r="C70" t="s">
        <v>1085</v>
      </c>
      <c s="19" r="D70" t="s">
        <v>952</v>
      </c>
      <c s="19" r="E70" t="s">
        <v>952</v>
      </c>
      <c s="19" r="F70" t="s">
        <v>952</v>
      </c>
      <c s="76" r="G70">
        <f>IF(IFERROR(H70,7)=7,"",RIGHT(H70,LEN(H70)-2)&amp;".")</f>
        <v/>
      </c>
      <c s="73" r="H70">
        <f>IFERROR(__xludf.dummyfunction("CONCATENATE(ArrayFormula(""; ""&amp;QUERY(Hallazgos!A:E,""SELECT B WHERE E CONTAINS '""&amp;B3&amp;""' LABEL B ''"")))"),"#VALUE!")</f>
        <v/>
      </c>
    </row>
    <row customHeight="1" s="134" r="71" ht="15.75" spans="1:8">
      <c s="76" r="A71" t="s">
        <v>90</v>
      </c>
      <c s="76" r="B71" t="s">
        <v>1086</v>
      </c>
      <c s="76" r="C71" t="s">
        <v>1087</v>
      </c>
      <c s="19" r="D71" t="s">
        <v>952</v>
      </c>
      <c s="19" r="E71" t="s">
        <v>952</v>
      </c>
      <c s="19" r="F71" t="s">
        <v>952</v>
      </c>
      <c s="76" r="G71">
        <f>IF(IFERROR(H71,7)=7,"",RIGHT(H71,LEN(H71)-2)&amp;".")</f>
        <v/>
      </c>
      <c s="73" r="H71">
        <f>IFERROR(__xludf.dummyfunction("CONCATENATE(ArrayFormula(""; ""&amp;QUERY(Hallazgos!A:E,""SELECT B WHERE E CONTAINS '""&amp;B3&amp;""' LABEL B ''"")))"),"#VALUE!")</f>
        <v/>
      </c>
    </row>
    <row customHeight="1" s="134" r="72" ht="15.75" spans="1:8">
      <c s="76" r="A72" t="s">
        <v>90</v>
      </c>
      <c s="76" r="B72" t="s">
        <v>1088</v>
      </c>
      <c s="76" r="C72" t="s">
        <v>1089</v>
      </c>
      <c s="19" r="D72" t="s">
        <v>952</v>
      </c>
      <c s="19" r="E72" t="s">
        <v>952</v>
      </c>
      <c s="19" r="F72" t="s">
        <v>952</v>
      </c>
      <c s="76" r="G72">
        <f>IF(IFERROR(H72,7)=7,"",RIGHT(H72,LEN(H72)-2)&amp;".")</f>
        <v/>
      </c>
      <c s="73" r="H72">
        <f>IFERROR(__xludf.dummyfunction("CONCATENATE(ArrayFormula(""; ""&amp;QUERY(Hallazgos!A:E,""SELECT B WHERE E CONTAINS '""&amp;B3&amp;""' LABEL B ''"")))"),"#VALUE!")</f>
        <v/>
      </c>
    </row>
    <row customHeight="1" s="134" r="73" ht="15.75" spans="1:8">
      <c s="76" r="A73" t="s">
        <v>90</v>
      </c>
      <c s="76" r="B73" t="s">
        <v>1090</v>
      </c>
      <c s="76" r="C73" t="s">
        <v>1091</v>
      </c>
      <c s="19" r="D73" t="s">
        <v>952</v>
      </c>
      <c s="19" r="E73" t="s">
        <v>952</v>
      </c>
      <c s="19" r="F73" t="s">
        <v>952</v>
      </c>
      <c s="76" r="G73">
        <f>IF(IFERROR(H73,7)=7,"",RIGHT(H73,LEN(H73)-2)&amp;".")</f>
        <v/>
      </c>
      <c s="73" r="H73">
        <f>IFERROR(__xludf.dummyfunction("CONCATENATE(ArrayFormula(""; ""&amp;QUERY(Hallazgos!A:E,""SELECT B WHERE E CONTAINS '""&amp;B3&amp;""' LABEL B ''"")))"),"#VALUE!")</f>
        <v/>
      </c>
    </row>
    <row customHeight="1" s="134" r="74" ht="15.75" spans="1:8">
      <c s="76" r="A74" t="s">
        <v>90</v>
      </c>
      <c s="76" r="B74" t="s">
        <v>1092</v>
      </c>
      <c s="76" r="C74" t="s">
        <v>1093</v>
      </c>
      <c s="19" r="D74" t="s">
        <v>952</v>
      </c>
      <c s="19" r="E74" t="s">
        <v>952</v>
      </c>
      <c s="19" r="F74" t="s">
        <v>952</v>
      </c>
      <c s="76" r="G74">
        <f>IF(IFERROR(H74,7)=7,"",RIGHT(H74,LEN(H74)-2)&amp;".")</f>
        <v/>
      </c>
      <c s="73" r="H74">
        <f>IFERROR(__xludf.dummyfunction("CONCATENATE(ArrayFormula(""; ""&amp;QUERY(Hallazgos!A:E,""SELECT B WHERE E CONTAINS '""&amp;B3&amp;""' LABEL B ''"")))"),"#VALUE!")</f>
        <v/>
      </c>
    </row>
    <row customHeight="1" s="134" r="75" ht="15.75" spans="1:8">
      <c s="76" r="A75" t="s">
        <v>90</v>
      </c>
      <c s="76" r="B75" t="s">
        <v>1094</v>
      </c>
      <c s="76" r="C75" t="s">
        <v>1095</v>
      </c>
      <c s="19" r="D75" t="s">
        <v>952</v>
      </c>
      <c s="19" r="E75" t="s">
        <v>952</v>
      </c>
      <c s="19" r="F75" t="s">
        <v>952</v>
      </c>
      <c s="76" r="G75">
        <f>IF(IFERROR(H75,7)=7,"",RIGHT(H75,LEN(H75)-2)&amp;".")</f>
        <v/>
      </c>
      <c s="73" r="H75">
        <f>IFERROR(__xludf.dummyfunction("CONCATENATE(ArrayFormula(""; ""&amp;QUERY(Hallazgos!A:E,""SELECT B WHERE E CONTAINS '""&amp;B3&amp;""' LABEL B ''"")))"),"#VALUE!")</f>
        <v/>
      </c>
    </row>
    <row customHeight="1" s="134" r="76" ht="15.75" spans="1:8">
      <c s="76" r="A76" t="s">
        <v>90</v>
      </c>
      <c s="76" r="B76" t="s">
        <v>1096</v>
      </c>
      <c s="76" r="C76" t="s">
        <v>1097</v>
      </c>
      <c s="19" r="D76" t="s">
        <v>952</v>
      </c>
      <c s="19" r="E76" t="s">
        <v>952</v>
      </c>
      <c s="19" r="F76" t="s">
        <v>952</v>
      </c>
      <c s="76" r="G76">
        <f>IF(IFERROR(H76,7)=7,"",RIGHT(H76,LEN(H76)-2)&amp;".")</f>
        <v/>
      </c>
      <c s="73" r="H76">
        <f>IFERROR(__xludf.dummyfunction("CONCATENATE(ArrayFormula(""; ""&amp;QUERY(Hallazgos!A:E,""SELECT B WHERE E CONTAINS '""&amp;B3&amp;""' LABEL B ''"")))"),"#VALUE!")</f>
        <v/>
      </c>
    </row>
    <row customHeight="1" s="134" r="77" ht="15.75" spans="1:8">
      <c s="76" r="A77" t="s">
        <v>1098</v>
      </c>
      <c s="76" r="B77" t="s">
        <v>1099</v>
      </c>
      <c s="76" r="C77" t="s">
        <v>1100</v>
      </c>
      <c s="19" r="D77" t="s">
        <v>952</v>
      </c>
      <c s="19" r="E77" t="s">
        <v>952</v>
      </c>
      <c s="19" r="F77" t="s">
        <v>952</v>
      </c>
      <c s="76" r="G77">
        <f>IF(IFERROR(H77,7)=7,"",RIGHT(H77,LEN(H77)-2)&amp;".")</f>
        <v/>
      </c>
      <c s="73" r="H77">
        <f>IFERROR(__xludf.dummyfunction("CONCATENATE(ArrayFormula(""; ""&amp;QUERY(Hallazgos!A:E,""SELECT B WHERE E CONTAINS '""&amp;B3&amp;""' LABEL B ''"")))"),"#VALUE!")</f>
        <v/>
      </c>
    </row>
    <row customHeight="1" s="134" r="78" ht="15.75" spans="1:8">
      <c s="76" r="A78" t="s">
        <v>1098</v>
      </c>
      <c s="76" r="B78" t="s">
        <v>1101</v>
      </c>
      <c s="76" r="C78" t="s">
        <v>1102</v>
      </c>
      <c s="19" r="D78" t="s">
        <v>952</v>
      </c>
      <c s="19" r="E78" t="s">
        <v>952</v>
      </c>
      <c s="19" r="F78" t="s">
        <v>952</v>
      </c>
      <c s="76" r="G78">
        <f>IF(IFERROR(H78,7)=7,"",RIGHT(H78,LEN(H78)-2)&amp;".")</f>
        <v/>
      </c>
      <c s="73" r="H78">
        <f>IFERROR(__xludf.dummyfunction("CONCATENATE(ArrayFormula(""; ""&amp;QUERY(Hallazgos!A:E,""SELECT B WHERE E CONTAINS '""&amp;B3&amp;""' LABEL B ''"")))"),"#VALUE!")</f>
        <v/>
      </c>
    </row>
    <row customHeight="1" s="134" r="79" ht="15.75" spans="1:8">
      <c s="76" r="A79" t="s">
        <v>1098</v>
      </c>
      <c s="76" r="B79" t="s">
        <v>1103</v>
      </c>
      <c s="76" r="C79" t="s">
        <v>1104</v>
      </c>
      <c s="19" r="D79" t="s">
        <v>952</v>
      </c>
      <c s="19" r="E79" t="s">
        <v>952</v>
      </c>
      <c s="19" r="F79" t="s">
        <v>952</v>
      </c>
      <c s="76" r="G79">
        <f>IF(IFERROR(H79,7)=7,"",RIGHT(H79,LEN(H79)-2)&amp;".")</f>
        <v/>
      </c>
      <c s="73" r="H79">
        <f>IFERROR(__xludf.dummyfunction("CONCATENATE(ArrayFormula(""; ""&amp;QUERY(Hallazgos!A:E,""SELECT B WHERE E CONTAINS '""&amp;B3&amp;""' LABEL B ''"")))"),"#VALUE!")</f>
        <v/>
      </c>
    </row>
    <row customHeight="1" s="134" r="80" ht="15.75" spans="1:8">
      <c s="76" r="A80" t="s">
        <v>1105</v>
      </c>
      <c s="76" r="B80" t="s">
        <v>1106</v>
      </c>
      <c s="76" r="C80" t="s">
        <v>1107</v>
      </c>
      <c s="19" r="D80" t="s">
        <v>952</v>
      </c>
      <c s="19" r="E80" t="s">
        <v>952</v>
      </c>
      <c s="19" r="F80" t="s">
        <v>952</v>
      </c>
      <c s="76" r="G80">
        <f>IF(IFERROR(H80,7)=7,"",RIGHT(H80,LEN(H80)-2)&amp;".")</f>
        <v/>
      </c>
      <c s="73" r="H80">
        <f>IFERROR(__xludf.dummyfunction("CONCATENATE(ArrayFormula(""; ""&amp;QUERY(Hallazgos!A:E,""SELECT B WHERE E CONTAINS '""&amp;B3&amp;""' LABEL B ''"")))"),"#VALUE!")</f>
        <v/>
      </c>
    </row>
    <row customHeight="1" s="134" r="81" ht="15.75" spans="1:8">
      <c s="76" r="A81" t="s">
        <v>1105</v>
      </c>
      <c s="76" r="B81" t="s">
        <v>1108</v>
      </c>
      <c s="76" r="C81" t="s">
        <v>1109</v>
      </c>
      <c s="19" r="D81" t="s">
        <v>952</v>
      </c>
      <c s="19" r="E81" t="s">
        <v>952</v>
      </c>
      <c s="19" r="F81" t="s">
        <v>952</v>
      </c>
      <c s="76" r="G81">
        <f>IF(IFERROR(H81,7)=7,"",RIGHT(H81,LEN(H81)-2)&amp;".")</f>
        <v/>
      </c>
      <c s="73" r="H81">
        <f>IFERROR(__xludf.dummyfunction("CONCATENATE(ArrayFormula(""; ""&amp;QUERY(Hallazgos!A:E,""SELECT B WHERE E CONTAINS '""&amp;B3&amp;""' LABEL B ''"")))"),"#VALUE!")</f>
        <v/>
      </c>
    </row>
    <row customHeight="1" s="134" r="82" ht="15.75" spans="1:8">
      <c s="76" r="A82" t="s">
        <v>1105</v>
      </c>
      <c s="76" r="B82" t="s">
        <v>1110</v>
      </c>
      <c s="76" r="C82" t="s">
        <v>1111</v>
      </c>
      <c s="19" r="D82" t="s">
        <v>952</v>
      </c>
      <c s="19" r="E82" t="s">
        <v>952</v>
      </c>
      <c s="19" r="F82" t="s">
        <v>952</v>
      </c>
      <c s="76" r="G82">
        <f>IF(IFERROR(H82,7)=7,"",RIGHT(H82,LEN(H82)-2)&amp;".")</f>
        <v/>
      </c>
      <c s="73" r="H82">
        <f>IFERROR(__xludf.dummyfunction("CONCATENATE(ArrayFormula(""; ""&amp;QUERY(Hallazgos!A:E,""SELECT B WHERE E CONTAINS '""&amp;B3&amp;""' LABEL B ''"")))"),"#VALUE!")</f>
        <v/>
      </c>
    </row>
    <row customHeight="1" s="134" r="83" ht="15.75" spans="1:8">
      <c s="76" r="A83" t="s">
        <v>1105</v>
      </c>
      <c s="76" r="B83" t="s">
        <v>1112</v>
      </c>
      <c s="76" r="C83" t="s">
        <v>1113</v>
      </c>
      <c s="19" r="D83" t="s">
        <v>952</v>
      </c>
      <c s="19" r="E83" t="s">
        <v>952</v>
      </c>
      <c s="19" r="F83" t="s">
        <v>952</v>
      </c>
      <c s="76" r="G83">
        <f>IF(IFERROR(H83,7)=7,"",RIGHT(H83,LEN(H83)-2)&amp;".")</f>
        <v/>
      </c>
      <c s="73" r="H83">
        <f>IFERROR(__xludf.dummyfunction("CONCATENATE(ArrayFormula(""; ""&amp;QUERY(Hallazgos!A:E,""SELECT B WHERE E CONTAINS '""&amp;B3&amp;""' LABEL B ''"")))"),"#VALUE!")</f>
        <v/>
      </c>
    </row>
    <row customHeight="1" s="134" r="84" ht="15.75" spans="1:8">
      <c s="76" r="A84" t="s">
        <v>1105</v>
      </c>
      <c s="76" r="B84" t="s">
        <v>1114</v>
      </c>
      <c s="76" r="C84" t="s">
        <v>1115</v>
      </c>
      <c s="19" r="D84" t="s">
        <v>952</v>
      </c>
      <c s="19" r="E84" t="s">
        <v>952</v>
      </c>
      <c s="19" r="F84" t="s">
        <v>952</v>
      </c>
      <c s="76" r="G84">
        <f>IF(IFERROR(H84,7)=7,"",RIGHT(H84,LEN(H84)-2)&amp;".")</f>
        <v/>
      </c>
      <c s="73" r="H84">
        <f>IFERROR(__xludf.dummyfunction("CONCATENATE(ArrayFormula(""; ""&amp;QUERY(Hallazgos!A:E,""SELECT B WHERE E CONTAINS '""&amp;B3&amp;""' LABEL B ''"")))"),"#VALUE!")</f>
        <v/>
      </c>
    </row>
    <row customHeight="1" s="134" r="85" ht="15.75" spans="1:8">
      <c s="76" r="A85" t="s">
        <v>1105</v>
      </c>
      <c s="76" r="B85" t="s">
        <v>1116</v>
      </c>
      <c s="76" r="C85" t="s">
        <v>1117</v>
      </c>
      <c s="19" r="D85" t="s">
        <v>952</v>
      </c>
      <c s="19" r="E85" t="s">
        <v>952</v>
      </c>
      <c s="19" r="F85" t="s">
        <v>952</v>
      </c>
      <c s="76" r="G85">
        <f>IF(IFERROR(H85,7)=7,"",RIGHT(H85,LEN(H85)-2)&amp;".")</f>
        <v/>
      </c>
      <c s="73" r="H85">
        <f>IFERROR(__xludf.dummyfunction("CONCATENATE(ArrayFormula(""; ""&amp;QUERY(Hallazgos!A:E,""SELECT B WHERE E CONTAINS '""&amp;B3&amp;""' LABEL B ''"")))"),"#VALUE!")</f>
        <v/>
      </c>
    </row>
    <row customHeight="1" s="134" r="86" ht="15.75" spans="1:8">
      <c s="76" r="A86" t="s">
        <v>1105</v>
      </c>
      <c s="76" r="B86" t="s">
        <v>1118</v>
      </c>
      <c s="76" r="C86" t="s">
        <v>1119</v>
      </c>
      <c s="19" r="D86" t="s">
        <v>952</v>
      </c>
      <c s="19" r="E86" t="s">
        <v>952</v>
      </c>
      <c s="19" r="F86" t="s">
        <v>952</v>
      </c>
      <c s="76" r="G86">
        <f>IF(IFERROR(H86,7)=7,"",RIGHT(H86,LEN(H86)-2)&amp;".")</f>
        <v/>
      </c>
      <c s="73" r="H86">
        <f>IFERROR(__xludf.dummyfunction("CONCATENATE(ArrayFormula(""; ""&amp;QUERY(Hallazgos!A:E,""SELECT B WHERE E CONTAINS '""&amp;B3&amp;""' LABEL B ''"")))"),"#VALUE!")</f>
        <v/>
      </c>
    </row>
    <row customHeight="1" s="134" r="87" ht="15.75" spans="1:8">
      <c s="76" r="A87" t="s">
        <v>101</v>
      </c>
      <c s="76" r="B87" t="s">
        <v>1120</v>
      </c>
      <c s="76" r="C87" t="s">
        <v>1121</v>
      </c>
      <c s="19" r="D87" t="s">
        <v>952</v>
      </c>
      <c s="19" r="E87" t="s">
        <v>952</v>
      </c>
      <c s="19" r="F87" t="s">
        <v>952</v>
      </c>
      <c s="76" r="G87">
        <f>IF(IFERROR(H87,7)=7,"",RIGHT(H87,LEN(H87)-2)&amp;".")</f>
        <v/>
      </c>
      <c s="73" r="H87">
        <f>IFERROR(__xludf.dummyfunction("CONCATENATE(ArrayFormula(""; ""&amp;QUERY(Hallazgos!A:E,""SELECT B WHERE E CONTAINS '""&amp;B3&amp;""' LABEL B ''"")))"),"#VALUE!")</f>
        <v/>
      </c>
    </row>
    <row customHeight="1" s="134" r="88" ht="15.75" spans="1:8">
      <c s="76" r="A88" t="s">
        <v>101</v>
      </c>
      <c s="76" r="B88" t="s">
        <v>1122</v>
      </c>
      <c s="76" r="C88" t="s">
        <v>1123</v>
      </c>
      <c s="19" r="D88" t="s">
        <v>952</v>
      </c>
      <c s="19" r="E88" t="s">
        <v>952</v>
      </c>
      <c s="19" r="F88" t="s">
        <v>952</v>
      </c>
      <c s="76" r="G88">
        <f>IF(IFERROR(H88,7)=7,"",RIGHT(H88,LEN(H88)-2)&amp;".")</f>
        <v/>
      </c>
      <c s="73" r="H88">
        <f>IFERROR(__xludf.dummyfunction("CONCATENATE(ArrayFormula(""; ""&amp;QUERY(Hallazgos!A:E,""SELECT B WHERE E CONTAINS '""&amp;B3&amp;""' LABEL B ''"")))"),"#VALUE!")</f>
        <v/>
      </c>
    </row>
    <row customHeight="1" s="134" r="89" ht="15.75" spans="1:8">
      <c s="76" r="A89" t="s">
        <v>101</v>
      </c>
      <c s="76" r="B89" t="s">
        <v>1124</v>
      </c>
      <c s="76" r="C89" t="s">
        <v>1125</v>
      </c>
      <c s="19" r="D89" t="s">
        <v>952</v>
      </c>
      <c s="19" r="E89" t="s">
        <v>952</v>
      </c>
      <c s="19" r="F89" t="s">
        <v>952</v>
      </c>
      <c s="76" r="G89">
        <f>IF(IFERROR(H89,7)=7,"",RIGHT(H89,LEN(H89)-2)&amp;".")</f>
        <v/>
      </c>
      <c s="73" r="H89">
        <f>IFERROR(__xludf.dummyfunction("CONCATENATE(ArrayFormula(""; ""&amp;QUERY(Hallazgos!A:E,""SELECT B WHERE E CONTAINS '""&amp;B3&amp;""' LABEL B ''"")))"),"#VALUE!")</f>
        <v/>
      </c>
    </row>
    <row customHeight="1" s="134" r="90" ht="15.75" spans="1:8">
      <c s="76" r="A90" t="s">
        <v>101</v>
      </c>
      <c s="76" r="B90" t="s">
        <v>1126</v>
      </c>
      <c s="76" r="C90" t="s">
        <v>1127</v>
      </c>
      <c s="19" r="D90" t="s">
        <v>952</v>
      </c>
      <c s="19" r="E90" t="s">
        <v>952</v>
      </c>
      <c s="19" r="F90" t="s">
        <v>952</v>
      </c>
      <c s="76" r="G90">
        <f>IF(IFERROR(H90,7)=7,"",RIGHT(H90,LEN(H90)-2)&amp;".")</f>
        <v/>
      </c>
      <c s="73" r="H90">
        <f>IFERROR(__xludf.dummyfunction("CONCATENATE(ArrayFormula(""; ""&amp;QUERY(Hallazgos!A:E,""SELECT B WHERE E CONTAINS '""&amp;B3&amp;""' LABEL B ''"")))"),"#VALUE!")</f>
        <v/>
      </c>
    </row>
    <row customHeight="1" s="134" r="91" ht="15.75" spans="1:8">
      <c s="76" r="A91" t="s">
        <v>95</v>
      </c>
      <c s="76" r="B91" t="s">
        <v>1128</v>
      </c>
      <c s="76" r="C91" t="s">
        <v>1129</v>
      </c>
      <c s="19" r="D91" t="s">
        <v>952</v>
      </c>
      <c s="19" r="E91" t="s">
        <v>952</v>
      </c>
      <c s="19" r="F91" t="s">
        <v>952</v>
      </c>
      <c s="76" r="G91">
        <f>IF(IFERROR(H91,7)=7,"",RIGHT(H91,LEN(H91)-2)&amp;".")</f>
        <v/>
      </c>
      <c s="73" r="H91">
        <f>IFERROR(__xludf.dummyfunction("CONCATENATE(ArrayFormula(""; ""&amp;QUERY(Hallazgos!A:E,""SELECT B WHERE E CONTAINS '""&amp;B3&amp;""' LABEL B ''"")))"),"#VALUE!")</f>
        <v/>
      </c>
    </row>
    <row customHeight="1" s="134" r="92" ht="15.75" spans="1:8">
      <c s="76" r="A92" t="s">
        <v>95</v>
      </c>
      <c s="76" r="B92" t="s">
        <v>1130</v>
      </c>
      <c s="76" r="C92" t="s">
        <v>1131</v>
      </c>
      <c s="19" r="D92" t="s">
        <v>952</v>
      </c>
      <c s="19" r="E92" t="s">
        <v>952</v>
      </c>
      <c s="19" r="F92" t="s">
        <v>952</v>
      </c>
      <c s="76" r="G92">
        <f>IF(IFERROR(H92,7)=7,"",RIGHT(H92,LEN(H92)-2)&amp;".")</f>
        <v/>
      </c>
      <c s="73" r="H92">
        <f>IFERROR(__xludf.dummyfunction("CONCATENATE(ArrayFormula(""; ""&amp;QUERY(Hallazgos!A:E,""SELECT B WHERE E CONTAINS '""&amp;B3&amp;""' LABEL B ''"")))"),"#VALUE!")</f>
        <v/>
      </c>
    </row>
    <row customHeight="1" s="134" r="93" ht="15.75" spans="1:8">
      <c s="76" r="A93" t="s">
        <v>95</v>
      </c>
      <c s="76" r="B93" t="s">
        <v>1132</v>
      </c>
      <c s="76" r="C93" t="s">
        <v>1133</v>
      </c>
      <c s="19" r="D93" t="s">
        <v>952</v>
      </c>
      <c s="19" r="E93" t="s">
        <v>952</v>
      </c>
      <c s="19" r="F93" t="s">
        <v>952</v>
      </c>
      <c s="76" r="G93">
        <f>IF(IFERROR(H93,7)=7,"",RIGHT(H93,LEN(H93)-2)&amp;".")</f>
        <v/>
      </c>
      <c s="73" r="H93">
        <f>IFERROR(__xludf.dummyfunction("CONCATENATE(ArrayFormula(""; ""&amp;QUERY(Hallazgos!A:E,""SELECT B WHERE E CONTAINS '""&amp;B3&amp;""' LABEL B ''"")))"),"#VALUE!")</f>
        <v/>
      </c>
    </row>
    <row customHeight="1" s="134" r="94" ht="15.75" spans="1:8">
      <c s="76" r="A94" t="s">
        <v>95</v>
      </c>
      <c s="76" r="B94" t="s">
        <v>1134</v>
      </c>
      <c s="76" r="C94" t="s">
        <v>1135</v>
      </c>
      <c s="19" r="D94" t="s">
        <v>952</v>
      </c>
      <c s="19" r="E94" t="s">
        <v>952</v>
      </c>
      <c s="19" r="F94" t="s">
        <v>952</v>
      </c>
      <c s="76" r="G94">
        <f>IF(IFERROR(H94,7)=7,"",RIGHT(H94,LEN(H94)-2)&amp;".")</f>
        <v/>
      </c>
      <c s="73" r="H94">
        <f>IFERROR(__xludf.dummyfunction("CONCATENATE(ArrayFormula(""; ""&amp;QUERY(Hallazgos!A:E,""SELECT B WHERE E CONTAINS '""&amp;B3&amp;""' LABEL B ''"")))"),"#VALUE!")</f>
        <v/>
      </c>
    </row>
    <row customHeight="1" s="134" r="95" ht="15.75" spans="1:8">
      <c s="76" r="A95" t="s">
        <v>95</v>
      </c>
      <c s="76" r="B95" t="s">
        <v>1136</v>
      </c>
      <c s="76" r="C95" t="s">
        <v>1137</v>
      </c>
      <c s="19" r="D95" t="s">
        <v>952</v>
      </c>
      <c s="19" r="E95" t="s">
        <v>952</v>
      </c>
      <c s="19" r="F95" t="s">
        <v>952</v>
      </c>
      <c s="76" r="G95">
        <f>IF(IFERROR(H95,7)=7,"",RIGHT(H95,LEN(H95)-2)&amp;".")</f>
        <v/>
      </c>
      <c s="73" r="H95">
        <f>IFERROR(__xludf.dummyfunction("CONCATENATE(ArrayFormula(""; ""&amp;QUERY(Hallazgos!A:E,""SELECT B WHERE E CONTAINS '""&amp;B3&amp;""' LABEL B ''"")))"),"#VALUE!")</f>
        <v/>
      </c>
    </row>
    <row customHeight="1" s="134" r="96" ht="15.75" spans="1:8">
      <c s="76" r="A96" t="s">
        <v>95</v>
      </c>
      <c s="76" r="B96" t="s">
        <v>1138</v>
      </c>
      <c s="76" r="C96" t="s">
        <v>1139</v>
      </c>
      <c s="19" r="D96" t="s">
        <v>952</v>
      </c>
      <c s="19" r="E96" t="s">
        <v>952</v>
      </c>
      <c s="19" r="F96" t="s">
        <v>952</v>
      </c>
      <c s="76" r="G96">
        <f>IF(IFERROR(H96,7)=7,"",RIGHT(H96,LEN(H96)-2)&amp;".")</f>
        <v/>
      </c>
      <c s="73" r="H96">
        <f>IFERROR(__xludf.dummyfunction("CONCATENATE(ArrayFormula(""; ""&amp;QUERY(Hallazgos!A:E,""SELECT B WHERE E CONTAINS '""&amp;B3&amp;""' LABEL B ''"")))"),"#VALUE!")</f>
        <v/>
      </c>
    </row>
    <row customHeight="1" s="134" r="97" ht="15.75" spans="1:8">
      <c s="76" r="A97" t="s">
        <v>95</v>
      </c>
      <c s="76" r="B97" t="s">
        <v>1140</v>
      </c>
      <c s="76" r="C97" t="s">
        <v>1141</v>
      </c>
      <c s="19" r="D97" t="s">
        <v>952</v>
      </c>
      <c s="19" r="E97" t="s">
        <v>952</v>
      </c>
      <c s="19" r="F97" t="s">
        <v>952</v>
      </c>
      <c s="76" r="G97">
        <f>IF(IFERROR(H97,7)=7,"",RIGHT(H97,LEN(H97)-2)&amp;".")</f>
        <v/>
      </c>
      <c s="73" r="H97">
        <f>IFERROR(__xludf.dummyfunction("CONCATENATE(ArrayFormula(""; ""&amp;QUERY(Hallazgos!A:E,""SELECT B WHERE E CONTAINS '""&amp;B3&amp;""' LABEL B ''"")))"),"#VALUE!")</f>
        <v/>
      </c>
    </row>
    <row customHeight="1" s="134" r="98" ht="15.75" spans="1:8">
      <c s="76" r="A98" t="s">
        <v>95</v>
      </c>
      <c s="76" r="B98" t="s">
        <v>1142</v>
      </c>
      <c s="76" r="C98" t="s">
        <v>1143</v>
      </c>
      <c s="19" r="D98" t="s">
        <v>952</v>
      </c>
      <c s="19" r="E98" t="s">
        <v>952</v>
      </c>
      <c s="19" r="F98" t="s">
        <v>952</v>
      </c>
      <c s="76" r="G98">
        <f>IF(IFERROR(H98,7)=7,"",RIGHT(H98,LEN(H98)-2)&amp;".")</f>
        <v/>
      </c>
      <c s="73" r="H98">
        <f>IFERROR(__xludf.dummyfunction("CONCATENATE(ArrayFormula(""; ""&amp;QUERY(Hallazgos!A:E,""SELECT B WHERE E CONTAINS '""&amp;B3&amp;""' LABEL B ''"")))"),"#VALUE!")</f>
        <v/>
      </c>
    </row>
    <row customHeight="1" s="134" r="99" ht="15.75" spans="1:8">
      <c s="76" r="A99" t="s">
        <v>95</v>
      </c>
      <c s="76" r="B99" t="s">
        <v>1144</v>
      </c>
      <c s="76" r="C99" t="s">
        <v>1145</v>
      </c>
      <c s="19" r="D99" t="s">
        <v>952</v>
      </c>
      <c s="19" r="E99" t="s">
        <v>952</v>
      </c>
      <c s="19" r="F99" t="s">
        <v>952</v>
      </c>
      <c s="76" r="G99">
        <f>IF(IFERROR(H99,7)=7,"",RIGHT(H99,LEN(H99)-2)&amp;".")</f>
        <v/>
      </c>
      <c s="73" r="H99">
        <f>IFERROR(__xludf.dummyfunction("CONCATENATE(ArrayFormula(""; ""&amp;QUERY(Hallazgos!A:E,""SELECT B WHERE E CONTAINS '""&amp;B3&amp;""' LABEL B ''"")))"),"#VALUE!")</f>
        <v/>
      </c>
    </row>
    <row customHeight="1" s="134" r="100" ht="15.75" spans="1:8">
      <c s="76" r="A100" t="s">
        <v>1146</v>
      </c>
      <c s="76" r="B100" t="s">
        <v>1147</v>
      </c>
      <c s="76" r="C100" t="s">
        <v>1148</v>
      </c>
      <c s="19" r="D100" t="s">
        <v>952</v>
      </c>
      <c s="19" r="E100" t="s">
        <v>952</v>
      </c>
      <c s="19" r="F100" t="s">
        <v>952</v>
      </c>
      <c s="76" r="G100">
        <f>IF(IFERROR(H100,7)=7,"",RIGHT(H100,LEN(H100)-2)&amp;".")</f>
        <v/>
      </c>
      <c s="73" r="H100">
        <f>IFERROR(__xludf.dummyfunction("CONCATENATE(ArrayFormula(""; ""&amp;QUERY(Hallazgos!A:E,""SELECT B WHERE E CONTAINS '""&amp;B3&amp;""' LABEL B ''"")))"),"#VALUE!")</f>
        <v/>
      </c>
    </row>
    <row customHeight="1" s="134" r="101" ht="15.75" spans="1:8">
      <c s="76" r="A101" t="s">
        <v>1146</v>
      </c>
      <c s="76" r="B101" t="s">
        <v>1149</v>
      </c>
      <c s="76" r="C101" t="s">
        <v>1150</v>
      </c>
      <c s="19" r="D101" t="s">
        <v>952</v>
      </c>
      <c s="19" r="E101" t="s">
        <v>952</v>
      </c>
      <c s="19" r="F101" t="s">
        <v>952</v>
      </c>
      <c s="76" r="G101">
        <f>IF(IFERROR(H101,7)=7,"",RIGHT(H101,LEN(H101)-2)&amp;".")</f>
        <v/>
      </c>
      <c s="73" r="H101">
        <f>IFERROR(__xludf.dummyfunction("CONCATENATE(ArrayFormula(""; ""&amp;QUERY(Hallazgos!A:E,""SELECT B WHERE E CONTAINS '""&amp;B3&amp;""' LABEL B ''"")))"),"#VALUE!")</f>
        <v/>
      </c>
    </row>
    <row customHeight="1" s="134" r="102" ht="15.75" spans="1:8">
      <c s="76" r="A102" t="s">
        <v>1146</v>
      </c>
      <c s="76" r="B102" t="s">
        <v>1151</v>
      </c>
      <c s="76" r="C102" t="s">
        <v>1152</v>
      </c>
      <c s="19" r="D102" t="s">
        <v>952</v>
      </c>
      <c s="19" r="E102" t="s">
        <v>952</v>
      </c>
      <c s="19" r="F102" t="s">
        <v>952</v>
      </c>
      <c s="76" r="G102">
        <f>IF(IFERROR(H102,7)=7,"",RIGHT(H102,LEN(H102)-2)&amp;".")</f>
        <v/>
      </c>
      <c s="73" r="H102">
        <f>IFERROR(__xludf.dummyfunction("CONCATENATE(ArrayFormula(""; ""&amp;QUERY(Hallazgos!A:E,""SELECT B WHERE E CONTAINS '""&amp;B3&amp;""' LABEL B ''"")))"),"#VALUE!")</f>
        <v/>
      </c>
    </row>
    <row customHeight="1" s="134" r="103" ht="15.75" spans="1:8">
      <c s="76" r="A103" t="s">
        <v>1146</v>
      </c>
      <c s="76" r="B103" t="s">
        <v>1153</v>
      </c>
      <c s="76" r="C103" t="s">
        <v>1154</v>
      </c>
      <c s="19" r="D103" t="s">
        <v>952</v>
      </c>
      <c s="19" r="E103" t="s">
        <v>952</v>
      </c>
      <c s="19" r="F103" t="s">
        <v>952</v>
      </c>
      <c s="76" r="G103">
        <f>IF(IFERROR(H103,7)=7,"",RIGHT(H103,LEN(H103)-2)&amp;".")</f>
        <v/>
      </c>
      <c s="73" r="H103">
        <f>IFERROR(__xludf.dummyfunction("CONCATENATE(ArrayFormula(""; ""&amp;QUERY(Hallazgos!A:E,""SELECT B WHERE E CONTAINS '""&amp;B3&amp;""' LABEL B ''"")))"),"#VALUE!")</f>
        <v/>
      </c>
    </row>
    <row customHeight="1" s="134" r="104" ht="15.75" spans="1:8">
      <c s="76" r="A104" t="s">
        <v>1146</v>
      </c>
      <c s="76" r="B104" t="s">
        <v>1155</v>
      </c>
      <c s="76" r="C104" t="s">
        <v>1156</v>
      </c>
      <c s="19" r="D104" t="s">
        <v>952</v>
      </c>
      <c s="19" r="E104" t="s">
        <v>952</v>
      </c>
      <c s="19" r="F104" t="s">
        <v>952</v>
      </c>
      <c s="76" r="G104">
        <f>IF(IFERROR(H104,7)=7,"",RIGHT(H104,LEN(H104)-2)&amp;".")</f>
        <v/>
      </c>
      <c s="73" r="H104">
        <f>IFERROR(__xludf.dummyfunction("CONCATENATE(ArrayFormula(""; ""&amp;QUERY(Hallazgos!A:E,""SELECT B WHERE E CONTAINS '""&amp;B3&amp;""' LABEL B ''"")))"),"#VALUE!")</f>
        <v/>
      </c>
    </row>
    <row customHeight="1" s="134" r="105" ht="15.75" spans="1:8">
      <c s="76" r="A105" t="s">
        <v>1146</v>
      </c>
      <c s="76" r="B105" t="s">
        <v>1157</v>
      </c>
      <c s="76" r="C105" t="s">
        <v>1158</v>
      </c>
      <c s="19" r="D105" t="s">
        <v>952</v>
      </c>
      <c s="19" r="E105" t="s">
        <v>952</v>
      </c>
      <c s="19" r="F105" t="s">
        <v>952</v>
      </c>
      <c s="76" r="G105">
        <f>IF(IFERROR(H105,7)=7,"",RIGHT(H105,LEN(H105)-2)&amp;".")</f>
        <v/>
      </c>
      <c s="73" r="H105">
        <f>IFERROR(__xludf.dummyfunction("CONCATENATE(ArrayFormula(""; ""&amp;QUERY(Hallazgos!A:E,""SELECT B WHERE E CONTAINS '""&amp;B3&amp;""' LABEL B ''"")))"),"#VALUE!")</f>
        <v/>
      </c>
    </row>
    <row customHeight="1" s="134" r="106" ht="15.75" spans="1:8">
      <c s="76" r="A106" t="s">
        <v>1146</v>
      </c>
      <c s="76" r="B106" t="s">
        <v>1159</v>
      </c>
      <c s="76" r="C106" t="s">
        <v>525</v>
      </c>
      <c s="19" r="D106" t="s">
        <v>952</v>
      </c>
      <c s="19" r="E106" t="s">
        <v>952</v>
      </c>
      <c s="19" r="F106" t="s">
        <v>952</v>
      </c>
      <c s="76" r="G106">
        <f>IF(IFERROR(H106,7)=7,"",RIGHT(H106,LEN(H106)-2)&amp;".")</f>
        <v/>
      </c>
      <c s="73" r="H106">
        <f>IFERROR(__xludf.dummyfunction("CONCATENATE(ArrayFormula(""; ""&amp;QUERY(Hallazgos!A:E,""SELECT B WHERE E CONTAINS '""&amp;B3&amp;""' LABEL B ''"")))"),"#VALUE!")</f>
        <v/>
      </c>
    </row>
    <row customHeight="1" s="134" r="107" ht="15.75" spans="1:8">
      <c s="76" r="A107" t="s">
        <v>1146</v>
      </c>
      <c s="76" r="B107" t="s">
        <v>1160</v>
      </c>
      <c s="76" r="C107" t="s">
        <v>1161</v>
      </c>
      <c s="19" r="D107" t="s">
        <v>952</v>
      </c>
      <c s="19" r="E107" t="s">
        <v>952</v>
      </c>
      <c s="19" r="F107" t="s">
        <v>952</v>
      </c>
      <c s="76" r="G107">
        <f>IF(IFERROR(H107,7)=7,"",RIGHT(H107,LEN(H107)-2)&amp;".")</f>
        <v/>
      </c>
      <c s="73" r="H107">
        <f>IFERROR(__xludf.dummyfunction("CONCATENATE(ArrayFormula(""; ""&amp;QUERY(Hallazgos!A:E,""SELECT B WHERE E CONTAINS '""&amp;B3&amp;""' LABEL B ''"")))"),"#VALUE!")</f>
        <v/>
      </c>
    </row>
    <row customHeight="1" s="134" r="108" ht="15.75" spans="1:8">
      <c s="76" r="A108" t="s">
        <v>1146</v>
      </c>
      <c s="76" r="B108" t="s">
        <v>1162</v>
      </c>
      <c s="76" r="C108" t="s">
        <v>1163</v>
      </c>
      <c s="19" r="D108" t="s">
        <v>952</v>
      </c>
      <c s="19" r="E108" t="s">
        <v>952</v>
      </c>
      <c s="19" r="F108" t="s">
        <v>952</v>
      </c>
      <c s="76" r="G108">
        <f>IF(IFERROR(H108,7)=7,"",RIGHT(H108,LEN(H108)-2)&amp;".")</f>
        <v/>
      </c>
      <c s="73" r="H108">
        <f>IFERROR(__xludf.dummyfunction("CONCATENATE(ArrayFormula(""; ""&amp;QUERY(Hallazgos!A:E,""SELECT B WHERE E CONTAINS '""&amp;B3&amp;""' LABEL B ''"")))"),"#VALUE!")</f>
        <v/>
      </c>
    </row>
    <row customHeight="1" s="134" r="109" ht="15.75" spans="1:8">
      <c s="76" r="A109" t="s">
        <v>1146</v>
      </c>
      <c s="76" r="B109" t="s">
        <v>1164</v>
      </c>
      <c s="76" r="C109" t="s">
        <v>1165</v>
      </c>
      <c s="19" r="D109" t="s">
        <v>952</v>
      </c>
      <c s="19" r="E109" t="s">
        <v>952</v>
      </c>
      <c s="19" r="F109" t="s">
        <v>952</v>
      </c>
      <c s="76" r="G109">
        <f>IF(IFERROR(H109,7)=7,"",RIGHT(H109,LEN(H109)-2)&amp;".")</f>
        <v/>
      </c>
      <c s="73" r="H109">
        <f>IFERROR(__xludf.dummyfunction("CONCATENATE(ArrayFormula(""; ""&amp;QUERY(Hallazgos!A:E,""SELECT B WHERE E CONTAINS '""&amp;B3&amp;""' LABEL B ''"")))"),"#VALUE!")</f>
        <v/>
      </c>
    </row>
    <row customHeight="1" s="134" r="110" ht="15.75" spans="1:8">
      <c s="76" r="A110" t="s">
        <v>1146</v>
      </c>
      <c s="76" r="B110" t="s">
        <v>1166</v>
      </c>
      <c s="76" r="C110" t="s">
        <v>1167</v>
      </c>
      <c s="19" r="D110" t="s">
        <v>952</v>
      </c>
      <c s="19" r="E110" t="s">
        <v>952</v>
      </c>
      <c s="19" r="F110" t="s">
        <v>952</v>
      </c>
      <c s="76" r="G110">
        <f>IF(IFERROR(H110,7)=7,"",RIGHT(H110,LEN(H110)-2)&amp;".")</f>
        <v/>
      </c>
      <c s="73" r="H110">
        <f>IFERROR(__xludf.dummyfunction("CONCATENATE(ArrayFormula(""; ""&amp;QUERY(Hallazgos!A:E,""SELECT B WHERE E CONTAINS '""&amp;B3&amp;""' LABEL B ''"")))"),"#VALUE!")</f>
        <v/>
      </c>
    </row>
    <row customHeight="1" s="134" r="111" ht="15.75" spans="1:8">
      <c s="76" r="A111" t="s">
        <v>1146</v>
      </c>
      <c s="76" r="B111" t="s">
        <v>1168</v>
      </c>
      <c s="76" r="C111" t="s">
        <v>1169</v>
      </c>
      <c s="19" r="D111" t="s">
        <v>952</v>
      </c>
      <c s="19" r="E111" t="s">
        <v>952</v>
      </c>
      <c s="19" r="F111" t="s">
        <v>952</v>
      </c>
      <c s="76" r="G111">
        <f>IF(IFERROR(H111,7)=7,"",RIGHT(H111,LEN(H111)-2)&amp;".")</f>
        <v/>
      </c>
      <c s="73" r="H111">
        <f>IFERROR(__xludf.dummyfunction("CONCATENATE(ArrayFormula(""; ""&amp;QUERY(Hallazgos!A:E,""SELECT B WHERE E CONTAINS '""&amp;B3&amp;""' LABEL B ''"")))"),"#VALUE!")</f>
        <v/>
      </c>
    </row>
    <row customHeight="1" s="134" r="112" ht="15.75" spans="1:8">
      <c s="76" r="A112" t="s">
        <v>1146</v>
      </c>
      <c s="76" r="B112" t="s">
        <v>1170</v>
      </c>
      <c s="76" r="C112" t="s">
        <v>1171</v>
      </c>
      <c s="19" r="D112" t="s">
        <v>952</v>
      </c>
      <c s="19" r="E112" t="s">
        <v>952</v>
      </c>
      <c s="19" r="F112" t="s">
        <v>952</v>
      </c>
      <c s="76" r="G112">
        <f>IF(IFERROR(H112,7)=7,"",RIGHT(H112,LEN(H112)-2)&amp;".")</f>
        <v/>
      </c>
      <c s="73" r="H112">
        <f>IFERROR(__xludf.dummyfunction("CONCATENATE(ArrayFormula(""; ""&amp;QUERY(Hallazgos!A:E,""SELECT B WHERE E CONTAINS '""&amp;B3&amp;""' LABEL B ''"")))"),"#VALUE!")</f>
        <v/>
      </c>
    </row>
    <row customHeight="1" s="134" r="113" ht="15.75" spans="1:8">
      <c s="76" r="A113" t="s">
        <v>1172</v>
      </c>
      <c s="76" r="B113" t="s">
        <v>1173</v>
      </c>
      <c s="76" r="C113" t="s">
        <v>1174</v>
      </c>
      <c s="19" r="D113" t="s">
        <v>952</v>
      </c>
      <c s="19" r="E113" t="s">
        <v>952</v>
      </c>
      <c s="19" r="F113" t="s">
        <v>952</v>
      </c>
      <c s="76" r="G113">
        <f>IF(IFERROR(H113,7)=7,"",RIGHT(H113,LEN(H113)-2)&amp;".")</f>
        <v/>
      </c>
      <c s="73" r="H113">
        <f>IFERROR(__xludf.dummyfunction("CONCATENATE(ArrayFormula(""; ""&amp;QUERY(Hallazgos!A:E,""SELECT B WHERE E CONTAINS '""&amp;B3&amp;""' LABEL B ''"")))"),"#VALUE!")</f>
        <v/>
      </c>
    </row>
    <row customHeight="1" s="134" r="114" ht="15.75" spans="1:8">
      <c s="76" r="A114" t="s">
        <v>1172</v>
      </c>
      <c s="76" r="B114" t="s">
        <v>1175</v>
      </c>
      <c s="76" r="C114" t="s">
        <v>1176</v>
      </c>
      <c s="19" r="D114" t="s">
        <v>952</v>
      </c>
      <c s="19" r="E114" t="s">
        <v>952</v>
      </c>
      <c s="19" r="F114" t="s">
        <v>952</v>
      </c>
      <c s="76" r="G114">
        <f>IF(IFERROR(H114,7)=7,"",RIGHT(H114,LEN(H114)-2)&amp;".")</f>
        <v/>
      </c>
      <c s="73" r="H114">
        <f>IFERROR(__xludf.dummyfunction("CONCATENATE(ArrayFormula(""; ""&amp;QUERY(Hallazgos!A:E,""SELECT B WHERE E CONTAINS '""&amp;B3&amp;""' LABEL B ''"")))"),"#VALUE!")</f>
        <v/>
      </c>
    </row>
    <row customHeight="1" s="134" r="115" ht="15.75" spans="1:8">
      <c s="76" r="A115" t="s">
        <v>1172</v>
      </c>
      <c s="76" r="B115" t="s">
        <v>1177</v>
      </c>
      <c s="76" r="C115" t="s">
        <v>1178</v>
      </c>
      <c s="19" r="D115" t="s">
        <v>952</v>
      </c>
      <c s="19" r="E115" t="s">
        <v>952</v>
      </c>
      <c s="19" r="F115" t="s">
        <v>952</v>
      </c>
      <c s="76" r="G115">
        <f>IF(IFERROR(H115,7)=7,"",RIGHT(H115,LEN(H115)-2)&amp;".")</f>
        <v/>
      </c>
      <c s="73" r="H115">
        <f>IFERROR(__xludf.dummyfunction("CONCATENATE(ArrayFormula(""; ""&amp;QUERY(Hallazgos!A:E,""SELECT B WHERE E CONTAINS '""&amp;B3&amp;""' LABEL B ''"")))"),"#VALUE!")</f>
        <v/>
      </c>
    </row>
    <row customHeight="1" s="134" r="116" ht="15.75" spans="1:8">
      <c s="76" r="A116" t="s">
        <v>1172</v>
      </c>
      <c s="76" r="B116" t="s">
        <v>1179</v>
      </c>
      <c s="76" r="C116" t="s">
        <v>1180</v>
      </c>
      <c s="19" r="D116" t="s">
        <v>952</v>
      </c>
      <c s="19" r="E116" t="s">
        <v>952</v>
      </c>
      <c s="19" r="F116" t="s">
        <v>952</v>
      </c>
      <c s="76" r="G116">
        <f>IF(IFERROR(H116,7)=7,"",RIGHT(H116,LEN(H116)-2)&amp;".")</f>
        <v/>
      </c>
      <c s="73" r="H116">
        <f>IFERROR(__xludf.dummyfunction("CONCATENATE(ArrayFormula(""; ""&amp;QUERY(Hallazgos!A:E,""SELECT B WHERE E CONTAINS '""&amp;B3&amp;""' LABEL B ''"")))"),"#VALUE!")</f>
        <v/>
      </c>
    </row>
    <row customHeight="1" s="134" r="117" ht="15.75" spans="1:8">
      <c s="76" r="A117" t="s">
        <v>1172</v>
      </c>
      <c s="76" r="B117" t="s">
        <v>1181</v>
      </c>
      <c s="76" r="C117" t="s">
        <v>1182</v>
      </c>
      <c s="19" r="D117" t="s">
        <v>952</v>
      </c>
      <c s="19" r="E117" t="s">
        <v>952</v>
      </c>
      <c s="19" r="F117" t="s">
        <v>952</v>
      </c>
      <c s="76" r="G117">
        <f>IF(IFERROR(H117,7)=7,"",RIGHT(H117,LEN(H117)-2)&amp;".")</f>
        <v/>
      </c>
      <c s="73" r="H117">
        <f>IFERROR(__xludf.dummyfunction("CONCATENATE(ArrayFormula(""; ""&amp;QUERY(Hallazgos!A:E,""SELECT B WHERE E CONTAINS '""&amp;B3&amp;""' LABEL B ''"")))"),"#VALUE!")</f>
        <v/>
      </c>
    </row>
    <row customHeight="1" s="134" r="118" ht="15.75" spans="1:8">
      <c s="76" r="A118" t="s">
        <v>1172</v>
      </c>
      <c s="76" r="B118" t="s">
        <v>1183</v>
      </c>
      <c s="76" r="C118" t="s">
        <v>1184</v>
      </c>
      <c s="19" r="D118" t="s">
        <v>952</v>
      </c>
      <c s="19" r="E118" t="s">
        <v>952</v>
      </c>
      <c s="19" r="F118" t="s">
        <v>952</v>
      </c>
      <c s="76" r="G118">
        <f>IF(IFERROR(H118,7)=7,"",RIGHT(H118,LEN(H118)-2)&amp;".")</f>
        <v/>
      </c>
      <c s="73" r="H118">
        <f>IFERROR(__xludf.dummyfunction("CONCATENATE(ArrayFormula(""; ""&amp;QUERY(Hallazgos!A:E,""SELECT B WHERE E CONTAINS '""&amp;B3&amp;""' LABEL B ''"")))"),"#VALUE!")</f>
        <v/>
      </c>
    </row>
    <row customHeight="1" s="134" r="119" ht="15.75" spans="1:8">
      <c s="76" r="A119" t="s">
        <v>1185</v>
      </c>
      <c s="76" r="B119" t="s">
        <v>1186</v>
      </c>
      <c s="76" r="C119" t="s">
        <v>1187</v>
      </c>
      <c s="19" r="D119" t="s">
        <v>952</v>
      </c>
      <c s="19" r="E119" t="s">
        <v>952</v>
      </c>
      <c s="19" r="F119" t="s">
        <v>952</v>
      </c>
      <c s="76" r="G119">
        <f>IF(IFERROR(H119,7)=7,"",RIGHT(H119,LEN(H119)-2)&amp;".")</f>
        <v/>
      </c>
      <c s="73" r="H119">
        <f>IFERROR(__xludf.dummyfunction("CONCATENATE(ArrayFormula(""; ""&amp;QUERY(Hallazgos!A:E,""SELECT B WHERE E CONTAINS '""&amp;B3&amp;""' LABEL B ''"")))"),"#VALUE!")</f>
        <v/>
      </c>
    </row>
    <row customHeight="1" s="134" r="120" ht="15.75" spans="1:8">
      <c s="76" r="A120" t="s">
        <v>1185</v>
      </c>
      <c s="76" r="B120" t="s">
        <v>1188</v>
      </c>
      <c s="76" r="C120" t="s">
        <v>1189</v>
      </c>
      <c s="19" r="D120" t="s">
        <v>952</v>
      </c>
      <c s="19" r="E120" t="s">
        <v>952</v>
      </c>
      <c s="19" r="F120" t="s">
        <v>952</v>
      </c>
      <c s="76" r="G120">
        <f>IF(IFERROR(H120,7)=7,"",RIGHT(H120,LEN(H120)-2)&amp;".")</f>
        <v/>
      </c>
      <c s="73" r="H120">
        <f>IFERROR(__xludf.dummyfunction("CONCATENATE(ArrayFormula(""; ""&amp;QUERY(Hallazgos!A:E,""SELECT B WHERE E CONTAINS '""&amp;B3&amp;""' LABEL B ''"")))"),"#VALUE!")</f>
        <v/>
      </c>
    </row>
    <row customHeight="1" s="134" r="121" ht="15.75" spans="1:8">
      <c s="76" r="A121" t="s">
        <v>1185</v>
      </c>
      <c s="76" r="B121" t="s">
        <v>1190</v>
      </c>
      <c s="76" r="C121" t="s">
        <v>1191</v>
      </c>
      <c s="19" r="D121" t="s">
        <v>952</v>
      </c>
      <c s="19" r="E121" t="s">
        <v>952</v>
      </c>
      <c s="19" r="F121" t="s">
        <v>952</v>
      </c>
      <c s="76" r="G121">
        <f>IF(IFERROR(H121,7)=7,"",RIGHT(H121,LEN(H121)-2)&amp;".")</f>
        <v/>
      </c>
      <c s="73" r="H121">
        <f>IFERROR(__xludf.dummyfunction("CONCATENATE(ArrayFormula(""; ""&amp;QUERY(Hallazgos!A:E,""SELECT B WHERE E CONTAINS '""&amp;B3&amp;""' LABEL B ''"")))"),"#VALUE!")</f>
        <v/>
      </c>
    </row>
    <row customHeight="1" s="134" r="122" ht="15.75" spans="1:8">
      <c s="76" r="A122" t="s">
        <v>1185</v>
      </c>
      <c s="76" r="B122" t="s">
        <v>1192</v>
      </c>
      <c s="76" r="C122" t="s">
        <v>1193</v>
      </c>
      <c s="19" r="D122" t="s">
        <v>952</v>
      </c>
      <c s="19" r="E122" t="s">
        <v>952</v>
      </c>
      <c s="19" r="F122" t="s">
        <v>952</v>
      </c>
      <c s="76" r="G122">
        <f>IF(IFERROR(H122,7)=7,"",RIGHT(H122,LEN(H122)-2)&amp;".")</f>
        <v/>
      </c>
      <c s="73" r="H122">
        <f>IFERROR(__xludf.dummyfunction("CONCATENATE(ArrayFormula(""; ""&amp;QUERY(Hallazgos!A:E,""SELECT B WHERE E CONTAINS '""&amp;B3&amp;""' LABEL B ''"")))"),"#VALUE!")</f>
        <v/>
      </c>
    </row>
    <row customHeight="1" s="134" r="123" ht="15.75" spans="1:8">
      <c s="76" r="A123" t="s">
        <v>1185</v>
      </c>
      <c s="76" r="B123" t="s">
        <v>1194</v>
      </c>
      <c s="76" r="C123" t="s">
        <v>1195</v>
      </c>
      <c s="19" r="D123" t="s">
        <v>952</v>
      </c>
      <c s="19" r="E123" t="s">
        <v>952</v>
      </c>
      <c s="19" r="F123" t="s">
        <v>952</v>
      </c>
      <c s="76" r="G123">
        <f>IF(IFERROR(H123,7)=7,"",RIGHT(H123,LEN(H123)-2)&amp;".")</f>
        <v/>
      </c>
      <c s="73" r="H123">
        <f>IFERROR(__xludf.dummyfunction("CONCATENATE(ArrayFormula(""; ""&amp;QUERY(Hallazgos!A:E,""SELECT B WHERE E CONTAINS '""&amp;B3&amp;""' LABEL B ''"")))"),"#VALUE!")</f>
        <v/>
      </c>
    </row>
    <row customHeight="1" s="134" r="124" ht="15.75" spans="1:8">
      <c s="76" r="A124" t="s">
        <v>1185</v>
      </c>
      <c s="76" r="B124" t="s">
        <v>1196</v>
      </c>
      <c s="76" r="C124" t="s">
        <v>1197</v>
      </c>
      <c s="19" r="D124" t="s">
        <v>952</v>
      </c>
      <c s="19" r="E124" t="s">
        <v>952</v>
      </c>
      <c s="19" r="F124" t="s">
        <v>952</v>
      </c>
      <c s="76" r="G124">
        <f>IF(IFERROR(H124,7)=7,"",RIGHT(H124,LEN(H124)-2)&amp;".")</f>
        <v/>
      </c>
      <c s="73" r="H124">
        <f>IFERROR(__xludf.dummyfunction("CONCATENATE(ArrayFormula(""; ""&amp;QUERY(Hallazgos!A:E,""SELECT B WHERE E CONTAINS '""&amp;B3&amp;""' LABEL B ''"")))"),"#VALUE!")</f>
        <v/>
      </c>
    </row>
    <row customHeight="1" s="134" r="125" ht="15.75" spans="1:8">
      <c s="76" r="A125" t="s">
        <v>1185</v>
      </c>
      <c s="76" r="B125" t="s">
        <v>1198</v>
      </c>
      <c s="76" r="C125" t="s">
        <v>1199</v>
      </c>
      <c s="19" r="D125" t="s">
        <v>952</v>
      </c>
      <c s="19" r="E125" t="s">
        <v>952</v>
      </c>
      <c s="19" r="F125" t="s">
        <v>952</v>
      </c>
      <c s="76" r="G125">
        <f>IF(IFERROR(H125,7)=7,"",RIGHT(H125,LEN(H125)-2)&amp;".")</f>
        <v/>
      </c>
      <c s="73" r="H125">
        <f>IFERROR(__xludf.dummyfunction("CONCATENATE(ArrayFormula(""; ""&amp;QUERY(Hallazgos!A:E,""SELECT B WHERE E CONTAINS '""&amp;B3&amp;""' LABEL B ''"")))"),"#VALUE!")</f>
        <v/>
      </c>
    </row>
    <row customHeight="1" s="134" r="126" ht="15.75" spans="1:8">
      <c s="76" r="A126" t="s">
        <v>1185</v>
      </c>
      <c s="76" r="B126" t="s">
        <v>1200</v>
      </c>
      <c s="76" r="C126" t="s">
        <v>1201</v>
      </c>
      <c s="19" r="D126" t="s">
        <v>952</v>
      </c>
      <c s="19" r="E126" t="s">
        <v>952</v>
      </c>
      <c s="19" r="F126" t="s">
        <v>952</v>
      </c>
      <c s="76" r="G126">
        <f>IF(IFERROR(H126,7)=7,"",RIGHT(H126,LEN(H126)-2)&amp;".")</f>
        <v/>
      </c>
      <c s="73" r="H126">
        <f>IFERROR(__xludf.dummyfunction("CONCATENATE(ArrayFormula(""; ""&amp;QUERY(Hallazgos!A:E,""SELECT B WHERE E CONTAINS '""&amp;B3&amp;""' LABEL B ''"")))"),"#VALUE!")</f>
        <v/>
      </c>
    </row>
    <row customHeight="1" s="134" r="127" ht="15.75" spans="1:8">
      <c s="76" r="A127" t="s">
        <v>1185</v>
      </c>
      <c s="76" r="B127" t="s">
        <v>1202</v>
      </c>
      <c s="76" r="C127" t="s">
        <v>675</v>
      </c>
      <c s="19" r="D127" t="s">
        <v>952</v>
      </c>
      <c s="19" r="E127" t="s">
        <v>952</v>
      </c>
      <c s="19" r="F127" t="s">
        <v>952</v>
      </c>
      <c s="76" r="G127">
        <f>IF(IFERROR(H127,7)=7,"",RIGHT(H127,LEN(H127)-2)&amp;".")</f>
        <v/>
      </c>
      <c s="73" r="H127">
        <f>IFERROR(__xludf.dummyfunction("CONCATENATE(ArrayFormula(""; ""&amp;QUERY(Hallazgos!A:E,""SELECT B WHERE E CONTAINS '""&amp;B3&amp;""' LABEL B ''"")))"),"#VALUE!")</f>
        <v/>
      </c>
    </row>
    <row customHeight="1" s="134" r="128" ht="15.75" spans="1:8">
      <c s="76" r="A128" t="s">
        <v>1185</v>
      </c>
      <c s="76" r="B128" t="s">
        <v>1203</v>
      </c>
      <c s="76" r="C128" t="s">
        <v>1204</v>
      </c>
      <c s="19" r="D128" t="s">
        <v>952</v>
      </c>
      <c s="19" r="E128" t="s">
        <v>952</v>
      </c>
      <c s="19" r="F128" t="s">
        <v>952</v>
      </c>
      <c s="76" r="G128">
        <f>IF(IFERROR(H128,7)=7,"",RIGHT(H128,LEN(H128)-2)&amp;".")</f>
        <v/>
      </c>
      <c s="73" r="H128">
        <f>IFERROR(__xludf.dummyfunction("CONCATENATE(ArrayFormula(""; ""&amp;QUERY(Hallazgos!A:E,""SELECT B WHERE E CONTAINS '""&amp;B3&amp;""' LABEL B ''"")))"),"#VALUE!")</f>
        <v/>
      </c>
    </row>
    <row customHeight="1" s="134" r="129" ht="15.75" spans="1:8">
      <c s="76" r="A129" t="s">
        <v>1185</v>
      </c>
      <c s="76" r="B129" t="s">
        <v>1205</v>
      </c>
      <c s="76" r="C129" t="s">
        <v>1206</v>
      </c>
      <c s="19" r="D129" t="s">
        <v>952</v>
      </c>
      <c s="19" r="E129" t="s">
        <v>952</v>
      </c>
      <c s="19" r="F129" t="s">
        <v>952</v>
      </c>
      <c s="76" r="G129">
        <f>IF(IFERROR(H129,7)=7,"",RIGHT(H129,LEN(H129)-2)&amp;".")</f>
        <v/>
      </c>
      <c s="73" r="H129">
        <f>IFERROR(__xludf.dummyfunction("CONCATENATE(ArrayFormula(""; ""&amp;QUERY(Hallazgos!A:E,""SELECT B WHERE E CONTAINS '""&amp;B3&amp;""' LABEL B ''"")))"),"#VALUE!")</f>
        <v/>
      </c>
    </row>
    <row customHeight="1" s="134" r="130" ht="15.75" spans="1:8">
      <c s="76" r="A130" t="s">
        <v>1185</v>
      </c>
      <c s="76" r="B130" t="s">
        <v>1207</v>
      </c>
      <c s="76" r="C130" t="s">
        <v>228</v>
      </c>
      <c s="19" r="D130" t="s">
        <v>952</v>
      </c>
      <c s="19" r="E130" t="s">
        <v>952</v>
      </c>
      <c s="19" r="F130" t="s">
        <v>952</v>
      </c>
      <c s="76" r="G130">
        <f>IF(IFERROR(H130,7)=7,"",RIGHT(H130,LEN(H130)-2)&amp;".")</f>
        <v/>
      </c>
      <c s="73" r="H130">
        <f>IFERROR(__xludf.dummyfunction("CONCATENATE(ArrayFormula(""; ""&amp;QUERY(Hallazgos!A:E,""SELECT B WHERE E CONTAINS '""&amp;B3&amp;""' LABEL B ''"")))"),"#VALUE!")</f>
        <v/>
      </c>
    </row>
    <row customHeight="1" s="134" r="131" ht="15.75" spans="1:8">
      <c s="76" r="A131" t="s">
        <v>1185</v>
      </c>
      <c s="76" r="B131" t="s">
        <v>1208</v>
      </c>
      <c s="76" r="C131" t="s">
        <v>1209</v>
      </c>
      <c s="19" r="D131" t="s">
        <v>952</v>
      </c>
      <c s="19" r="E131" t="s">
        <v>952</v>
      </c>
      <c s="19" r="F131" t="s">
        <v>952</v>
      </c>
      <c s="76" r="G131">
        <f>IF(IFERROR(H131,7)=7,"",RIGHT(H131,LEN(H131)-2)&amp;".")</f>
        <v/>
      </c>
      <c s="73" r="H131">
        <f>IFERROR(__xludf.dummyfunction("CONCATENATE(ArrayFormula(""; ""&amp;QUERY(Hallazgos!A:E,""SELECT B WHERE E CONTAINS '""&amp;B3&amp;""' LABEL B ''"")))"),"#VALUE!")</f>
        <v/>
      </c>
    </row>
    <row customHeight="1" s="134" r="132" ht="15.75" spans="1:8">
      <c s="76" r="A132" t="s">
        <v>1185</v>
      </c>
      <c s="76" r="B132" t="s">
        <v>1210</v>
      </c>
      <c s="76" r="C132" t="s">
        <v>1211</v>
      </c>
      <c s="19" r="D132" t="s">
        <v>952</v>
      </c>
      <c s="19" r="E132" t="s">
        <v>952</v>
      </c>
      <c s="19" r="F132" t="s">
        <v>952</v>
      </c>
      <c s="76" r="G132">
        <f>IF(IFERROR(H132,7)=7,"",RIGHT(H132,LEN(H132)-2)&amp;".")</f>
        <v/>
      </c>
      <c s="73" r="H132">
        <f>IFERROR(__xludf.dummyfunction("CONCATENATE(ArrayFormula(""; ""&amp;QUERY(Hallazgos!A:E,""SELECT B WHERE E CONTAINS '""&amp;B3&amp;""' LABEL B ''"")))"),"#VALUE!")</f>
        <v/>
      </c>
    </row>
    <row customHeight="1" s="134" r="133" ht="15.75" spans="1:8">
      <c s="76" r="A133" t="s">
        <v>1185</v>
      </c>
      <c s="76" r="B133" t="s">
        <v>1212</v>
      </c>
      <c s="76" r="C133" t="s">
        <v>937</v>
      </c>
      <c s="19" r="D133" t="s">
        <v>952</v>
      </c>
      <c s="19" r="E133" t="s">
        <v>952</v>
      </c>
      <c s="19" r="F133" t="s">
        <v>952</v>
      </c>
      <c s="76" r="G133">
        <f>IF(IFERROR(H133,7)=7,"",RIGHT(H133,LEN(H133)-2)&amp;".")</f>
        <v/>
      </c>
      <c s="73" r="H133">
        <f>IFERROR(__xludf.dummyfunction("CONCATENATE(ArrayFormula(""; ""&amp;QUERY(Hallazgos!A:E,""SELECT B WHERE E CONTAINS '""&amp;B3&amp;""' LABEL B ''"")))"),"#VALUE!")</f>
        <v/>
      </c>
    </row>
    <row customHeight="1" s="134" r="134" ht="15.75" spans="1:8">
      <c s="76" r="A134" t="s">
        <v>1185</v>
      </c>
      <c s="76" r="B134" t="s">
        <v>1213</v>
      </c>
      <c s="76" r="C134" t="s">
        <v>1214</v>
      </c>
      <c s="19" r="D134" t="s">
        <v>952</v>
      </c>
      <c s="19" r="E134" t="s">
        <v>952</v>
      </c>
      <c s="19" r="F134" t="s">
        <v>952</v>
      </c>
      <c s="76" r="G134">
        <f>IF(IFERROR(H134,7)=7,"",RIGHT(H134,LEN(H134)-2)&amp;".")</f>
        <v/>
      </c>
      <c s="73" r="H134">
        <f>IFERROR(__xludf.dummyfunction("CONCATENATE(ArrayFormula(""; ""&amp;QUERY(Hallazgos!A:E,""SELECT B WHERE E CONTAINS '""&amp;B3&amp;""' LABEL B ''"")))"),"#VALUE!")</f>
        <v/>
      </c>
    </row>
    <row customHeight="1" s="134" r="135" ht="15.75" spans="1:8">
      <c s="76" r="A135" t="s">
        <v>1185</v>
      </c>
      <c s="76" r="B135" t="s">
        <v>1215</v>
      </c>
      <c s="76" r="C135" t="s">
        <v>1216</v>
      </c>
      <c s="19" r="D135" t="s">
        <v>952</v>
      </c>
      <c s="19" r="E135" t="s">
        <v>952</v>
      </c>
      <c s="19" r="F135" t="s">
        <v>952</v>
      </c>
      <c s="76" r="G135">
        <f>IF(IFERROR(H135,7)=7,"",RIGHT(H135,LEN(H135)-2)&amp;".")</f>
        <v/>
      </c>
      <c s="73" r="H135">
        <f>IFERROR(__xludf.dummyfunction("CONCATENATE(ArrayFormula(""; ""&amp;QUERY(Hallazgos!A:E,""SELECT B WHERE E CONTAINS '""&amp;B3&amp;""' LABEL B ''"")))"),"#VALUE!")</f>
        <v/>
      </c>
    </row>
    <row customHeight="1" s="134" r="136" ht="15.75" spans="1:8">
      <c s="76" r="A136" t="s">
        <v>1217</v>
      </c>
      <c s="76" r="B136" t="s">
        <v>1218</v>
      </c>
      <c s="76" r="C136" t="s">
        <v>1219</v>
      </c>
      <c s="19" r="D136" t="s">
        <v>952</v>
      </c>
      <c s="19" r="E136" t="s">
        <v>952</v>
      </c>
      <c s="19" r="F136" t="s">
        <v>952</v>
      </c>
      <c s="76" r="G136">
        <f>IF(IFERROR(H136,7)=7,"",RIGHT(H136,LEN(H136)-2)&amp;".")</f>
        <v/>
      </c>
      <c s="73" r="H136">
        <f>IFERROR(__xludf.dummyfunction("CONCATENATE(ArrayFormula(""; ""&amp;QUERY(Hallazgos!A:E,""SELECT B WHERE E CONTAINS '""&amp;B3&amp;""' LABEL B ''"")))"),"#VALUE!")</f>
        <v/>
      </c>
    </row>
    <row customHeight="1" s="134" r="137" ht="15.75" spans="1:8">
      <c s="76" r="A137" t="s">
        <v>1217</v>
      </c>
      <c s="76" r="B137" t="s">
        <v>1220</v>
      </c>
      <c s="76" r="C137" t="s">
        <v>1221</v>
      </c>
      <c s="19" r="D137" t="s">
        <v>952</v>
      </c>
      <c s="19" r="E137" t="s">
        <v>952</v>
      </c>
      <c s="19" r="F137" t="s">
        <v>952</v>
      </c>
      <c s="76" r="G137">
        <f>IF(IFERROR(H137,7)=7,"",RIGHT(H137,LEN(H137)-2)&amp;".")</f>
        <v/>
      </c>
      <c s="73" r="H137">
        <f>IFERROR(__xludf.dummyfunction("CONCATENATE(ArrayFormula(""; ""&amp;QUERY(Hallazgos!A:E,""SELECT B WHERE E CONTAINS '""&amp;B3&amp;""' LABEL B ''"")))"),"#VALUE!")</f>
        <v/>
      </c>
    </row>
    <row customHeight="1" s="134" r="138" ht="15.75" spans="1:8">
      <c s="76" r="A138" t="s">
        <v>1217</v>
      </c>
      <c s="76" r="B138" t="s">
        <v>1222</v>
      </c>
      <c s="76" r="C138" t="s">
        <v>1223</v>
      </c>
      <c s="19" r="D138" t="s">
        <v>952</v>
      </c>
      <c s="19" r="E138" t="s">
        <v>952</v>
      </c>
      <c s="19" r="F138" t="s">
        <v>952</v>
      </c>
      <c s="76" r="G138">
        <f>IF(IFERROR(H138,7)=7,"",RIGHT(H138,LEN(H138)-2)&amp;".")</f>
        <v/>
      </c>
      <c s="73" r="H138">
        <f>IFERROR(__xludf.dummyfunction("CONCATENATE(ArrayFormula(""; ""&amp;QUERY(Hallazgos!A:E,""SELECT B WHERE E CONTAINS '""&amp;B3&amp;""' LABEL B ''"")))"),"#VALUE!")</f>
        <v/>
      </c>
    </row>
    <row customHeight="1" s="134" r="139" ht="15.75" spans="1:8">
      <c s="76" r="A139" t="s">
        <v>1217</v>
      </c>
      <c s="76" r="B139" t="s">
        <v>1224</v>
      </c>
      <c s="76" r="C139" t="s">
        <v>935</v>
      </c>
      <c s="19" r="D139" t="s">
        <v>952</v>
      </c>
      <c s="19" r="E139" t="s">
        <v>952</v>
      </c>
      <c s="19" r="F139" t="s">
        <v>952</v>
      </c>
      <c s="76" r="G139">
        <f>IF(IFERROR(H139,7)=7,"",RIGHT(H139,LEN(H139)-2)&amp;".")</f>
        <v/>
      </c>
      <c s="73" r="H139">
        <f>IFERROR(__xludf.dummyfunction("CONCATENATE(ArrayFormula(""; ""&amp;QUERY(Hallazgos!A:E,""SELECT B WHERE E CONTAINS '""&amp;B3&amp;""' LABEL B ''"")))"),"#VALUE!")</f>
        <v/>
      </c>
    </row>
    <row customHeight="1" s="134" r="140" ht="15.75" spans="1:8">
      <c s="76" r="A140" t="s">
        <v>1225</v>
      </c>
      <c s="76" r="B140" t="s">
        <v>1226</v>
      </c>
      <c s="76" r="C140" t="s">
        <v>1227</v>
      </c>
      <c s="19" r="D140" t="s">
        <v>952</v>
      </c>
      <c s="19" r="E140" t="s">
        <v>952</v>
      </c>
      <c s="19" r="F140" t="s">
        <v>952</v>
      </c>
      <c s="76" r="G140">
        <f>IF(IFERROR(H140,7)=7,"",RIGHT(H140,LEN(H140)-2)&amp;".")</f>
        <v/>
      </c>
      <c s="73" r="H140">
        <f>IFERROR(__xludf.dummyfunction("CONCATENATE(ArrayFormula(""; ""&amp;QUERY(Hallazgos!A:E,""SELECT B WHERE E CONTAINS '""&amp;B3&amp;""' LABEL B ''"")))"),"#VALUE!")</f>
        <v/>
      </c>
    </row>
    <row customHeight="1" s="134" r="141" ht="15.75" spans="1:8">
      <c s="76" r="A141" t="s">
        <v>1225</v>
      </c>
      <c s="76" r="B141" t="s">
        <v>1228</v>
      </c>
      <c s="76" r="C141" t="s">
        <v>1229</v>
      </c>
      <c s="19" r="D141" t="s">
        <v>952</v>
      </c>
      <c s="19" r="E141" t="s">
        <v>952</v>
      </c>
      <c s="19" r="F141" t="s">
        <v>952</v>
      </c>
      <c s="76" r="G141">
        <f>IF(IFERROR(H141,7)=7,"",RIGHT(H141,LEN(H141)-2)&amp;".")</f>
        <v/>
      </c>
      <c s="73" r="H141">
        <f>IFERROR(__xludf.dummyfunction("CONCATENATE(ArrayFormula(""; ""&amp;QUERY(Hallazgos!A:E,""SELECT B WHERE E CONTAINS '""&amp;B3&amp;""' LABEL B ''"")))"),"#VALUE!")</f>
        <v/>
      </c>
    </row>
    <row customHeight="1" s="134" r="142" ht="15.75" spans="1:8">
      <c s="76" r="A142" t="s">
        <v>1225</v>
      </c>
      <c s="76" r="B142" t="s">
        <v>1230</v>
      </c>
      <c s="76" r="C142" t="s">
        <v>1231</v>
      </c>
      <c s="19" r="D142" t="s">
        <v>952</v>
      </c>
      <c s="19" r="E142" t="s">
        <v>952</v>
      </c>
      <c s="19" r="F142" t="s">
        <v>952</v>
      </c>
      <c s="76" r="G142">
        <f>IF(IFERROR(H142,7)=7,"",RIGHT(H142,LEN(H142)-2)&amp;".")</f>
        <v/>
      </c>
      <c s="73" r="H142">
        <f>IFERROR(__xludf.dummyfunction("CONCATENATE(ArrayFormula(""; ""&amp;QUERY(Hallazgos!A:E,""SELECT B WHERE E CONTAINS '""&amp;B3&amp;""' LABEL B ''"")))"),"#VALUE!")</f>
        <v/>
      </c>
    </row>
    <row customHeight="1" s="134" r="143" ht="15.75" spans="1:8">
      <c s="76" r="A143" t="s">
        <v>1225</v>
      </c>
      <c s="76" r="B143" t="s">
        <v>1232</v>
      </c>
      <c s="76" r="C143" t="s">
        <v>1233</v>
      </c>
      <c s="19" r="D143" t="s">
        <v>952</v>
      </c>
      <c s="19" r="E143" t="s">
        <v>952</v>
      </c>
      <c s="19" r="F143" t="s">
        <v>952</v>
      </c>
      <c s="76" r="G143">
        <f>IF(IFERROR(H143,7)=7,"",RIGHT(H143,LEN(H143)-2)&amp;".")</f>
        <v/>
      </c>
      <c s="73" r="H143">
        <f>IFERROR(__xludf.dummyfunction("CONCATENATE(ArrayFormula(""; ""&amp;QUERY(Hallazgos!A:E,""SELECT B WHERE E CONTAINS '""&amp;B3&amp;""' LABEL B ''"")))"),"#VALUE!")</f>
        <v/>
      </c>
    </row>
    <row customHeight="1" s="134" r="144" ht="15.75" spans="1:8">
      <c s="76" r="A144" t="s">
        <v>1225</v>
      </c>
      <c s="76" r="B144" t="s">
        <v>1234</v>
      </c>
      <c s="76" r="C144" t="s">
        <v>1235</v>
      </c>
      <c s="19" r="D144" t="s">
        <v>952</v>
      </c>
      <c s="19" r="E144" t="s">
        <v>952</v>
      </c>
      <c s="19" r="F144" t="s">
        <v>952</v>
      </c>
      <c s="76" r="G144">
        <f>IF(IFERROR(H144,7)=7,"",RIGHT(H144,LEN(H144)-2)&amp;".")</f>
        <v/>
      </c>
      <c s="73" r="H144">
        <f>IFERROR(__xludf.dummyfunction("CONCATENATE(ArrayFormula(""; ""&amp;QUERY(Hallazgos!A:E,""SELECT B WHERE E CONTAINS '""&amp;B3&amp;""' LABEL B ''"")))"),"#VALUE!")</f>
        <v/>
      </c>
    </row>
    <row customHeight="1" s="134" r="145" ht="15.75" spans="1:8">
      <c s="76" r="A145" t="s">
        <v>1225</v>
      </c>
      <c s="76" r="B145" t="s">
        <v>1236</v>
      </c>
      <c s="76" r="C145" t="s">
        <v>1237</v>
      </c>
      <c s="19" r="D145" t="s">
        <v>952</v>
      </c>
      <c s="19" r="E145" t="s">
        <v>952</v>
      </c>
      <c s="19" r="F145" t="s">
        <v>952</v>
      </c>
      <c s="76" r="G145">
        <f>IF(IFERROR(H145,7)=7,"",RIGHT(H145,LEN(H145)-2)&amp;".")</f>
        <v/>
      </c>
      <c s="73" r="H145">
        <f>IFERROR(__xludf.dummyfunction("CONCATENATE(ArrayFormula(""; ""&amp;QUERY(Hallazgos!A:E,""SELECT B WHERE E CONTAINS '""&amp;B3&amp;""' LABEL B ''"")))"),"#VALUE!")</f>
        <v/>
      </c>
    </row>
    <row customHeight="1" s="134" r="146" ht="15.75" spans="1:8">
      <c s="76" r="A146" t="s">
        <v>1225</v>
      </c>
      <c s="76" r="B146" t="s">
        <v>1238</v>
      </c>
      <c s="76" r="C146" t="s">
        <v>1239</v>
      </c>
      <c s="19" r="D146" t="s">
        <v>952</v>
      </c>
      <c s="19" r="E146" t="s">
        <v>952</v>
      </c>
      <c s="19" r="F146" t="s">
        <v>952</v>
      </c>
      <c s="76" r="G146">
        <f>IF(IFERROR(H146,7)=7,"",RIGHT(H146,LEN(H146)-2)&amp;".")</f>
        <v/>
      </c>
      <c s="73" r="H146">
        <f>IFERROR(__xludf.dummyfunction("CONCATENATE(ArrayFormula(""; ""&amp;QUERY(Hallazgos!A:E,""SELECT B WHERE E CONTAINS '""&amp;B3&amp;""' LABEL B ''"")))"),"#VALUE!")</f>
        <v/>
      </c>
    </row>
    <row customHeight="1" s="134" r="147" ht="15.75" spans="1:8">
      <c s="76" r="A147" t="s">
        <v>1225</v>
      </c>
      <c s="76" r="B147" t="s">
        <v>1240</v>
      </c>
      <c s="76" r="C147" t="s">
        <v>1241</v>
      </c>
      <c s="19" r="D147" t="s">
        <v>952</v>
      </c>
      <c s="19" r="E147" t="s">
        <v>952</v>
      </c>
      <c s="19" r="F147" t="s">
        <v>952</v>
      </c>
      <c s="76" r="G147">
        <f>IF(IFERROR(H147,7)=7,"",RIGHT(H147,LEN(H147)-2)&amp;".")</f>
        <v/>
      </c>
      <c s="73" r="H147">
        <f>IFERROR(__xludf.dummyfunction("CONCATENATE(ArrayFormula(""; ""&amp;QUERY(Hallazgos!A:E,""SELECT B WHERE E CONTAINS '""&amp;B3&amp;""' LABEL B ''"")))"),"#VALUE!")</f>
        <v/>
      </c>
    </row>
    <row customHeight="1" s="134" r="148" ht="15.75" spans="1:8">
      <c s="76" r="A148" t="s">
        <v>1225</v>
      </c>
      <c s="76" r="B148" t="s">
        <v>1242</v>
      </c>
      <c s="76" r="C148" t="s">
        <v>1243</v>
      </c>
      <c s="19" r="D148" t="s">
        <v>952</v>
      </c>
      <c s="19" r="E148" t="s">
        <v>952</v>
      </c>
      <c s="19" r="F148" t="s">
        <v>952</v>
      </c>
      <c s="76" r="G148">
        <f>IF(IFERROR(H148,7)=7,"",RIGHT(H148,LEN(H148)-2)&amp;".")</f>
        <v/>
      </c>
      <c s="73" r="H148">
        <f>IFERROR(__xludf.dummyfunction("CONCATENATE(ArrayFormula(""; ""&amp;QUERY(Hallazgos!A:E,""SELECT B WHERE E CONTAINS '""&amp;B3&amp;""' LABEL B ''"")))"),"#VALUE!")</f>
        <v/>
      </c>
    </row>
    <row customHeight="1" s="134" r="149" ht="15.75" spans="1:8">
      <c s="76" r="A149" t="s">
        <v>1225</v>
      </c>
      <c s="76" r="B149" t="s">
        <v>1244</v>
      </c>
      <c s="76" r="C149" t="s">
        <v>1245</v>
      </c>
      <c s="19" r="D149" t="s">
        <v>952</v>
      </c>
      <c s="19" r="E149" t="s">
        <v>952</v>
      </c>
      <c s="19" r="F149" t="s">
        <v>952</v>
      </c>
      <c s="76" r="G149">
        <f>IF(IFERROR(H149,7)=7,"",RIGHT(H149,LEN(H149)-2)&amp;".")</f>
        <v/>
      </c>
      <c s="73" r="H149">
        <f>IFERROR(__xludf.dummyfunction("CONCATENATE(ArrayFormula(""; ""&amp;QUERY(Hallazgos!A:E,""SELECT B WHERE E CONTAINS '""&amp;B3&amp;""' LABEL B ''"")))"),"#VALUE!")</f>
        <v/>
      </c>
    </row>
    <row customHeight="1" s="134" r="150" ht="15.75" spans="1:8">
      <c s="63" r="A150" t="n"/>
      <c s="63" r="B150" t="n"/>
      <c s="20" r="C150" t="n"/>
      <c s="20" r="D150" t="n"/>
      <c s="77" r="E150" t="n"/>
      <c s="20" r="F150" t="n"/>
      <c s="78" r="G150" t="n"/>
    </row>
    <row customHeight="1" s="134" r="151" ht="15.75" spans="1:8">
      <c s="79" r="B151" t="n"/>
      <c s="23" r="C151" t="s">
        <v>708</v>
      </c>
      <c s="22" r="D151" t="s">
        <v>49</v>
      </c>
      <c s="80" r="E151" t="s">
        <v>709</v>
      </c>
      <c s="22" r="F151" t="s">
        <v>710</v>
      </c>
      <c s="81" r="G151" t="n"/>
    </row>
    <row customHeight="1" s="134" r="152" ht="15.75" spans="1:8">
      <c s="79" r="B152" t="n"/>
      <c s="72" r="C152" t="s">
        <v>711</v>
      </c>
      <c s="24" r="D152">
        <f>IFERROR(E152/(E152+F152), "Error")</f>
        <v/>
      </c>
      <c s="19" r="E152">
        <f>COUNTIF(D3:D149,"Sí")</f>
        <v/>
      </c>
      <c s="25" r="F152">
        <f>COUNTIF(D3:D149,"No")</f>
        <v/>
      </c>
      <c s="81" r="G152" t="n"/>
    </row>
    <row customHeight="1" s="134" r="153" ht="15.75" spans="1:8">
      <c s="79" r="B153" t="n"/>
      <c s="72" r="C153" t="s">
        <v>712</v>
      </c>
      <c s="24" r="D153">
        <f>IFERROR(E153/E152, "Error")</f>
        <v/>
      </c>
      <c s="19" r="E153">
        <f>COUNTIF(E3:E149,"Sí")</f>
        <v/>
      </c>
      <c s="25" r="F153">
        <f>COUNTIF(E3:E149,"No")</f>
        <v/>
      </c>
      <c s="81" r="G153" t="n"/>
    </row>
    <row customHeight="1" s="134" r="154" ht="15.75" spans="1:8">
      <c s="66" r="B154" t="n"/>
      <c s="72" r="C154" t="s">
        <v>713</v>
      </c>
      <c s="24" r="D154">
        <f>IFERROR(E154/E153, "Error")</f>
        <v/>
      </c>
      <c s="19" r="E154">
        <f>COUNTIF(F3:F149,"Sí")</f>
        <v/>
      </c>
      <c s="25" r="F154">
        <f>COUNTIF(F3:F149,"No")</f>
        <v/>
      </c>
      <c s="81" r="G154" t="n"/>
    </row>
    <row customHeight="1" s="134" r="155" ht="15.75" spans="1:8">
      <c s="63" r="C155" t="n"/>
      <c s="63" r="D155" t="n"/>
      <c s="82" r="E155" t="n"/>
      <c s="63" r="F155" t="n"/>
    </row>
  </sheetData>
  <autoFilter ref="D2:F149"/>
  <mergeCells count="1">
    <mergeCell ref="A1:G1"/>
  </mergeCells>
  <dataValidations count="1">
    <dataValidation allowBlank="0" operator="between" prompt="Click and enter a value from the list of items" showDropDown="0" showErrorMessage="0" showInputMessage="1" sqref="D3:D149 E3:E149 F3:F149"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0.xml><?xml version="1.0" encoding="utf-8"?>
<worksheet xmlns="http://schemas.openxmlformats.org/spreadsheetml/2006/main">
  <sheetPr filterMode="0">
    <tabColor rgb="FFFF00FF"/>
    <outlinePr summaryBelow="1" summaryRight="1"/>
    <pageSetUpPr fitToPage="0"/>
  </sheetPr>
  <dimension ref="A1:Q30"/>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1.6071428571429"/>
    <col customWidth="1" max="2" min="2" width="7.4234693877551"/>
    <col customWidth="1" max="6" min="3" width="13.6326530612245"/>
    <col customWidth="1" max="7" min="7" width="3.10714285714286"/>
    <col customWidth="1" max="8" min="8" width="14.8469387755102"/>
    <col customWidth="1" max="10" min="9" width="13.6326530612245"/>
    <col customWidth="1" max="11" min="11" width="7.02040816326531"/>
    <col customWidth="1" max="1025" min="12" width="13.6326530612245"/>
  </cols>
  <sheetData>
    <row customHeight="1" s="134" r="1" ht="15.75" spans="1:17">
      <c s="83" r="A1" t="s">
        <v>1246</v>
      </c>
      <c s="84" r="B1">
        <f>HYPERLINK("http://www.ezimba.com/","EZIMBA")</f>
        <v/>
      </c>
      <c s="83" r="C1" t="s">
        <v>1247</v>
      </c>
      <c s="83" r="D1" t="s">
        <v>1248</v>
      </c>
      <c s="83" r="E1" t="s">
        <v>1249</v>
      </c>
      <c s="85" r="F1" t="n">
        <v>0.3</v>
      </c>
    </row>
    <row customHeight="1" s="134" r="2" ht="15.75" spans="1:17">
      <c s="83" r="A2" t="s">
        <v>1250</v>
      </c>
      <c s="83" r="B2" t="n">
        <v>2</v>
      </c>
    </row>
    <row customHeight="1" s="134" r="3" ht="15.75" spans="1:17">
      <c s="83" r="A3" t="s">
        <v>1251</v>
      </c>
      <c s="83" r="B3" t="n">
        <v>10</v>
      </c>
      <c s="83" r="L3" t="s">
        <v>1252</v>
      </c>
      <c s="83" r="M3" t="s">
        <v>1253</v>
      </c>
      <c s="83" r="N3" t="s">
        <v>1254</v>
      </c>
      <c s="83" r="O3" t="s">
        <v>1255</v>
      </c>
      <c s="83" r="P3" t="s">
        <v>722</v>
      </c>
    </row>
    <row customHeight="1" s="134" r="4" ht="15.75" spans="1:17">
      <c s="86" r="L4" t="s">
        <v>1256</v>
      </c>
      <c s="86" r="M4" t="n">
        <v>0</v>
      </c>
      <c s="86" r="N4" t="n">
        <v>0</v>
      </c>
      <c s="86" r="O4" t="s">
        <v>714</v>
      </c>
      <c s="86" r="P4" t="n">
        <v>0</v>
      </c>
      <c s="86" r="Q4" t="s">
        <v>1257</v>
      </c>
    </row>
    <row customHeight="1" s="134" r="5" ht="15.75" spans="1:17">
      <c s="87" r="A5" t="s">
        <v>1258</v>
      </c>
      <c s="87" r="B5" t="s">
        <v>1259</v>
      </c>
      <c s="87" r="C5">
        <f>CVSSv2!A4</f>
        <v/>
      </c>
      <c s="87" r="D5">
        <f>CVSSv2!A5</f>
        <v/>
      </c>
      <c s="87" r="E5">
        <f>CVSSv2!A6</f>
        <v/>
      </c>
      <c s="87" r="F5">
        <f>CVSSv2!A10</f>
        <v/>
      </c>
      <c s="87" r="G5" t="n"/>
      <c s="87" r="H5">
        <f>CVSSv2!A7</f>
        <v/>
      </c>
      <c s="87" r="I5">
        <f>CVSSv2!A8</f>
        <v/>
      </c>
      <c s="87" r="J5">
        <f>CVSSv2!A9</f>
        <v/>
      </c>
      <c s="86" r="L5" t="s">
        <v>1256</v>
      </c>
      <c s="86" r="M5" t="n">
        <v>0</v>
      </c>
      <c s="86" r="N5" t="n">
        <v>0</v>
      </c>
      <c s="86" r="O5" t="s">
        <v>1256</v>
      </c>
      <c s="86" r="P5" t="n">
        <v>0</v>
      </c>
      <c s="86" r="Q5" t="s">
        <v>1257</v>
      </c>
    </row>
    <row customHeight="1" s="134" r="6" ht="15.75" spans="1:17">
      <c s="83" r="A6" t="n">
        <v>1</v>
      </c>
      <c s="0" r="B6">
        <f>((A6-1)*$B$3)+$B$2+1</f>
        <v/>
      </c>
      <c s="0" r="C6">
        <f>IF(INDIRECT("Hallazgos!G"&amp;B6)=CVSSv2!$C$4,CVSSv2!$C$15,IF(INDIRECT("Hallazgos!G"&amp;B6)=CVSSv2!$D$4,CVSSv2!$D$15,IF(INDIRECT("Hallazgos!G"&amp;B6)=CVSSv2!$E$4,CVSSv2!$E$15,0)))</f>
        <v/>
      </c>
      <c s="0" r="D6">
        <f>IF(INDIRECT("Hallazgos!G"&amp;B6+1)=CVSSv2!$C$5,CVSSv2!$C$16,IF(INDIRECT("Hallazgos!G"&amp;B6+1)=CVSSv2!$D$5,CVSSv2!$D$16,IF(INDIRECT("Hallazgos!G"&amp;B6+1)=CVSSv2!$E$5,CVSSv2!$E$16,0)))</f>
        <v/>
      </c>
      <c s="0" r="E6">
        <f>IF(INDIRECT("Hallazgos!G"&amp;B6+2)=CVSSv2!$C$6,CVSSv2!$C$17,IF(INDIRECT("Hallazgos!G"&amp;B6+2)=CVSSv2!$D$6,CVSSv2!$D$17,IF(INDIRECT("Hallazgos!G"&amp;B6+2)=CVSSv2!$E$6,CVSSv2!$E$17,0)))</f>
        <v/>
      </c>
      <c s="0" r="F6">
        <f>IF(INDIRECT("Hallazgos!G"&amp;B6+6)=CVSSv2!$C$10,CVSSv2!$C$21,IF(INDIRECT("Hallazgos!G"&amp;B6+6)=CVSSv2!$D$10,CVSSv2!$D$21,IF(INDIRECT("Hallazgos!G"&amp;B6+6)=CVSSv2!$E$10,CVSSv2!$E$21,IF(INDIRECT("Hallazgos!G"&amp;B6+6)=CVSSv2!$F$10,CVSSv2!$F$21,0))))</f>
        <v/>
      </c>
      <c s="0" r="H6">
        <f>IF(INDIRECT("Hallazgos!G"&amp;B6+3)=CVSSv2!$C$7,CVSSv2!$C$18,IF(INDIRECT("Hallazgos!G"&amp;B6+3)=CVSSv2!$D$7,CVSSv2!$D$18,IF(INDIRECT("Hallazgos!G"&amp;B6+3)=CVSSv2!$E$7,CVSSv2!$E$18,0)))</f>
        <v/>
      </c>
      <c s="0" r="I6">
        <f>IF(INDIRECT("Hallazgos!G"&amp;B6+4)=CVSSv2!$C$8,CVSSv2!$C$19,IF(INDIRECT("Hallazgos!G"&amp;B6+4)=CVSSv2!$D$8,CVSSv2!$D$19,IF(INDIRECT("Hallazgos!G"&amp;B6+4)=CVSSv2!$E$8,CVSSv2!$E$19,0)))</f>
        <v/>
      </c>
      <c s="0" r="J6">
        <f>IF(INDIRECT("Hallazgos!G"&amp;B6+5)=CVSSv2!$C$9,CVSSv2!$C$20,IF(INDIRECT("Hallazgos!G"&amp;B6+5)=CVSSv2!$D$9,CVSSv2!$D$20,IF(INDIRECT("Hallazgos!G"&amp;B6+5)=CVSSv2!$E$9,CVSSv2!$E$20,0)))</f>
        <v/>
      </c>
      <c s="0" r="L6">
        <f>IF(P6&lt;1,"x",A6&amp;" ")</f>
        <v/>
      </c>
      <c s="0" r="M6">
        <f>10*C6*D6*E6*F6</f>
        <v/>
      </c>
      <c s="0" r="N6">
        <f>IF((5.21*(1-(1-H6)*(1-I6)*(1-J6)))=0,0.2,(5.21*(1-(1-H6)*(1-I6)*(1-J6))))</f>
        <v/>
      </c>
      <c s="0" r="O6">
        <f>L6&amp;INDIRECT("Hallazgos!B"&amp;B6)&amp;" ("&amp;P6&amp;")"</f>
        <v/>
      </c>
      <c s="0" r="P6">
        <f>IF(INDIRECT("Hallazgos!I"&amp;B6)&gt;0,INDIRECT("Hallazgos!I"&amp;B6),0)</f>
        <v/>
      </c>
    </row>
    <row customHeight="1" s="134" r="7" ht="15.75" spans="1:17">
      <c s="83" r="A7" t="n">
        <v>2</v>
      </c>
      <c s="0" r="B7">
        <f>((A7-1)*$B$3)+$B$2+1</f>
        <v/>
      </c>
      <c s="0" r="C7">
        <f>IF(INDIRECT("Hallazgos!G"&amp;B7)=CVSSv2!$C$4,CVSSv2!$C$15,IF(INDIRECT("Hallazgos!G"&amp;B7)=CVSSv2!$D$4,CVSSv2!$D$15,IF(INDIRECT("Hallazgos!G"&amp;B7)=CVSSv2!$E$4,CVSSv2!$E$15,0)))</f>
        <v/>
      </c>
      <c s="0" r="D7">
        <f>IF(INDIRECT("Hallazgos!G"&amp;B7+1)=CVSSv2!$C$5,CVSSv2!$C$16,IF(INDIRECT("Hallazgos!G"&amp;B7+1)=CVSSv2!$D$5,CVSSv2!$D$16,IF(INDIRECT("Hallazgos!G"&amp;B7+1)=CVSSv2!$E$5,CVSSv2!$E$16,0)))</f>
        <v/>
      </c>
      <c s="0" r="E7">
        <f>IF(INDIRECT("Hallazgos!G"&amp;B7+2)=CVSSv2!$C$6,CVSSv2!$C$17,IF(INDIRECT("Hallazgos!G"&amp;B7+2)=CVSSv2!$D$6,CVSSv2!$D$17,IF(INDIRECT("Hallazgos!G"&amp;B7+2)=CVSSv2!$E$6,CVSSv2!$E$17,0)))</f>
        <v/>
      </c>
      <c s="0" r="F7">
        <f>IF(INDIRECT("Hallazgos!G"&amp;B7+6)=CVSSv2!$C$10,CVSSv2!$C$21,IF(INDIRECT("Hallazgos!G"&amp;B7+6)=CVSSv2!$D$10,CVSSv2!$D$21,IF(INDIRECT("Hallazgos!G"&amp;B7+6)=CVSSv2!$E$10,CVSSv2!$E$21,IF(INDIRECT("Hallazgos!G"&amp;B7+6)=CVSSv2!$F$10,CVSSv2!$F$21,0))))</f>
        <v/>
      </c>
      <c s="0" r="H7">
        <f>IF(INDIRECT("Hallazgos!G"&amp;B7+3)=CVSSv2!$C$7,CVSSv2!$C$18,IF(INDIRECT("Hallazgos!G"&amp;B7+3)=CVSSv2!$D$7,CVSSv2!$D$18,IF(INDIRECT("Hallazgos!G"&amp;B7+3)=CVSSv2!$E$7,CVSSv2!$E$18,0)))</f>
        <v/>
      </c>
      <c s="0" r="I7">
        <f>IF(INDIRECT("Hallazgos!G"&amp;B7+4)=CVSSv2!$C$8,CVSSv2!$C$19,IF(INDIRECT("Hallazgos!G"&amp;B7+4)=CVSSv2!$D$8,CVSSv2!$D$19,IF(INDIRECT("Hallazgos!G"&amp;B7+4)=CVSSv2!$E$8,CVSSv2!$E$19,0)))</f>
        <v/>
      </c>
      <c s="0" r="J7">
        <f>IF(INDIRECT("Hallazgos!G"&amp;B7+5)=CVSSv2!$C$9,CVSSv2!$C$20,IF(INDIRECT("Hallazgos!G"&amp;B7+5)=CVSSv2!$D$9,CVSSv2!$D$20,IF(INDIRECT("Hallazgos!G"&amp;B7+5)=CVSSv2!$E$9,CVSSv2!$E$20,0)))</f>
        <v/>
      </c>
      <c s="0" r="L7">
        <f>IF(P7&lt;1,"x",A7&amp;" ")</f>
        <v/>
      </c>
      <c s="0" r="M7">
        <f>10*C7*D7*E7*F7</f>
        <v/>
      </c>
      <c s="0" r="N7">
        <f>IF((5.21*(1-(1-H7)*(1-I7)*(1-J7)))=0,0.2,(5.21*(1-(1-H7)*(1-I7)*(1-J7))))</f>
        <v/>
      </c>
      <c s="0" r="O7">
        <f>L7&amp;INDIRECT("Hallazgos!B"&amp;B7)&amp;" ("&amp;P7&amp;")"</f>
        <v/>
      </c>
      <c s="0" r="P7">
        <f>IF(INDIRECT("Hallazgos!I"&amp;B7)&gt;0,INDIRECT("Hallazgos!I"&amp;B7),0)</f>
        <v/>
      </c>
    </row>
    <row customHeight="1" s="134" r="8" ht="15.75" spans="1:17">
      <c s="83" r="A8" t="n">
        <v>3</v>
      </c>
      <c s="0" r="B8">
        <f>((A8-1)*$B$3)+$B$2+1</f>
        <v/>
      </c>
      <c s="0" r="C8">
        <f>IF(INDIRECT("Hallazgos!G"&amp;B8)=CVSSv2!$C$4,CVSSv2!$C$15,IF(INDIRECT("Hallazgos!G"&amp;B8)=CVSSv2!$D$4,CVSSv2!$D$15,IF(INDIRECT("Hallazgos!G"&amp;B8)=CVSSv2!$E$4,CVSSv2!$E$15,0)))</f>
        <v/>
      </c>
      <c s="0" r="D8">
        <f>IF(INDIRECT("Hallazgos!G"&amp;B8+1)=CVSSv2!$C$5,CVSSv2!$C$16,IF(INDIRECT("Hallazgos!G"&amp;B8+1)=CVSSv2!$D$5,CVSSv2!$D$16,IF(INDIRECT("Hallazgos!G"&amp;B8+1)=CVSSv2!$E$5,CVSSv2!$E$16,0)))</f>
        <v/>
      </c>
      <c s="0" r="E8">
        <f>IF(INDIRECT("Hallazgos!G"&amp;B8+2)=CVSSv2!$C$6,CVSSv2!$C$17,IF(INDIRECT("Hallazgos!G"&amp;B8+2)=CVSSv2!$D$6,CVSSv2!$D$17,IF(INDIRECT("Hallazgos!G"&amp;B8+2)=CVSSv2!$E$6,CVSSv2!$E$17,0)))</f>
        <v/>
      </c>
      <c s="0" r="F8">
        <f>IF(INDIRECT("Hallazgos!G"&amp;B8+6)=CVSSv2!$C$10,CVSSv2!$C$21,IF(INDIRECT("Hallazgos!G"&amp;B8+6)=CVSSv2!$D$10,CVSSv2!$D$21,IF(INDIRECT("Hallazgos!G"&amp;B8+6)=CVSSv2!$E$10,CVSSv2!$E$21,IF(INDIRECT("Hallazgos!G"&amp;B8+6)=CVSSv2!$F$10,CVSSv2!$F$21,0))))</f>
        <v/>
      </c>
      <c s="0" r="H8">
        <f>IF(INDIRECT("Hallazgos!G"&amp;B8+3)=CVSSv2!$C$7,CVSSv2!$C$18,IF(INDIRECT("Hallazgos!G"&amp;B8+3)=CVSSv2!$D$7,CVSSv2!$D$18,IF(INDIRECT("Hallazgos!G"&amp;B8+3)=CVSSv2!$E$7,CVSSv2!$E$18,0)))</f>
        <v/>
      </c>
      <c s="0" r="I8">
        <f>IF(INDIRECT("Hallazgos!G"&amp;B8+4)=CVSSv2!$C$8,CVSSv2!$C$19,IF(INDIRECT("Hallazgos!G"&amp;B8+4)=CVSSv2!$D$8,CVSSv2!$D$19,IF(INDIRECT("Hallazgos!G"&amp;B8+4)=CVSSv2!$E$8,CVSSv2!$E$19,0)))</f>
        <v/>
      </c>
      <c s="0" r="J8">
        <f>IF(INDIRECT("Hallazgos!G"&amp;B8+5)=CVSSv2!$C$9,CVSSv2!$C$20,IF(INDIRECT("Hallazgos!G"&amp;B8+5)=CVSSv2!$D$9,CVSSv2!$D$20,IF(INDIRECT("Hallazgos!G"&amp;B8+5)=CVSSv2!$E$9,CVSSv2!$E$20,0)))</f>
        <v/>
      </c>
      <c s="0" r="L8">
        <f>IF(P8&lt;1,"x",A8&amp;" ")</f>
        <v/>
      </c>
      <c s="0" r="M8">
        <f>10*C8*D8*E8*F8</f>
        <v/>
      </c>
      <c s="0" r="N8">
        <f>IF((5.21*(1-(1-H8)*(1-I8)*(1-J8)))=0,0.2,(5.21*(1-(1-H8)*(1-I8)*(1-J8))))</f>
        <v/>
      </c>
      <c s="0" r="O8">
        <f>L8&amp;INDIRECT("Hallazgos!B"&amp;B8)&amp;" ("&amp;P8&amp;")"</f>
        <v/>
      </c>
      <c s="0" r="P8">
        <f>IF(INDIRECT("Hallazgos!I"&amp;B8)&gt;0,INDIRECT("Hallazgos!I"&amp;B8),0)</f>
        <v/>
      </c>
    </row>
    <row customHeight="1" s="134" r="9" ht="15.75" spans="1:17">
      <c s="83" r="A9" t="n">
        <v>4</v>
      </c>
      <c s="0" r="B9">
        <f>((A9-1)*$B$3)+$B$2+1</f>
        <v/>
      </c>
      <c s="0" r="C9">
        <f>IF(INDIRECT("Hallazgos!G"&amp;B9)=CVSSv2!$C$4,CVSSv2!$C$15,IF(INDIRECT("Hallazgos!G"&amp;B9)=CVSSv2!$D$4,CVSSv2!$D$15,IF(INDIRECT("Hallazgos!G"&amp;B9)=CVSSv2!$E$4,CVSSv2!$E$15,0)))</f>
        <v/>
      </c>
      <c s="0" r="D9">
        <f>IF(INDIRECT("Hallazgos!G"&amp;B9+1)=CVSSv2!$C$5,CVSSv2!$C$16,IF(INDIRECT("Hallazgos!G"&amp;B9+1)=CVSSv2!$D$5,CVSSv2!$D$16,IF(INDIRECT("Hallazgos!G"&amp;B9+1)=CVSSv2!$E$5,CVSSv2!$E$16,0)))</f>
        <v/>
      </c>
      <c s="0" r="E9">
        <f>IF(INDIRECT("Hallazgos!G"&amp;B9+2)=CVSSv2!$C$6,CVSSv2!$C$17,IF(INDIRECT("Hallazgos!G"&amp;B9+2)=CVSSv2!$D$6,CVSSv2!$D$17,IF(INDIRECT("Hallazgos!G"&amp;B9+2)=CVSSv2!$E$6,CVSSv2!$E$17,0)))</f>
        <v/>
      </c>
      <c s="0" r="F9">
        <f>IF(INDIRECT("Hallazgos!G"&amp;B9+6)=CVSSv2!$C$10,CVSSv2!$C$21,IF(INDIRECT("Hallazgos!G"&amp;B9+6)=CVSSv2!$D$10,CVSSv2!$D$21,IF(INDIRECT("Hallazgos!G"&amp;B9+6)=CVSSv2!$E$10,CVSSv2!$E$21,IF(INDIRECT("Hallazgos!G"&amp;B9+6)=CVSSv2!$F$10,CVSSv2!$F$21,0))))</f>
        <v/>
      </c>
      <c s="0" r="H9">
        <f>IF(INDIRECT("Hallazgos!G"&amp;B9+3)=CVSSv2!$C$7,CVSSv2!$C$18,IF(INDIRECT("Hallazgos!G"&amp;B9+3)=CVSSv2!$D$7,CVSSv2!$D$18,IF(INDIRECT("Hallazgos!G"&amp;B9+3)=CVSSv2!$E$7,CVSSv2!$E$18,0)))</f>
        <v/>
      </c>
      <c s="0" r="I9">
        <f>IF(INDIRECT("Hallazgos!G"&amp;B9+4)=CVSSv2!$C$8,CVSSv2!$C$19,IF(INDIRECT("Hallazgos!G"&amp;B9+4)=CVSSv2!$D$8,CVSSv2!$D$19,IF(INDIRECT("Hallazgos!G"&amp;B9+4)=CVSSv2!$E$8,CVSSv2!$E$19,0)))</f>
        <v/>
      </c>
      <c s="0" r="J9">
        <f>IF(INDIRECT("Hallazgos!G"&amp;B9+5)=CVSSv2!$C$9,CVSSv2!$C$20,IF(INDIRECT("Hallazgos!G"&amp;B9+5)=CVSSv2!$D$9,CVSSv2!$D$20,IF(INDIRECT("Hallazgos!G"&amp;B9+5)=CVSSv2!$E$9,CVSSv2!$E$20,0)))</f>
        <v/>
      </c>
      <c s="0" r="L9">
        <f>IF(P9&lt;1,"x",A9&amp;" ")</f>
        <v/>
      </c>
      <c s="0" r="M9">
        <f>10*C9*D9*E9*F9</f>
        <v/>
      </c>
      <c s="0" r="N9">
        <f>IF((5.21*(1-(1-H9)*(1-I9)*(1-J9)))=0,0.2,(5.21*(1-(1-H9)*(1-I9)*(1-J9))))</f>
        <v/>
      </c>
      <c s="0" r="O9">
        <f>L9&amp;INDIRECT("Hallazgos!B"&amp;B9)&amp;" ("&amp;P9&amp;")"</f>
        <v/>
      </c>
      <c s="0" r="P9">
        <f>IF(INDIRECT("Hallazgos!I"&amp;B9)&gt;0,INDIRECT("Hallazgos!I"&amp;B9),0)</f>
        <v/>
      </c>
    </row>
    <row customHeight="1" s="134" r="10" ht="15.75" spans="1:17">
      <c s="83" r="A10" t="n">
        <v>5</v>
      </c>
      <c s="0" r="B10">
        <f>((A10-1)*$B$3)+$B$2+1</f>
        <v/>
      </c>
      <c s="0" r="C10">
        <f>IF(INDIRECT("Hallazgos!G"&amp;B10)=CVSSv2!$C$4,CVSSv2!$C$15,IF(INDIRECT("Hallazgos!G"&amp;B10)=CVSSv2!$D$4,CVSSv2!$D$15,IF(INDIRECT("Hallazgos!G"&amp;B10)=CVSSv2!$E$4,CVSSv2!$E$15,0)))</f>
        <v/>
      </c>
      <c s="0" r="D10">
        <f>IF(INDIRECT("Hallazgos!G"&amp;B10+1)=CVSSv2!$C$5,CVSSv2!$C$16,IF(INDIRECT("Hallazgos!G"&amp;B10+1)=CVSSv2!$D$5,CVSSv2!$D$16,IF(INDIRECT("Hallazgos!G"&amp;B10+1)=CVSSv2!$E$5,CVSSv2!$E$16,0)))</f>
        <v/>
      </c>
      <c s="0" r="E10">
        <f>IF(INDIRECT("Hallazgos!G"&amp;B10+2)=CVSSv2!$C$6,CVSSv2!$C$17,IF(INDIRECT("Hallazgos!G"&amp;B10+2)=CVSSv2!$D$6,CVSSv2!$D$17,IF(INDIRECT("Hallazgos!G"&amp;B10+2)=CVSSv2!$E$6,CVSSv2!$E$17,0)))</f>
        <v/>
      </c>
      <c s="0" r="F10">
        <f>IF(INDIRECT("Hallazgos!G"&amp;B10+6)=CVSSv2!$C$10,CVSSv2!$C$21,IF(INDIRECT("Hallazgos!G"&amp;B10+6)=CVSSv2!$D$10,CVSSv2!$D$21,IF(INDIRECT("Hallazgos!G"&amp;B10+6)=CVSSv2!$E$10,CVSSv2!$E$21,IF(INDIRECT("Hallazgos!G"&amp;B10+6)=CVSSv2!$F$10,CVSSv2!$F$21,0))))</f>
        <v/>
      </c>
      <c s="0" r="H10">
        <f>IF(INDIRECT("Hallazgos!G"&amp;B10+3)=CVSSv2!$C$7,CVSSv2!$C$18,IF(INDIRECT("Hallazgos!G"&amp;B10+3)=CVSSv2!$D$7,CVSSv2!$D$18,IF(INDIRECT("Hallazgos!G"&amp;B10+3)=CVSSv2!$E$7,CVSSv2!$E$18,0)))</f>
        <v/>
      </c>
      <c s="0" r="I10">
        <f>IF(INDIRECT("Hallazgos!G"&amp;B10+4)=CVSSv2!$C$8,CVSSv2!$C$19,IF(INDIRECT("Hallazgos!G"&amp;B10+4)=CVSSv2!$D$8,CVSSv2!$D$19,IF(INDIRECT("Hallazgos!G"&amp;B10+4)=CVSSv2!$E$8,CVSSv2!$E$19,0)))</f>
        <v/>
      </c>
      <c s="0" r="J10">
        <f>IF(INDIRECT("Hallazgos!G"&amp;B10+5)=CVSSv2!$C$9,CVSSv2!$C$20,IF(INDIRECT("Hallazgos!G"&amp;B10+5)=CVSSv2!$D$9,CVSSv2!$D$20,IF(INDIRECT("Hallazgos!G"&amp;B10+5)=CVSSv2!$E$9,CVSSv2!$E$20,0)))</f>
        <v/>
      </c>
      <c s="0" r="L10">
        <f>IF(P10&lt;1,"x",A10&amp;" ")</f>
        <v/>
      </c>
      <c s="0" r="M10">
        <f>10*C10*D10*E10*F10</f>
        <v/>
      </c>
      <c s="0" r="N10">
        <f>IF((5.21*(1-(1-H10)*(1-I10)*(1-J10)))=0,0.2,(5.21*(1-(1-H10)*(1-I10)*(1-J10))))</f>
        <v/>
      </c>
      <c s="0" r="O10">
        <f>L10&amp;INDIRECT("Hallazgos!B"&amp;B10)&amp;" ("&amp;P10&amp;")"</f>
        <v/>
      </c>
      <c s="0" r="P10">
        <f>IF(INDIRECT("Hallazgos!I"&amp;B10)&gt;0,INDIRECT("Hallazgos!I"&amp;B10),0)</f>
        <v/>
      </c>
    </row>
    <row customHeight="1" s="134" r="11" ht="15.75" spans="1:17">
      <c s="83" r="A11" t="n">
        <v>6</v>
      </c>
      <c s="0" r="B11">
        <f>((A11-1)*$B$3)+$B$2+1</f>
        <v/>
      </c>
      <c s="0" r="C11">
        <f>IF(INDIRECT("Hallazgos!G"&amp;B11)=CVSSv2!$C$4,CVSSv2!$C$15,IF(INDIRECT("Hallazgos!G"&amp;B11)=CVSSv2!$D$4,CVSSv2!$D$15,IF(INDIRECT("Hallazgos!G"&amp;B11)=CVSSv2!$E$4,CVSSv2!$E$15,0)))</f>
        <v/>
      </c>
      <c s="0" r="D11">
        <f>IF(INDIRECT("Hallazgos!G"&amp;B11+1)=CVSSv2!$C$5,CVSSv2!$C$16,IF(INDIRECT("Hallazgos!G"&amp;B11+1)=CVSSv2!$D$5,CVSSv2!$D$16,IF(INDIRECT("Hallazgos!G"&amp;B11+1)=CVSSv2!$E$5,CVSSv2!$E$16,0)))</f>
        <v/>
      </c>
      <c s="0" r="E11">
        <f>IF(INDIRECT("Hallazgos!G"&amp;B11+2)=CVSSv2!$C$6,CVSSv2!$C$17,IF(INDIRECT("Hallazgos!G"&amp;B11+2)=CVSSv2!$D$6,CVSSv2!$D$17,IF(INDIRECT("Hallazgos!G"&amp;B11+2)=CVSSv2!$E$6,CVSSv2!$E$17,0)))</f>
        <v/>
      </c>
      <c s="0" r="F11">
        <f>IF(INDIRECT("Hallazgos!G"&amp;B11+6)=CVSSv2!$C$10,CVSSv2!$C$21,IF(INDIRECT("Hallazgos!G"&amp;B11+6)=CVSSv2!$D$10,CVSSv2!$D$21,IF(INDIRECT("Hallazgos!G"&amp;B11+6)=CVSSv2!$E$10,CVSSv2!$E$21,IF(INDIRECT("Hallazgos!G"&amp;B11+6)=CVSSv2!$F$10,CVSSv2!$F$21,0))))</f>
        <v/>
      </c>
      <c s="0" r="H11">
        <f>IF(INDIRECT("Hallazgos!G"&amp;B11+3)=CVSSv2!$C$7,CVSSv2!$C$18,IF(INDIRECT("Hallazgos!G"&amp;B11+3)=CVSSv2!$D$7,CVSSv2!$D$18,IF(INDIRECT("Hallazgos!G"&amp;B11+3)=CVSSv2!$E$7,CVSSv2!$E$18,0)))</f>
        <v/>
      </c>
      <c s="0" r="I11">
        <f>IF(INDIRECT("Hallazgos!G"&amp;B11+4)=CVSSv2!$C$8,CVSSv2!$C$19,IF(INDIRECT("Hallazgos!G"&amp;B11+4)=CVSSv2!$D$8,CVSSv2!$D$19,IF(INDIRECT("Hallazgos!G"&amp;B11+4)=CVSSv2!$E$8,CVSSv2!$E$19,0)))</f>
        <v/>
      </c>
      <c s="0" r="J11">
        <f>IF(INDIRECT("Hallazgos!G"&amp;B11+5)=CVSSv2!$C$9,CVSSv2!$C$20,IF(INDIRECT("Hallazgos!G"&amp;B11+5)=CVSSv2!$D$9,CVSSv2!$D$20,IF(INDIRECT("Hallazgos!G"&amp;B11+5)=CVSSv2!$E$9,CVSSv2!$E$20,0)))</f>
        <v/>
      </c>
      <c s="0" r="L11">
        <f>IF(P11&lt;1,"x",A11&amp;" ")</f>
        <v/>
      </c>
      <c s="0" r="M11">
        <f>10*C11*D11*E11*F11</f>
        <v/>
      </c>
      <c s="0" r="N11">
        <f>IF((5.21*(1-(1-H11)*(1-I11)*(1-J11)))=0,0.2,(5.21*(1-(1-H11)*(1-I11)*(1-J11))))</f>
        <v/>
      </c>
      <c s="0" r="O11">
        <f>L11&amp;INDIRECT("Hallazgos!B"&amp;B11)&amp;" ("&amp;P11&amp;")"</f>
        <v/>
      </c>
      <c s="0" r="P11">
        <f>IF(INDIRECT("Hallazgos!I"&amp;B11)&gt;0,INDIRECT("Hallazgos!I"&amp;B11),0)</f>
        <v/>
      </c>
    </row>
    <row customHeight="1" s="134" r="12" ht="15.75" spans="1:17">
      <c s="83" r="A12" t="n">
        <v>7</v>
      </c>
      <c s="0" r="B12">
        <f>((A12-1)*$B$3)+$B$2+1</f>
        <v/>
      </c>
      <c s="0" r="C12">
        <f>IF(INDIRECT("Hallazgos!G"&amp;B12)=CVSSv2!$C$4,CVSSv2!$C$15,IF(INDIRECT("Hallazgos!G"&amp;B12)=CVSSv2!$D$4,CVSSv2!$D$15,IF(INDIRECT("Hallazgos!G"&amp;B12)=CVSSv2!$E$4,CVSSv2!$E$15,0)))</f>
        <v/>
      </c>
      <c s="0" r="D12">
        <f>IF(INDIRECT("Hallazgos!G"&amp;B12+1)=CVSSv2!$C$5,CVSSv2!$C$16,IF(INDIRECT("Hallazgos!G"&amp;B12+1)=CVSSv2!$D$5,CVSSv2!$D$16,IF(INDIRECT("Hallazgos!G"&amp;B12+1)=CVSSv2!$E$5,CVSSv2!$E$16,0)))</f>
        <v/>
      </c>
      <c s="0" r="E12">
        <f>IF(INDIRECT("Hallazgos!G"&amp;B12+2)=CVSSv2!$C$6,CVSSv2!$C$17,IF(INDIRECT("Hallazgos!G"&amp;B12+2)=CVSSv2!$D$6,CVSSv2!$D$17,IF(INDIRECT("Hallazgos!G"&amp;B12+2)=CVSSv2!$E$6,CVSSv2!$E$17,0)))</f>
        <v/>
      </c>
      <c s="0" r="F12">
        <f>IF(INDIRECT("Hallazgos!G"&amp;B12+6)=CVSSv2!$C$10,CVSSv2!$C$21,IF(INDIRECT("Hallazgos!G"&amp;B12+6)=CVSSv2!$D$10,CVSSv2!$D$21,IF(INDIRECT("Hallazgos!G"&amp;B12+6)=CVSSv2!$E$10,CVSSv2!$E$21,IF(INDIRECT("Hallazgos!G"&amp;B12+6)=CVSSv2!$F$10,CVSSv2!$F$21,0))))</f>
        <v/>
      </c>
      <c s="0" r="H12">
        <f>IF(INDIRECT("Hallazgos!G"&amp;B12+3)=CVSSv2!$C$7,CVSSv2!$C$18,IF(INDIRECT("Hallazgos!G"&amp;B12+3)=CVSSv2!$D$7,CVSSv2!$D$18,IF(INDIRECT("Hallazgos!G"&amp;B12+3)=CVSSv2!$E$7,CVSSv2!$E$18,0)))</f>
        <v/>
      </c>
      <c s="0" r="I12">
        <f>IF(INDIRECT("Hallazgos!G"&amp;B12+4)=CVSSv2!$C$8,CVSSv2!$C$19,IF(INDIRECT("Hallazgos!G"&amp;B12+4)=CVSSv2!$D$8,CVSSv2!$D$19,IF(INDIRECT("Hallazgos!G"&amp;B12+4)=CVSSv2!$E$8,CVSSv2!$E$19,0)))</f>
        <v/>
      </c>
      <c s="0" r="J12">
        <f>IF(INDIRECT("Hallazgos!G"&amp;B12+5)=CVSSv2!$C$9,CVSSv2!$C$20,IF(INDIRECT("Hallazgos!G"&amp;B12+5)=CVSSv2!$D$9,CVSSv2!$D$20,IF(INDIRECT("Hallazgos!G"&amp;B12+5)=CVSSv2!$E$9,CVSSv2!$E$20,0)))</f>
        <v/>
      </c>
      <c s="0" r="L12">
        <f>IF(P12&lt;1,"x",A12&amp;" ")</f>
        <v/>
      </c>
      <c s="0" r="M12">
        <f>10*C12*D12*E12*F12</f>
        <v/>
      </c>
      <c s="0" r="N12">
        <f>IF((5.21*(1-(1-H12)*(1-I12)*(1-J12)))=0,0.2,(5.21*(1-(1-H12)*(1-I12)*(1-J12))))</f>
        <v/>
      </c>
      <c s="0" r="O12">
        <f>L12&amp;INDIRECT("Hallazgos!B"&amp;B12)&amp;" ("&amp;P12&amp;")"</f>
        <v/>
      </c>
      <c s="0" r="P12">
        <f>IF(INDIRECT("Hallazgos!I"&amp;B12)&gt;0,INDIRECT("Hallazgos!I"&amp;B12),0)</f>
        <v/>
      </c>
    </row>
    <row customHeight="1" s="134" r="13" ht="15.75" spans="1:17">
      <c s="83" r="A13" t="n">
        <v>8</v>
      </c>
      <c s="0" r="B13">
        <f>((A13-1)*$B$3)+$B$2+1</f>
        <v/>
      </c>
      <c s="0" r="C13">
        <f>IF(INDIRECT("Hallazgos!G"&amp;B13)=CVSSv2!$C$4,CVSSv2!$C$15,IF(INDIRECT("Hallazgos!G"&amp;B13)=CVSSv2!$D$4,CVSSv2!$D$15,IF(INDIRECT("Hallazgos!G"&amp;B13)=CVSSv2!$E$4,CVSSv2!$E$15,0)))</f>
        <v/>
      </c>
      <c s="0" r="D13">
        <f>IF(INDIRECT("Hallazgos!G"&amp;B13+1)=CVSSv2!$C$5,CVSSv2!$C$16,IF(INDIRECT("Hallazgos!G"&amp;B13+1)=CVSSv2!$D$5,CVSSv2!$D$16,IF(INDIRECT("Hallazgos!G"&amp;B13+1)=CVSSv2!$E$5,CVSSv2!$E$16,0)))</f>
        <v/>
      </c>
      <c s="0" r="E13">
        <f>IF(INDIRECT("Hallazgos!G"&amp;B13+2)=CVSSv2!$C$6,CVSSv2!$C$17,IF(INDIRECT("Hallazgos!G"&amp;B13+2)=CVSSv2!$D$6,CVSSv2!$D$17,IF(INDIRECT("Hallazgos!G"&amp;B13+2)=CVSSv2!$E$6,CVSSv2!$E$17,0)))</f>
        <v/>
      </c>
      <c s="0" r="F13">
        <f>IF(INDIRECT("Hallazgos!G"&amp;B13+6)=CVSSv2!$C$10,CVSSv2!$C$21,IF(INDIRECT("Hallazgos!G"&amp;B13+6)=CVSSv2!$D$10,CVSSv2!$D$21,IF(INDIRECT("Hallazgos!G"&amp;B13+6)=CVSSv2!$E$10,CVSSv2!$E$21,IF(INDIRECT("Hallazgos!G"&amp;B13+6)=CVSSv2!$F$10,CVSSv2!$F$21,0))))</f>
        <v/>
      </c>
      <c s="0" r="H13">
        <f>IF(INDIRECT("Hallazgos!G"&amp;B13+3)=CVSSv2!$C$7,CVSSv2!$C$18,IF(INDIRECT("Hallazgos!G"&amp;B13+3)=CVSSv2!$D$7,CVSSv2!$D$18,IF(INDIRECT("Hallazgos!G"&amp;B13+3)=CVSSv2!$E$7,CVSSv2!$E$18,0)))</f>
        <v/>
      </c>
      <c s="0" r="I13">
        <f>IF(INDIRECT("Hallazgos!G"&amp;B13+4)=CVSSv2!$C$8,CVSSv2!$C$19,IF(INDIRECT("Hallazgos!G"&amp;B13+4)=CVSSv2!$D$8,CVSSv2!$D$19,IF(INDIRECT("Hallazgos!G"&amp;B13+4)=CVSSv2!$E$8,CVSSv2!$E$19,0)))</f>
        <v/>
      </c>
      <c s="0" r="J13">
        <f>IF(INDIRECT("Hallazgos!G"&amp;B13+5)=CVSSv2!$C$9,CVSSv2!$C$20,IF(INDIRECT("Hallazgos!G"&amp;B13+5)=CVSSv2!$D$9,CVSSv2!$D$20,IF(INDIRECT("Hallazgos!G"&amp;B13+5)=CVSSv2!$E$9,CVSSv2!$E$20,0)))</f>
        <v/>
      </c>
      <c s="0" r="L13">
        <f>IF(P13&lt;1,"x",A13&amp;" ")</f>
        <v/>
      </c>
      <c s="0" r="M13">
        <f>10*C13*D13*E13*F13</f>
        <v/>
      </c>
      <c s="0" r="N13">
        <f>IF((5.21*(1-(1-H13)*(1-I13)*(1-J13)))=0,0.2,(5.21*(1-(1-H13)*(1-I13)*(1-J13))))</f>
        <v/>
      </c>
      <c s="0" r="O13">
        <f>L13&amp;INDIRECT("Hallazgos!B"&amp;B13)&amp;" ("&amp;P13&amp;")"</f>
        <v/>
      </c>
      <c s="0" r="P13">
        <f>IF(INDIRECT("Hallazgos!I"&amp;B13)&gt;0,INDIRECT("Hallazgos!I"&amp;B13),0)</f>
        <v/>
      </c>
    </row>
    <row customHeight="1" s="134" r="14" ht="15.75" spans="1:17">
      <c s="83" r="A14" t="n">
        <v>9</v>
      </c>
      <c s="0" r="B14">
        <f>((A14-1)*$B$3)+$B$2+1</f>
        <v/>
      </c>
      <c s="0" r="C14">
        <f>IF(INDIRECT("Hallazgos!G"&amp;B14)=CVSSv2!$C$4,CVSSv2!$C$15,IF(INDIRECT("Hallazgos!G"&amp;B14)=CVSSv2!$D$4,CVSSv2!$D$15,IF(INDIRECT("Hallazgos!G"&amp;B14)=CVSSv2!$E$4,CVSSv2!$E$15,0)))</f>
        <v/>
      </c>
      <c s="0" r="D14">
        <f>IF(INDIRECT("Hallazgos!G"&amp;B14+1)=CVSSv2!$C$5,CVSSv2!$C$16,IF(INDIRECT("Hallazgos!G"&amp;B14+1)=CVSSv2!$D$5,CVSSv2!$D$16,IF(INDIRECT("Hallazgos!G"&amp;B14+1)=CVSSv2!$E$5,CVSSv2!$E$16,0)))</f>
        <v/>
      </c>
      <c s="0" r="E14">
        <f>IF(INDIRECT("Hallazgos!G"&amp;B14+2)=CVSSv2!$C$6,CVSSv2!$C$17,IF(INDIRECT("Hallazgos!G"&amp;B14+2)=CVSSv2!$D$6,CVSSv2!$D$17,IF(INDIRECT("Hallazgos!G"&amp;B14+2)=CVSSv2!$E$6,CVSSv2!$E$17,0)))</f>
        <v/>
      </c>
      <c s="0" r="F14">
        <f>IF(INDIRECT("Hallazgos!G"&amp;B14+6)=CVSSv2!$C$10,CVSSv2!$C$21,IF(INDIRECT("Hallazgos!G"&amp;B14+6)=CVSSv2!$D$10,CVSSv2!$D$21,IF(INDIRECT("Hallazgos!G"&amp;B14+6)=CVSSv2!$E$10,CVSSv2!$E$21,IF(INDIRECT("Hallazgos!G"&amp;B14+6)=CVSSv2!$F$10,CVSSv2!$F$21,0))))</f>
        <v/>
      </c>
      <c s="0" r="H14">
        <f>IF(INDIRECT("Hallazgos!G"&amp;B14+3)=CVSSv2!$C$7,CVSSv2!$C$18,IF(INDIRECT("Hallazgos!G"&amp;B14+3)=CVSSv2!$D$7,CVSSv2!$D$18,IF(INDIRECT("Hallazgos!G"&amp;B14+3)=CVSSv2!$E$7,CVSSv2!$E$18,0)))</f>
        <v/>
      </c>
      <c s="0" r="I14">
        <f>IF(INDIRECT("Hallazgos!G"&amp;B14+4)=CVSSv2!$C$8,CVSSv2!$C$19,IF(INDIRECT("Hallazgos!G"&amp;B14+4)=CVSSv2!$D$8,CVSSv2!$D$19,IF(INDIRECT("Hallazgos!G"&amp;B14+4)=CVSSv2!$E$8,CVSSv2!$E$19,0)))</f>
        <v/>
      </c>
      <c s="0" r="J14">
        <f>IF(INDIRECT("Hallazgos!G"&amp;B14+5)=CVSSv2!$C$9,CVSSv2!$C$20,IF(INDIRECT("Hallazgos!G"&amp;B14+5)=CVSSv2!$D$9,CVSSv2!$D$20,IF(INDIRECT("Hallazgos!G"&amp;B14+5)=CVSSv2!$E$9,CVSSv2!$E$20,0)))</f>
        <v/>
      </c>
      <c s="0" r="L14">
        <f>IF(P14&lt;1,"x",A14&amp;" ")</f>
        <v/>
      </c>
      <c s="0" r="M14">
        <f>10*C14*D14*E14*F14</f>
        <v/>
      </c>
      <c s="0" r="N14">
        <f>IF((5.21*(1-(1-H14)*(1-I14)*(1-J14)))=0,0.2,(5.21*(1-(1-H14)*(1-I14)*(1-J14))))</f>
        <v/>
      </c>
      <c s="0" r="O14">
        <f>L14&amp;INDIRECT("Hallazgos!B"&amp;B14)&amp;" ("&amp;P14&amp;")"</f>
        <v/>
      </c>
      <c s="0" r="P14">
        <f>IF(INDIRECT("Hallazgos!I"&amp;B14)&gt;0,INDIRECT("Hallazgos!I"&amp;B14),0)</f>
        <v/>
      </c>
    </row>
    <row customHeight="1" s="134" r="15" ht="15.75" spans="1:17">
      <c s="83" r="A15" t="n">
        <v>10</v>
      </c>
      <c s="0" r="B15">
        <f>((A15-1)*$B$3)+$B$2+1</f>
        <v/>
      </c>
      <c s="0" r="C15">
        <f>IF(INDIRECT("Hallazgos!G"&amp;B15)=CVSSv2!$C$4,CVSSv2!$C$15,IF(INDIRECT("Hallazgos!G"&amp;B15)=CVSSv2!$D$4,CVSSv2!$D$15,IF(INDIRECT("Hallazgos!G"&amp;B15)=CVSSv2!$E$4,CVSSv2!$E$15,0)))</f>
        <v/>
      </c>
      <c s="0" r="D15">
        <f>IF(INDIRECT("Hallazgos!G"&amp;B15+1)=CVSSv2!$C$5,CVSSv2!$C$16,IF(INDIRECT("Hallazgos!G"&amp;B15+1)=CVSSv2!$D$5,CVSSv2!$D$16,IF(INDIRECT("Hallazgos!G"&amp;B15+1)=CVSSv2!$E$5,CVSSv2!$E$16,0)))</f>
        <v/>
      </c>
      <c s="0" r="E15">
        <f>IF(INDIRECT("Hallazgos!G"&amp;B15+2)=CVSSv2!$C$6,CVSSv2!$C$17,IF(INDIRECT("Hallazgos!G"&amp;B15+2)=CVSSv2!$D$6,CVSSv2!$D$17,IF(INDIRECT("Hallazgos!G"&amp;B15+2)=CVSSv2!$E$6,CVSSv2!$E$17,0)))</f>
        <v/>
      </c>
      <c s="0" r="F15">
        <f>IF(INDIRECT("Hallazgos!G"&amp;B15+6)=CVSSv2!$C$10,CVSSv2!$C$21,IF(INDIRECT("Hallazgos!G"&amp;B15+6)=CVSSv2!$D$10,CVSSv2!$D$21,IF(INDIRECT("Hallazgos!G"&amp;B15+6)=CVSSv2!$E$10,CVSSv2!$E$21,IF(INDIRECT("Hallazgos!G"&amp;B15+6)=CVSSv2!$F$10,CVSSv2!$F$21,0))))</f>
        <v/>
      </c>
      <c s="0" r="H15">
        <f>IF(INDIRECT("Hallazgos!G"&amp;B15+3)=CVSSv2!$C$7,CVSSv2!$C$18,IF(INDIRECT("Hallazgos!G"&amp;B15+3)=CVSSv2!$D$7,CVSSv2!$D$18,IF(INDIRECT("Hallazgos!G"&amp;B15+3)=CVSSv2!$E$7,CVSSv2!$E$18,0)))</f>
        <v/>
      </c>
      <c s="0" r="I15">
        <f>IF(INDIRECT("Hallazgos!G"&amp;B15+4)=CVSSv2!$C$8,CVSSv2!$C$19,IF(INDIRECT("Hallazgos!G"&amp;B15+4)=CVSSv2!$D$8,CVSSv2!$D$19,IF(INDIRECT("Hallazgos!G"&amp;B15+4)=CVSSv2!$E$8,CVSSv2!$E$19,0)))</f>
        <v/>
      </c>
      <c s="0" r="J15">
        <f>IF(INDIRECT("Hallazgos!G"&amp;B15+5)=CVSSv2!$C$9,CVSSv2!$C$20,IF(INDIRECT("Hallazgos!G"&amp;B15+5)=CVSSv2!$D$9,CVSSv2!$D$20,IF(INDIRECT("Hallazgos!G"&amp;B15+5)=CVSSv2!$E$9,CVSSv2!$E$20,0)))</f>
        <v/>
      </c>
      <c s="0" r="L15">
        <f>IF(P15&lt;1,"x",A15&amp;" ")</f>
        <v/>
      </c>
      <c s="0" r="M15">
        <f>10*C15*D15*E15*F15</f>
        <v/>
      </c>
      <c s="0" r="N15">
        <f>IF((5.21*(1-(1-H15)*(1-I15)*(1-J15)))=0,0.2,(5.21*(1-(1-H15)*(1-I15)*(1-J15))))</f>
        <v/>
      </c>
      <c s="0" r="O15">
        <f>L15&amp;INDIRECT("Hallazgos!B"&amp;B15)&amp;" ("&amp;P15&amp;")"</f>
        <v/>
      </c>
      <c s="0" r="P15">
        <f>IF(INDIRECT("Hallazgos!I"&amp;B15)&gt;0,INDIRECT("Hallazgos!I"&amp;B15),0)</f>
        <v/>
      </c>
    </row>
    <row customHeight="1" s="134" r="16" ht="15.75" spans="1:17">
      <c s="83" r="A16" t="n">
        <v>11</v>
      </c>
      <c s="0" r="B16">
        <f>((A16-1)*$B$3)+$B$2+1</f>
        <v/>
      </c>
      <c s="0" r="C16">
        <f>IF(INDIRECT("Hallazgos!G"&amp;B16)=CVSSv2!$C$4,CVSSv2!$C$15,IF(INDIRECT("Hallazgos!G"&amp;B16)=CVSSv2!$D$4,CVSSv2!$D$15,IF(INDIRECT("Hallazgos!G"&amp;B16)=CVSSv2!$E$4,CVSSv2!$E$15,0)))</f>
        <v/>
      </c>
      <c s="0" r="D16">
        <f>IF(INDIRECT("Hallazgos!G"&amp;B16+1)=CVSSv2!$C$5,CVSSv2!$C$16,IF(INDIRECT("Hallazgos!G"&amp;B16+1)=CVSSv2!$D$5,CVSSv2!$D$16,IF(INDIRECT("Hallazgos!G"&amp;B16+1)=CVSSv2!$E$5,CVSSv2!$E$16,0)))</f>
        <v/>
      </c>
      <c s="0" r="E16">
        <f>IF(INDIRECT("Hallazgos!G"&amp;B16+2)=CVSSv2!$C$6,CVSSv2!$C$17,IF(INDIRECT("Hallazgos!G"&amp;B16+2)=CVSSv2!$D$6,CVSSv2!$D$17,IF(INDIRECT("Hallazgos!G"&amp;B16+2)=CVSSv2!$E$6,CVSSv2!$E$17,0)))</f>
        <v/>
      </c>
      <c s="0" r="F16">
        <f>IF(INDIRECT("Hallazgos!G"&amp;B16+6)=CVSSv2!$C$10,CVSSv2!$C$21,IF(INDIRECT("Hallazgos!G"&amp;B16+6)=CVSSv2!$D$10,CVSSv2!$D$21,IF(INDIRECT("Hallazgos!G"&amp;B16+6)=CVSSv2!$E$10,CVSSv2!$E$21,IF(INDIRECT("Hallazgos!G"&amp;B16+6)=CVSSv2!$F$10,CVSSv2!$F$21,0))))</f>
        <v/>
      </c>
      <c s="0" r="H16">
        <f>IF(INDIRECT("Hallazgos!G"&amp;B16+3)=CVSSv2!$C$7,CVSSv2!$C$18,IF(INDIRECT("Hallazgos!G"&amp;B16+3)=CVSSv2!$D$7,CVSSv2!$D$18,IF(INDIRECT("Hallazgos!G"&amp;B16+3)=CVSSv2!$E$7,CVSSv2!$E$18,0)))</f>
        <v/>
      </c>
      <c s="0" r="I16">
        <f>IF(INDIRECT("Hallazgos!G"&amp;B16+4)=CVSSv2!$C$8,CVSSv2!$C$19,IF(INDIRECT("Hallazgos!G"&amp;B16+4)=CVSSv2!$D$8,CVSSv2!$D$19,IF(INDIRECT("Hallazgos!G"&amp;B16+4)=CVSSv2!$E$8,CVSSv2!$E$19,0)))</f>
        <v/>
      </c>
      <c s="0" r="J16">
        <f>IF(INDIRECT("Hallazgos!G"&amp;B16+5)=CVSSv2!$C$9,CVSSv2!$C$20,IF(INDIRECT("Hallazgos!G"&amp;B16+5)=CVSSv2!$D$9,CVSSv2!$D$20,IF(INDIRECT("Hallazgos!G"&amp;B16+5)=CVSSv2!$E$9,CVSSv2!$E$20,0)))</f>
        <v/>
      </c>
      <c s="0" r="L16">
        <f>IF(P16&lt;1,"x",A16&amp;" ")</f>
        <v/>
      </c>
      <c s="0" r="M16">
        <f>10*C16*D16*E16*F16</f>
        <v/>
      </c>
      <c s="0" r="N16">
        <f>IF((5.21*(1-(1-H16)*(1-I16)*(1-J16)))=0,0.2,(5.21*(1-(1-H16)*(1-I16)*(1-J16))))</f>
        <v/>
      </c>
      <c s="0" r="O16">
        <f>L16&amp;INDIRECT("Hallazgos!B"&amp;B16)&amp;" ("&amp;P16&amp;")"</f>
        <v/>
      </c>
      <c s="0" r="P16">
        <f>IF(INDIRECT("Hallazgos!I"&amp;B16)&gt;0,INDIRECT("Hallazgos!I"&amp;B16),0)</f>
        <v/>
      </c>
    </row>
    <row customHeight="1" s="134" r="17" ht="15.75" spans="1:17">
      <c s="83" r="A17" t="n">
        <v>12</v>
      </c>
      <c s="0" r="B17">
        <f>((A17-1)*$B$3)+$B$2+1</f>
        <v/>
      </c>
      <c s="0" r="C17">
        <f>IF(INDIRECT("Hallazgos!G"&amp;B17)=CVSSv2!$C$4,CVSSv2!$C$15,IF(INDIRECT("Hallazgos!G"&amp;B17)=CVSSv2!$D$4,CVSSv2!$D$15,IF(INDIRECT("Hallazgos!G"&amp;B17)=CVSSv2!$E$4,CVSSv2!$E$15,0)))</f>
        <v/>
      </c>
      <c s="0" r="D17">
        <f>IF(INDIRECT("Hallazgos!G"&amp;B17+1)=CVSSv2!$C$5,CVSSv2!$C$16,IF(INDIRECT("Hallazgos!G"&amp;B17+1)=CVSSv2!$D$5,CVSSv2!$D$16,IF(INDIRECT("Hallazgos!G"&amp;B17+1)=CVSSv2!$E$5,CVSSv2!$E$16,0)))</f>
        <v/>
      </c>
      <c s="0" r="E17">
        <f>IF(INDIRECT("Hallazgos!G"&amp;B17+2)=CVSSv2!$C$6,CVSSv2!$C$17,IF(INDIRECT("Hallazgos!G"&amp;B17+2)=CVSSv2!$D$6,CVSSv2!$D$17,IF(INDIRECT("Hallazgos!G"&amp;B17+2)=CVSSv2!$E$6,CVSSv2!$E$17,0)))</f>
        <v/>
      </c>
      <c s="0" r="F17">
        <f>IF(INDIRECT("Hallazgos!G"&amp;B17+6)=CVSSv2!$C$10,CVSSv2!$C$21,IF(INDIRECT("Hallazgos!G"&amp;B17+6)=CVSSv2!$D$10,CVSSv2!$D$21,IF(INDIRECT("Hallazgos!G"&amp;B17+6)=CVSSv2!$E$10,CVSSv2!$E$21,IF(INDIRECT("Hallazgos!G"&amp;B17+6)=CVSSv2!$F$10,CVSSv2!$F$21,0))))</f>
        <v/>
      </c>
      <c s="0" r="H17">
        <f>IF(INDIRECT("Hallazgos!G"&amp;B17+3)=CVSSv2!$C$7,CVSSv2!$C$18,IF(INDIRECT("Hallazgos!G"&amp;B17+3)=CVSSv2!$D$7,CVSSv2!$D$18,IF(INDIRECT("Hallazgos!G"&amp;B17+3)=CVSSv2!$E$7,CVSSv2!$E$18,0)))</f>
        <v/>
      </c>
      <c s="0" r="I17">
        <f>IF(INDIRECT("Hallazgos!G"&amp;B17+4)=CVSSv2!$C$8,CVSSv2!$C$19,IF(INDIRECT("Hallazgos!G"&amp;B17+4)=CVSSv2!$D$8,CVSSv2!$D$19,IF(INDIRECT("Hallazgos!G"&amp;B17+4)=CVSSv2!$E$8,CVSSv2!$E$19,0)))</f>
        <v/>
      </c>
      <c s="0" r="J17">
        <f>IF(INDIRECT("Hallazgos!G"&amp;B17+5)=CVSSv2!$C$9,CVSSv2!$C$20,IF(INDIRECT("Hallazgos!G"&amp;B17+5)=CVSSv2!$D$9,CVSSv2!$D$20,IF(INDIRECT("Hallazgos!G"&amp;B17+5)=CVSSv2!$E$9,CVSSv2!$E$20,0)))</f>
        <v/>
      </c>
      <c s="0" r="L17">
        <f>IF(P17&lt;1,"x",A17&amp;" ")</f>
        <v/>
      </c>
      <c s="0" r="M17">
        <f>10*C17*D17*E17*F17</f>
        <v/>
      </c>
      <c s="0" r="N17">
        <f>IF((5.21*(1-(1-H17)*(1-I17)*(1-J17)))=0,0.2,(5.21*(1-(1-H17)*(1-I17)*(1-J17))))</f>
        <v/>
      </c>
      <c s="0" r="O17">
        <f>L17&amp;INDIRECT("Hallazgos!B"&amp;B17)&amp;" ("&amp;P17&amp;")"</f>
        <v/>
      </c>
      <c s="0" r="P17">
        <f>IF(INDIRECT("Hallazgos!I"&amp;B17)&gt;0,INDIRECT("Hallazgos!I"&amp;B17),0)</f>
        <v/>
      </c>
    </row>
    <row customHeight="1" s="134" r="18" ht="15.75" spans="1:17">
      <c s="83" r="A18" t="n">
        <v>13</v>
      </c>
      <c s="0" r="B18">
        <f>((A18-1)*$B$3)+$B$2+1</f>
        <v/>
      </c>
      <c s="0" r="C18">
        <f>IF(INDIRECT("Hallazgos!G"&amp;B18)=CVSSv2!$C$4,CVSSv2!$C$15,IF(INDIRECT("Hallazgos!G"&amp;B18)=CVSSv2!$D$4,CVSSv2!$D$15,IF(INDIRECT("Hallazgos!G"&amp;B18)=CVSSv2!$E$4,CVSSv2!$E$15,0)))</f>
        <v/>
      </c>
      <c s="0" r="D18">
        <f>IF(INDIRECT("Hallazgos!G"&amp;B18+1)=CVSSv2!$C$5,CVSSv2!$C$16,IF(INDIRECT("Hallazgos!G"&amp;B18+1)=CVSSv2!$D$5,CVSSv2!$D$16,IF(INDIRECT("Hallazgos!G"&amp;B18+1)=CVSSv2!$E$5,CVSSv2!$E$16,0)))</f>
        <v/>
      </c>
      <c s="0" r="E18">
        <f>IF(INDIRECT("Hallazgos!G"&amp;B18+2)=CVSSv2!$C$6,CVSSv2!$C$17,IF(INDIRECT("Hallazgos!G"&amp;B18+2)=CVSSv2!$D$6,CVSSv2!$D$17,IF(INDIRECT("Hallazgos!G"&amp;B18+2)=CVSSv2!$E$6,CVSSv2!$E$17,0)))</f>
        <v/>
      </c>
      <c s="0" r="F18">
        <f>IF(INDIRECT("Hallazgos!G"&amp;B18+6)=CVSSv2!$C$10,CVSSv2!$C$21,IF(INDIRECT("Hallazgos!G"&amp;B18+6)=CVSSv2!$D$10,CVSSv2!$D$21,IF(INDIRECT("Hallazgos!G"&amp;B18+6)=CVSSv2!$E$10,CVSSv2!$E$21,IF(INDIRECT("Hallazgos!G"&amp;B18+6)=CVSSv2!$F$10,CVSSv2!$F$21,0))))</f>
        <v/>
      </c>
      <c s="0" r="H18">
        <f>IF(INDIRECT("Hallazgos!G"&amp;B18+3)=CVSSv2!$C$7,CVSSv2!$C$18,IF(INDIRECT("Hallazgos!G"&amp;B18+3)=CVSSv2!$D$7,CVSSv2!$D$18,IF(INDIRECT("Hallazgos!G"&amp;B18+3)=CVSSv2!$E$7,CVSSv2!$E$18,0)))</f>
        <v/>
      </c>
      <c s="0" r="I18">
        <f>IF(INDIRECT("Hallazgos!G"&amp;B18+4)=CVSSv2!$C$8,CVSSv2!$C$19,IF(INDIRECT("Hallazgos!G"&amp;B18+4)=CVSSv2!$D$8,CVSSv2!$D$19,IF(INDIRECT("Hallazgos!G"&amp;B18+4)=CVSSv2!$E$8,CVSSv2!$E$19,0)))</f>
        <v/>
      </c>
      <c s="0" r="J18">
        <f>IF(INDIRECT("Hallazgos!G"&amp;B18+5)=CVSSv2!$C$9,CVSSv2!$C$20,IF(INDIRECT("Hallazgos!G"&amp;B18+5)=CVSSv2!$D$9,CVSSv2!$D$20,IF(INDIRECT("Hallazgos!G"&amp;B18+5)=CVSSv2!$E$9,CVSSv2!$E$20,0)))</f>
        <v/>
      </c>
      <c s="0" r="L18">
        <f>IF(P18&lt;1,"x",A18&amp;" ")</f>
        <v/>
      </c>
      <c s="0" r="M18">
        <f>10*C18*D18*E18*F18</f>
        <v/>
      </c>
      <c s="0" r="N18">
        <f>IF((5.21*(1-(1-H18)*(1-I18)*(1-J18)))=0,0.2,(5.21*(1-(1-H18)*(1-I18)*(1-J18))))</f>
        <v/>
      </c>
      <c s="0" r="O18">
        <f>L18&amp;INDIRECT("Hallazgos!B"&amp;B18)&amp;" ("&amp;P18&amp;")"</f>
        <v/>
      </c>
      <c s="0" r="P18">
        <f>IF(INDIRECT("Hallazgos!I"&amp;B18)&gt;0,INDIRECT("Hallazgos!I"&amp;B18),0)</f>
        <v/>
      </c>
    </row>
    <row customHeight="1" s="134" r="19" ht="15.75" spans="1:17">
      <c s="83" r="A19" t="n">
        <v>14</v>
      </c>
      <c s="0" r="B19">
        <f>((A19-1)*$B$3)+$B$2+1</f>
        <v/>
      </c>
      <c s="0" r="C19">
        <f>IF(INDIRECT("Hallazgos!G"&amp;B19)=CVSSv2!$C$4,CVSSv2!$C$15,IF(INDIRECT("Hallazgos!G"&amp;B19)=CVSSv2!$D$4,CVSSv2!$D$15,IF(INDIRECT("Hallazgos!G"&amp;B19)=CVSSv2!$E$4,CVSSv2!$E$15,0)))</f>
        <v/>
      </c>
      <c s="0" r="D19">
        <f>IF(INDIRECT("Hallazgos!G"&amp;B19+1)=CVSSv2!$C$5,CVSSv2!$C$16,IF(INDIRECT("Hallazgos!G"&amp;B19+1)=CVSSv2!$D$5,CVSSv2!$D$16,IF(INDIRECT("Hallazgos!G"&amp;B19+1)=CVSSv2!$E$5,CVSSv2!$E$16,0)))</f>
        <v/>
      </c>
      <c s="0" r="E19">
        <f>IF(INDIRECT("Hallazgos!G"&amp;B19+2)=CVSSv2!$C$6,CVSSv2!$C$17,IF(INDIRECT("Hallazgos!G"&amp;B19+2)=CVSSv2!$D$6,CVSSv2!$D$17,IF(INDIRECT("Hallazgos!G"&amp;B19+2)=CVSSv2!$E$6,CVSSv2!$E$17,0)))</f>
        <v/>
      </c>
      <c s="0" r="F19">
        <f>IF(INDIRECT("Hallazgos!G"&amp;B19+6)=CVSSv2!$C$10,CVSSv2!$C$21,IF(INDIRECT("Hallazgos!G"&amp;B19+6)=CVSSv2!$D$10,CVSSv2!$D$21,IF(INDIRECT("Hallazgos!G"&amp;B19+6)=CVSSv2!$E$10,CVSSv2!$E$21,IF(INDIRECT("Hallazgos!G"&amp;B19+6)=CVSSv2!$F$10,CVSSv2!$F$21,0))))</f>
        <v/>
      </c>
      <c s="0" r="H19">
        <f>IF(INDIRECT("Hallazgos!G"&amp;B19+3)=CVSSv2!$C$7,CVSSv2!$C$18,IF(INDIRECT("Hallazgos!G"&amp;B19+3)=CVSSv2!$D$7,CVSSv2!$D$18,IF(INDIRECT("Hallazgos!G"&amp;B19+3)=CVSSv2!$E$7,CVSSv2!$E$18,0)))</f>
        <v/>
      </c>
      <c s="0" r="I19">
        <f>IF(INDIRECT("Hallazgos!G"&amp;B19+4)=CVSSv2!$C$8,CVSSv2!$C$19,IF(INDIRECT("Hallazgos!G"&amp;B19+4)=CVSSv2!$D$8,CVSSv2!$D$19,IF(INDIRECT("Hallazgos!G"&amp;B19+4)=CVSSv2!$E$8,CVSSv2!$E$19,0)))</f>
        <v/>
      </c>
      <c s="0" r="J19">
        <f>IF(INDIRECT("Hallazgos!G"&amp;B19+5)=CVSSv2!$C$9,CVSSv2!$C$20,IF(INDIRECT("Hallazgos!G"&amp;B19+5)=CVSSv2!$D$9,CVSSv2!$D$20,IF(INDIRECT("Hallazgos!G"&amp;B19+5)=CVSSv2!$E$9,CVSSv2!$E$20,0)))</f>
        <v/>
      </c>
      <c s="0" r="L19">
        <f>IF(P19&lt;1,"x",A19&amp;" ")</f>
        <v/>
      </c>
      <c s="0" r="M19">
        <f>10*C19*D19*E19*F19</f>
        <v/>
      </c>
      <c s="0" r="N19">
        <f>IF((5.21*(1-(1-H19)*(1-I19)*(1-J19)))=0,0.2,(5.21*(1-(1-H19)*(1-I19)*(1-J19))))</f>
        <v/>
      </c>
      <c s="0" r="O19">
        <f>L19&amp;INDIRECT("Hallazgos!B"&amp;B19)&amp;" ("&amp;P19&amp;")"</f>
        <v/>
      </c>
      <c s="0" r="P19">
        <f>IF(INDIRECT("Hallazgos!I"&amp;B19)&gt;0,INDIRECT("Hallazgos!I"&amp;B19),0)</f>
        <v/>
      </c>
    </row>
    <row customHeight="1" s="134" r="20" ht="15.75" spans="1:17">
      <c s="83" r="A20" t="n">
        <v>15</v>
      </c>
      <c s="0" r="B20">
        <f>((A20-1)*$B$3)+$B$2+1</f>
        <v/>
      </c>
      <c s="0" r="C20">
        <f>IF(INDIRECT("Hallazgos!G"&amp;B20)=CVSSv2!$C$4,CVSSv2!$C$15,IF(INDIRECT("Hallazgos!G"&amp;B20)=CVSSv2!$D$4,CVSSv2!$D$15,IF(INDIRECT("Hallazgos!G"&amp;B20)=CVSSv2!$E$4,CVSSv2!$E$15,0)))</f>
        <v/>
      </c>
      <c s="0" r="D20">
        <f>IF(INDIRECT("Hallazgos!G"&amp;B20+1)=CVSSv2!$C$5,CVSSv2!$C$16,IF(INDIRECT("Hallazgos!G"&amp;B20+1)=CVSSv2!$D$5,CVSSv2!$D$16,IF(INDIRECT("Hallazgos!G"&amp;B20+1)=CVSSv2!$E$5,CVSSv2!$E$16,0)))</f>
        <v/>
      </c>
      <c s="0" r="E20">
        <f>IF(INDIRECT("Hallazgos!G"&amp;B20+2)=CVSSv2!$C$6,CVSSv2!$C$17,IF(INDIRECT("Hallazgos!G"&amp;B20+2)=CVSSv2!$D$6,CVSSv2!$D$17,IF(INDIRECT("Hallazgos!G"&amp;B20+2)=CVSSv2!$E$6,CVSSv2!$E$17,0)))</f>
        <v/>
      </c>
      <c s="0" r="F20">
        <f>IF(INDIRECT("Hallazgos!G"&amp;B20+6)=CVSSv2!$C$10,CVSSv2!$C$21,IF(INDIRECT("Hallazgos!G"&amp;B20+6)=CVSSv2!$D$10,CVSSv2!$D$21,IF(INDIRECT("Hallazgos!G"&amp;B20+6)=CVSSv2!$E$10,CVSSv2!$E$21,IF(INDIRECT("Hallazgos!G"&amp;B20+6)=CVSSv2!$F$10,CVSSv2!$F$21,0))))</f>
        <v/>
      </c>
      <c s="0" r="H20">
        <f>IF(INDIRECT("Hallazgos!G"&amp;B20+3)=CVSSv2!$C$7,CVSSv2!$C$18,IF(INDIRECT("Hallazgos!G"&amp;B20+3)=CVSSv2!$D$7,CVSSv2!$D$18,IF(INDIRECT("Hallazgos!G"&amp;B20+3)=CVSSv2!$E$7,CVSSv2!$E$18,0)))</f>
        <v/>
      </c>
      <c s="0" r="I20">
        <f>IF(INDIRECT("Hallazgos!G"&amp;B20+4)=CVSSv2!$C$8,CVSSv2!$C$19,IF(INDIRECT("Hallazgos!G"&amp;B20+4)=CVSSv2!$D$8,CVSSv2!$D$19,IF(INDIRECT("Hallazgos!G"&amp;B20+4)=CVSSv2!$E$8,CVSSv2!$E$19,0)))</f>
        <v/>
      </c>
      <c s="0" r="J20">
        <f>IF(INDIRECT("Hallazgos!G"&amp;B20+5)=CVSSv2!$C$9,CVSSv2!$C$20,IF(INDIRECT("Hallazgos!G"&amp;B20+5)=CVSSv2!$D$9,CVSSv2!$D$20,IF(INDIRECT("Hallazgos!G"&amp;B20+5)=CVSSv2!$E$9,CVSSv2!$E$20,0)))</f>
        <v/>
      </c>
      <c s="0" r="L20">
        <f>IF(P20&lt;1,"x",A20&amp;" ")</f>
        <v/>
      </c>
      <c s="0" r="M20">
        <f>10*C20*D20*E20*F20</f>
        <v/>
      </c>
      <c s="0" r="N20">
        <f>IF((5.21*(1-(1-H20)*(1-I20)*(1-J20)))=0,0.2,(5.21*(1-(1-H20)*(1-I20)*(1-J20))))</f>
        <v/>
      </c>
      <c s="0" r="O20">
        <f>L20&amp;INDIRECT("Hallazgos!B"&amp;B20)&amp;" ("&amp;P20&amp;")"</f>
        <v/>
      </c>
      <c s="0" r="P20">
        <f>IF(INDIRECT("Hallazgos!I"&amp;B20)&gt;0,INDIRECT("Hallazgos!I"&amp;B20),0)</f>
        <v/>
      </c>
    </row>
    <row customHeight="1" s="134" r="21" ht="15.75" spans="1:17">
      <c s="83" r="A21" t="n">
        <v>16</v>
      </c>
      <c s="0" r="B21">
        <f>((A21-1)*$B$3)+$B$2+1</f>
        <v/>
      </c>
      <c s="0" r="C21">
        <f>IF(INDIRECT("Hallazgos!G"&amp;B21)=CVSSv2!$C$4,CVSSv2!$C$15,IF(INDIRECT("Hallazgos!G"&amp;B21)=CVSSv2!$D$4,CVSSv2!$D$15,IF(INDIRECT("Hallazgos!G"&amp;B21)=CVSSv2!$E$4,CVSSv2!$E$15,0)))</f>
        <v/>
      </c>
      <c s="0" r="D21">
        <f>IF(INDIRECT("Hallazgos!G"&amp;B21+1)=CVSSv2!$C$5,CVSSv2!$C$16,IF(INDIRECT("Hallazgos!G"&amp;B21+1)=CVSSv2!$D$5,CVSSv2!$D$16,IF(INDIRECT("Hallazgos!G"&amp;B21+1)=CVSSv2!$E$5,CVSSv2!$E$16,0)))</f>
        <v/>
      </c>
      <c s="0" r="E21">
        <f>IF(INDIRECT("Hallazgos!G"&amp;B21+2)=CVSSv2!$C$6,CVSSv2!$C$17,IF(INDIRECT("Hallazgos!G"&amp;B21+2)=CVSSv2!$D$6,CVSSv2!$D$17,IF(INDIRECT("Hallazgos!G"&amp;B21+2)=CVSSv2!$E$6,CVSSv2!$E$17,0)))</f>
        <v/>
      </c>
      <c s="0" r="F21">
        <f>IF(INDIRECT("Hallazgos!G"&amp;B21+6)=CVSSv2!$C$10,CVSSv2!$C$21,IF(INDIRECT("Hallazgos!G"&amp;B21+6)=CVSSv2!$D$10,CVSSv2!$D$21,IF(INDIRECT("Hallazgos!G"&amp;B21+6)=CVSSv2!$E$10,CVSSv2!$E$21,IF(INDIRECT("Hallazgos!G"&amp;B21+6)=CVSSv2!$F$10,CVSSv2!$F$21,0))))</f>
        <v/>
      </c>
      <c s="0" r="H21">
        <f>IF(INDIRECT("Hallazgos!G"&amp;B21+3)=CVSSv2!$C$7,CVSSv2!$C$18,IF(INDIRECT("Hallazgos!G"&amp;B21+3)=CVSSv2!$D$7,CVSSv2!$D$18,IF(INDIRECT("Hallazgos!G"&amp;B21+3)=CVSSv2!$E$7,CVSSv2!$E$18,0)))</f>
        <v/>
      </c>
      <c s="0" r="I21">
        <f>IF(INDIRECT("Hallazgos!G"&amp;B21+4)=CVSSv2!$C$8,CVSSv2!$C$19,IF(INDIRECT("Hallazgos!G"&amp;B21+4)=CVSSv2!$D$8,CVSSv2!$D$19,IF(INDIRECT("Hallazgos!G"&amp;B21+4)=CVSSv2!$E$8,CVSSv2!$E$19,0)))</f>
        <v/>
      </c>
      <c s="0" r="J21">
        <f>IF(INDIRECT("Hallazgos!G"&amp;B21+5)=CVSSv2!$C$9,CVSSv2!$C$20,IF(INDIRECT("Hallazgos!G"&amp;B21+5)=CVSSv2!$D$9,CVSSv2!$D$20,IF(INDIRECT("Hallazgos!G"&amp;B21+5)=CVSSv2!$E$9,CVSSv2!$E$20,0)))</f>
        <v/>
      </c>
      <c s="0" r="L21">
        <f>IF(P21&lt;1,"x",A21&amp;" ")</f>
        <v/>
      </c>
      <c s="0" r="M21">
        <f>10*C21*D21*E21*F21</f>
        <v/>
      </c>
      <c s="0" r="N21">
        <f>IF((5.21*(1-(1-H21)*(1-I21)*(1-J21)))=0,0.2,(5.21*(1-(1-H21)*(1-I21)*(1-J21))))</f>
        <v/>
      </c>
      <c s="0" r="O21">
        <f>L21&amp;INDIRECT("Hallazgos!B"&amp;B21)&amp;" ("&amp;P21&amp;")"</f>
        <v/>
      </c>
      <c s="0" r="P21">
        <f>IF(INDIRECT("Hallazgos!I"&amp;B21)&gt;0,INDIRECT("Hallazgos!I"&amp;B21),0)</f>
        <v/>
      </c>
    </row>
    <row customHeight="1" s="134" r="22" ht="15.75" spans="1:17">
      <c s="83" r="A22" t="n">
        <v>17</v>
      </c>
      <c s="0" r="B22">
        <f>((A22-1)*$B$3)+$B$2+1</f>
        <v/>
      </c>
      <c s="0" r="C22">
        <f>IF(INDIRECT("Hallazgos!G"&amp;B22)=CVSSv2!$C$4,CVSSv2!$C$15,IF(INDIRECT("Hallazgos!G"&amp;B22)=CVSSv2!$D$4,CVSSv2!$D$15,IF(INDIRECT("Hallazgos!G"&amp;B22)=CVSSv2!$E$4,CVSSv2!$E$15,0)))</f>
        <v/>
      </c>
      <c s="0" r="D22">
        <f>IF(INDIRECT("Hallazgos!G"&amp;B22+1)=CVSSv2!$C$5,CVSSv2!$C$16,IF(INDIRECT("Hallazgos!G"&amp;B22+1)=CVSSv2!$D$5,CVSSv2!$D$16,IF(INDIRECT("Hallazgos!G"&amp;B22+1)=CVSSv2!$E$5,CVSSv2!$E$16,0)))</f>
        <v/>
      </c>
      <c s="0" r="E22">
        <f>IF(INDIRECT("Hallazgos!G"&amp;B22+2)=CVSSv2!$C$6,CVSSv2!$C$17,IF(INDIRECT("Hallazgos!G"&amp;B22+2)=CVSSv2!$D$6,CVSSv2!$D$17,IF(INDIRECT("Hallazgos!G"&amp;B22+2)=CVSSv2!$E$6,CVSSv2!$E$17,0)))</f>
        <v/>
      </c>
      <c s="0" r="F22">
        <f>IF(INDIRECT("Hallazgos!G"&amp;B22+6)=CVSSv2!$C$10,CVSSv2!$C$21,IF(INDIRECT("Hallazgos!G"&amp;B22+6)=CVSSv2!$D$10,CVSSv2!$D$21,IF(INDIRECT("Hallazgos!G"&amp;B22+6)=CVSSv2!$E$10,CVSSv2!$E$21,IF(INDIRECT("Hallazgos!G"&amp;B22+6)=CVSSv2!$F$10,CVSSv2!$F$21,0))))</f>
        <v/>
      </c>
      <c s="0" r="H22">
        <f>IF(INDIRECT("Hallazgos!G"&amp;B22+3)=CVSSv2!$C$7,CVSSv2!$C$18,IF(INDIRECT("Hallazgos!G"&amp;B22+3)=CVSSv2!$D$7,CVSSv2!$D$18,IF(INDIRECT("Hallazgos!G"&amp;B22+3)=CVSSv2!$E$7,CVSSv2!$E$18,0)))</f>
        <v/>
      </c>
      <c s="0" r="I22">
        <f>IF(INDIRECT("Hallazgos!G"&amp;B22+4)=CVSSv2!$C$8,CVSSv2!$C$19,IF(INDIRECT("Hallazgos!G"&amp;B22+4)=CVSSv2!$D$8,CVSSv2!$D$19,IF(INDIRECT("Hallazgos!G"&amp;B22+4)=CVSSv2!$E$8,CVSSv2!$E$19,0)))</f>
        <v/>
      </c>
      <c s="0" r="J22">
        <f>IF(INDIRECT("Hallazgos!G"&amp;B22+5)=CVSSv2!$C$9,CVSSv2!$C$20,IF(INDIRECT("Hallazgos!G"&amp;B22+5)=CVSSv2!$D$9,CVSSv2!$D$20,IF(INDIRECT("Hallazgos!G"&amp;B22+5)=CVSSv2!$E$9,CVSSv2!$E$20,0)))</f>
        <v/>
      </c>
      <c s="0" r="L22">
        <f>IF(P22&lt;1,"x",A22&amp;" ")</f>
        <v/>
      </c>
      <c s="0" r="M22">
        <f>10*C22*D22*E22*F22</f>
        <v/>
      </c>
      <c s="0" r="N22">
        <f>IF((5.21*(1-(1-H22)*(1-I22)*(1-J22)))=0,0.2,(5.21*(1-(1-H22)*(1-I22)*(1-J22))))</f>
        <v/>
      </c>
      <c s="0" r="O22">
        <f>L22&amp;INDIRECT("Hallazgos!B"&amp;B22)&amp;" ("&amp;P22&amp;")"</f>
        <v/>
      </c>
      <c s="0" r="P22">
        <f>IF(INDIRECT("Hallazgos!I"&amp;B22)&gt;0,INDIRECT("Hallazgos!I"&amp;B22),0)</f>
        <v/>
      </c>
    </row>
    <row customHeight="1" s="134" r="23" ht="15.75" spans="1:17">
      <c s="83" r="A23" t="n">
        <v>18</v>
      </c>
      <c s="0" r="B23">
        <f>((A23-1)*$B$3)+$B$2+1</f>
        <v/>
      </c>
      <c s="0" r="C23">
        <f>IF(INDIRECT("Hallazgos!G"&amp;B23)=CVSSv2!$C$4,CVSSv2!$C$15,IF(INDIRECT("Hallazgos!G"&amp;B23)=CVSSv2!$D$4,CVSSv2!$D$15,IF(INDIRECT("Hallazgos!G"&amp;B23)=CVSSv2!$E$4,CVSSv2!$E$15,0)))</f>
        <v/>
      </c>
      <c s="0" r="D23">
        <f>IF(INDIRECT("Hallazgos!G"&amp;B23+1)=CVSSv2!$C$5,CVSSv2!$C$16,IF(INDIRECT("Hallazgos!G"&amp;B23+1)=CVSSv2!$D$5,CVSSv2!$D$16,IF(INDIRECT("Hallazgos!G"&amp;B23+1)=CVSSv2!$E$5,CVSSv2!$E$16,0)))</f>
        <v/>
      </c>
      <c s="0" r="E23">
        <f>IF(INDIRECT("Hallazgos!G"&amp;B23+2)=CVSSv2!$C$6,CVSSv2!$C$17,IF(INDIRECT("Hallazgos!G"&amp;B23+2)=CVSSv2!$D$6,CVSSv2!$D$17,IF(INDIRECT("Hallazgos!G"&amp;B23+2)=CVSSv2!$E$6,CVSSv2!$E$17,0)))</f>
        <v/>
      </c>
      <c s="0" r="F23">
        <f>IF(INDIRECT("Hallazgos!G"&amp;B23+6)=CVSSv2!$C$10,CVSSv2!$C$21,IF(INDIRECT("Hallazgos!G"&amp;B23+6)=CVSSv2!$D$10,CVSSv2!$D$21,IF(INDIRECT("Hallazgos!G"&amp;B23+6)=CVSSv2!$E$10,CVSSv2!$E$21,IF(INDIRECT("Hallazgos!G"&amp;B23+6)=CVSSv2!$F$10,CVSSv2!$F$21,0))))</f>
        <v/>
      </c>
      <c s="0" r="H23">
        <f>IF(INDIRECT("Hallazgos!G"&amp;B23+3)=CVSSv2!$C$7,CVSSv2!$C$18,IF(INDIRECT("Hallazgos!G"&amp;B23+3)=CVSSv2!$D$7,CVSSv2!$D$18,IF(INDIRECT("Hallazgos!G"&amp;B23+3)=CVSSv2!$E$7,CVSSv2!$E$18,0)))</f>
        <v/>
      </c>
      <c s="0" r="I23">
        <f>IF(INDIRECT("Hallazgos!G"&amp;B23+4)=CVSSv2!$C$8,CVSSv2!$C$19,IF(INDIRECT("Hallazgos!G"&amp;B23+4)=CVSSv2!$D$8,CVSSv2!$D$19,IF(INDIRECT("Hallazgos!G"&amp;B23+4)=CVSSv2!$E$8,CVSSv2!$E$19,0)))</f>
        <v/>
      </c>
      <c s="0" r="J23">
        <f>IF(INDIRECT("Hallazgos!G"&amp;B23+5)=CVSSv2!$C$9,CVSSv2!$C$20,IF(INDIRECT("Hallazgos!G"&amp;B23+5)=CVSSv2!$D$9,CVSSv2!$D$20,IF(INDIRECT("Hallazgos!G"&amp;B23+5)=CVSSv2!$E$9,CVSSv2!$E$20,0)))</f>
        <v/>
      </c>
      <c s="0" r="L23">
        <f>IF(P23&lt;1,"x",A23&amp;" ")</f>
        <v/>
      </c>
      <c s="0" r="M23">
        <f>10*C23*D23*E23*F23</f>
        <v/>
      </c>
      <c s="0" r="N23">
        <f>IF((5.21*(1-(1-H23)*(1-I23)*(1-J23)))=0,0.2,(5.21*(1-(1-H23)*(1-I23)*(1-J23))))</f>
        <v/>
      </c>
      <c s="0" r="O23">
        <f>L23&amp;INDIRECT("Hallazgos!B"&amp;B23)&amp;" ("&amp;P23&amp;")"</f>
        <v/>
      </c>
      <c s="0" r="P23">
        <f>IF(INDIRECT("Hallazgos!I"&amp;B23)&gt;0,INDIRECT("Hallazgos!I"&amp;B23),0)</f>
        <v/>
      </c>
    </row>
    <row customHeight="1" s="134" r="24" ht="15.75" spans="1:17">
      <c s="83" r="A24" t="n">
        <v>19</v>
      </c>
      <c s="0" r="B24">
        <f>((A24-1)*$B$3)+$B$2+1</f>
        <v/>
      </c>
      <c s="0" r="C24">
        <f>IF(INDIRECT("Hallazgos!G"&amp;B24)=CVSSv2!$C$4,CVSSv2!$C$15,IF(INDIRECT("Hallazgos!G"&amp;B24)=CVSSv2!$D$4,CVSSv2!$D$15,IF(INDIRECT("Hallazgos!G"&amp;B24)=CVSSv2!$E$4,CVSSv2!$E$15,0)))</f>
        <v/>
      </c>
      <c s="0" r="D24">
        <f>IF(INDIRECT("Hallazgos!G"&amp;B24+1)=CVSSv2!$C$5,CVSSv2!$C$16,IF(INDIRECT("Hallazgos!G"&amp;B24+1)=CVSSv2!$D$5,CVSSv2!$D$16,IF(INDIRECT("Hallazgos!G"&amp;B24+1)=CVSSv2!$E$5,CVSSv2!$E$16,0)))</f>
        <v/>
      </c>
      <c s="0" r="E24">
        <f>IF(INDIRECT("Hallazgos!G"&amp;B24+2)=CVSSv2!$C$6,CVSSv2!$C$17,IF(INDIRECT("Hallazgos!G"&amp;B24+2)=CVSSv2!$D$6,CVSSv2!$D$17,IF(INDIRECT("Hallazgos!G"&amp;B24+2)=CVSSv2!$E$6,CVSSv2!$E$17,0)))</f>
        <v/>
      </c>
      <c s="0" r="F24">
        <f>IF(INDIRECT("Hallazgos!G"&amp;B24+6)=CVSSv2!$C$10,CVSSv2!$C$21,IF(INDIRECT("Hallazgos!G"&amp;B24+6)=CVSSv2!$D$10,CVSSv2!$D$21,IF(INDIRECT("Hallazgos!G"&amp;B24+6)=CVSSv2!$E$10,CVSSv2!$E$21,IF(INDIRECT("Hallazgos!G"&amp;B24+6)=CVSSv2!$F$10,CVSSv2!$F$21,0))))</f>
        <v/>
      </c>
      <c s="0" r="H24">
        <f>IF(INDIRECT("Hallazgos!G"&amp;B24+3)=CVSSv2!$C$7,CVSSv2!$C$18,IF(INDIRECT("Hallazgos!G"&amp;B24+3)=CVSSv2!$D$7,CVSSv2!$D$18,IF(INDIRECT("Hallazgos!G"&amp;B24+3)=CVSSv2!$E$7,CVSSv2!$E$18,0)))</f>
        <v/>
      </c>
      <c s="0" r="I24">
        <f>IF(INDIRECT("Hallazgos!G"&amp;B24+4)=CVSSv2!$C$8,CVSSv2!$C$19,IF(INDIRECT("Hallazgos!G"&amp;B24+4)=CVSSv2!$D$8,CVSSv2!$D$19,IF(INDIRECT("Hallazgos!G"&amp;B24+4)=CVSSv2!$E$8,CVSSv2!$E$19,0)))</f>
        <v/>
      </c>
      <c s="0" r="J24">
        <f>IF(INDIRECT("Hallazgos!G"&amp;B24+5)=CVSSv2!$C$9,CVSSv2!$C$20,IF(INDIRECT("Hallazgos!G"&amp;B24+5)=CVSSv2!$D$9,CVSSv2!$D$20,IF(INDIRECT("Hallazgos!G"&amp;B24+5)=CVSSv2!$E$9,CVSSv2!$E$20,0)))</f>
        <v/>
      </c>
      <c s="0" r="L24">
        <f>IF(P24&lt;1,"x",A24&amp;" ")</f>
        <v/>
      </c>
      <c s="0" r="M24">
        <f>10*C24*D24*E24*F24</f>
        <v/>
      </c>
      <c s="0" r="N24">
        <f>IF((5.21*(1-(1-H24)*(1-I24)*(1-J24)))=0,0.2,(5.21*(1-(1-H24)*(1-I24)*(1-J24))))</f>
        <v/>
      </c>
      <c s="0" r="O24">
        <f>L24&amp;INDIRECT("Hallazgos!B"&amp;B24)&amp;" ("&amp;P24&amp;")"</f>
        <v/>
      </c>
      <c s="0" r="P24">
        <f>IF(INDIRECT("Hallazgos!I"&amp;B24)&gt;0,INDIRECT("Hallazgos!I"&amp;B24),0)</f>
        <v/>
      </c>
    </row>
    <row customHeight="1" s="134" r="25" ht="15.75" spans="1:17">
      <c s="83" r="A25" t="n">
        <v>20</v>
      </c>
      <c s="0" r="B25">
        <f>((A25-1)*$B$3)+$B$2+1</f>
        <v/>
      </c>
      <c s="0" r="C25">
        <f>IF(INDIRECT("Hallazgos!G"&amp;B25)=CVSSv2!$C$4,CVSSv2!$C$15,IF(INDIRECT("Hallazgos!G"&amp;B25)=CVSSv2!$D$4,CVSSv2!$D$15,IF(INDIRECT("Hallazgos!G"&amp;B25)=CVSSv2!$E$4,CVSSv2!$E$15,0)))</f>
        <v/>
      </c>
      <c s="0" r="D25">
        <f>IF(INDIRECT("Hallazgos!G"&amp;B25+1)=CVSSv2!$C$5,CVSSv2!$C$16,IF(INDIRECT("Hallazgos!G"&amp;B25+1)=CVSSv2!$D$5,CVSSv2!$D$16,IF(INDIRECT("Hallazgos!G"&amp;B25+1)=CVSSv2!$E$5,CVSSv2!$E$16,0)))</f>
        <v/>
      </c>
      <c s="0" r="E25">
        <f>IF(INDIRECT("Hallazgos!G"&amp;B25+2)=CVSSv2!$C$6,CVSSv2!$C$17,IF(INDIRECT("Hallazgos!G"&amp;B25+2)=CVSSv2!$D$6,CVSSv2!$D$17,IF(INDIRECT("Hallazgos!G"&amp;B25+2)=CVSSv2!$E$6,CVSSv2!$E$17,0)))</f>
        <v/>
      </c>
      <c s="0" r="F25">
        <f>IF(INDIRECT("Hallazgos!G"&amp;B25+6)=CVSSv2!$C$10,CVSSv2!$C$21,IF(INDIRECT("Hallazgos!G"&amp;B25+6)=CVSSv2!$D$10,CVSSv2!$D$21,IF(INDIRECT("Hallazgos!G"&amp;B25+6)=CVSSv2!$E$10,CVSSv2!$E$21,IF(INDIRECT("Hallazgos!G"&amp;B25+6)=CVSSv2!$F$10,CVSSv2!$F$21,0))))</f>
        <v/>
      </c>
      <c s="0" r="H25">
        <f>IF(INDIRECT("Hallazgos!G"&amp;B25+3)=CVSSv2!$C$7,CVSSv2!$C$18,IF(INDIRECT("Hallazgos!G"&amp;B25+3)=CVSSv2!$D$7,CVSSv2!$D$18,IF(INDIRECT("Hallazgos!G"&amp;B25+3)=CVSSv2!$E$7,CVSSv2!$E$18,0)))</f>
        <v/>
      </c>
      <c s="0" r="I25">
        <f>IF(INDIRECT("Hallazgos!G"&amp;B25+4)=CVSSv2!$C$8,CVSSv2!$C$19,IF(INDIRECT("Hallazgos!G"&amp;B25+4)=CVSSv2!$D$8,CVSSv2!$D$19,IF(INDIRECT("Hallazgos!G"&amp;B25+4)=CVSSv2!$E$8,CVSSv2!$E$19,0)))</f>
        <v/>
      </c>
      <c s="0" r="J25">
        <f>IF(INDIRECT("Hallazgos!G"&amp;B25+5)=CVSSv2!$C$9,CVSSv2!$C$20,IF(INDIRECT("Hallazgos!G"&amp;B25+5)=CVSSv2!$D$9,CVSSv2!$D$20,IF(INDIRECT("Hallazgos!G"&amp;B25+5)=CVSSv2!$E$9,CVSSv2!$E$20,0)))</f>
        <v/>
      </c>
      <c s="0" r="L25">
        <f>IF(P25&lt;1,"x",A25&amp;" ")</f>
        <v/>
      </c>
      <c s="0" r="M25">
        <f>10*C25*D25*E25*F25</f>
        <v/>
      </c>
      <c s="0" r="N25">
        <f>IF((5.21*(1-(1-H25)*(1-I25)*(1-J25)))=0,0.2,(5.21*(1-(1-H25)*(1-I25)*(1-J25))))</f>
        <v/>
      </c>
      <c s="0" r="O25">
        <f>L25&amp;INDIRECT("Hallazgos!B"&amp;B25)&amp;" ("&amp;P25&amp;")"</f>
        <v/>
      </c>
      <c s="0" r="P25">
        <f>IF(INDIRECT("Hallazgos!I"&amp;B25)&gt;0,INDIRECT("Hallazgos!I"&amp;B25),0)</f>
        <v/>
      </c>
    </row>
    <row customHeight="1" s="134" r="26" ht="15.75" spans="1:17">
      <c s="83" r="A26" t="n">
        <v>21</v>
      </c>
      <c s="0" r="B26">
        <f>((A26-1)*$B$3)+$B$2+1</f>
        <v/>
      </c>
      <c s="0" r="C26">
        <f>IF(INDIRECT("Hallazgos!G"&amp;B26)=CVSSv2!$C$4,CVSSv2!$C$15,IF(INDIRECT("Hallazgos!G"&amp;B26)=CVSSv2!$D$4,CVSSv2!$D$15,IF(INDIRECT("Hallazgos!G"&amp;B26)=CVSSv2!$E$4,CVSSv2!$E$15,0)))</f>
        <v/>
      </c>
      <c s="0" r="D26">
        <f>IF(INDIRECT("Hallazgos!G"&amp;B26+1)=CVSSv2!$C$5,CVSSv2!$C$16,IF(INDIRECT("Hallazgos!G"&amp;B26+1)=CVSSv2!$D$5,CVSSv2!$D$16,IF(INDIRECT("Hallazgos!G"&amp;B26+1)=CVSSv2!$E$5,CVSSv2!$E$16,0)))</f>
        <v/>
      </c>
      <c s="0" r="E26">
        <f>IF(INDIRECT("Hallazgos!G"&amp;B26+2)=CVSSv2!$C$6,CVSSv2!$C$17,IF(INDIRECT("Hallazgos!G"&amp;B26+2)=CVSSv2!$D$6,CVSSv2!$D$17,IF(INDIRECT("Hallazgos!G"&amp;B26+2)=CVSSv2!$E$6,CVSSv2!$E$17,0)))</f>
        <v/>
      </c>
      <c s="0" r="F26">
        <f>IF(INDIRECT("Hallazgos!G"&amp;B26+6)=CVSSv2!$C$10,CVSSv2!$C$21,IF(INDIRECT("Hallazgos!G"&amp;B26+6)=CVSSv2!$D$10,CVSSv2!$D$21,IF(INDIRECT("Hallazgos!G"&amp;B26+6)=CVSSv2!$E$10,CVSSv2!$E$21,IF(INDIRECT("Hallazgos!G"&amp;B26+6)=CVSSv2!$F$10,CVSSv2!$F$21,0))))</f>
        <v/>
      </c>
      <c s="0" r="H26">
        <f>IF(INDIRECT("Hallazgos!G"&amp;B26+3)=CVSSv2!$C$7,CVSSv2!$C$18,IF(INDIRECT("Hallazgos!G"&amp;B26+3)=CVSSv2!$D$7,CVSSv2!$D$18,IF(INDIRECT("Hallazgos!G"&amp;B26+3)=CVSSv2!$E$7,CVSSv2!$E$18,0)))</f>
        <v/>
      </c>
      <c s="0" r="I26">
        <f>IF(INDIRECT("Hallazgos!G"&amp;B26+4)=CVSSv2!$C$8,CVSSv2!$C$19,IF(INDIRECT("Hallazgos!G"&amp;B26+4)=CVSSv2!$D$8,CVSSv2!$D$19,IF(INDIRECT("Hallazgos!G"&amp;B26+4)=CVSSv2!$E$8,CVSSv2!$E$19,0)))</f>
        <v/>
      </c>
      <c s="0" r="J26">
        <f>IF(INDIRECT("Hallazgos!G"&amp;B26+5)=CVSSv2!$C$9,CVSSv2!$C$20,IF(INDIRECT("Hallazgos!G"&amp;B26+5)=CVSSv2!$D$9,CVSSv2!$D$20,IF(INDIRECT("Hallazgos!G"&amp;B26+5)=CVSSv2!$E$9,CVSSv2!$E$20,0)))</f>
        <v/>
      </c>
      <c s="0" r="L26">
        <f>IF(P26&lt;1,"x",A26&amp;" ")</f>
        <v/>
      </c>
      <c s="0" r="M26">
        <f>10*C26*D26*E26*F26</f>
        <v/>
      </c>
      <c s="0" r="N26">
        <f>IF((5.21*(1-(1-H26)*(1-I26)*(1-J26)))=0,0.2,(5.21*(1-(1-H26)*(1-I26)*(1-J26))))</f>
        <v/>
      </c>
      <c s="0" r="O26">
        <f>L26&amp;INDIRECT("Hallazgos!B"&amp;B26)&amp;" ("&amp;P26&amp;")"</f>
        <v/>
      </c>
      <c s="0" r="P26">
        <f>IF(INDIRECT("Hallazgos!I"&amp;B26)&gt;0,INDIRECT("Hallazgos!I"&amp;B26),0)</f>
        <v/>
      </c>
    </row>
    <row customHeight="1" s="134" r="27" ht="15.75" spans="1:17">
      <c s="83" r="A27" t="n">
        <v>22</v>
      </c>
      <c s="0" r="B27">
        <f>((A27-1)*$B$3)+$B$2+1</f>
        <v/>
      </c>
      <c s="0" r="C27">
        <f>IF(INDIRECT("Hallazgos!G"&amp;B27)=CVSSv2!$C$4,CVSSv2!$C$15,IF(INDIRECT("Hallazgos!G"&amp;B27)=CVSSv2!$D$4,CVSSv2!$D$15,IF(INDIRECT("Hallazgos!G"&amp;B27)=CVSSv2!$E$4,CVSSv2!$E$15,0)))</f>
        <v/>
      </c>
      <c s="0" r="D27">
        <f>IF(INDIRECT("Hallazgos!G"&amp;B27+1)=CVSSv2!$C$5,CVSSv2!$C$16,IF(INDIRECT("Hallazgos!G"&amp;B27+1)=CVSSv2!$D$5,CVSSv2!$D$16,IF(INDIRECT("Hallazgos!G"&amp;B27+1)=CVSSv2!$E$5,CVSSv2!$E$16,0)))</f>
        <v/>
      </c>
      <c s="0" r="E27">
        <f>IF(INDIRECT("Hallazgos!G"&amp;B27+2)=CVSSv2!$C$6,CVSSv2!$C$17,IF(INDIRECT("Hallazgos!G"&amp;B27+2)=CVSSv2!$D$6,CVSSv2!$D$17,IF(INDIRECT("Hallazgos!G"&amp;B27+2)=CVSSv2!$E$6,CVSSv2!$E$17,0)))</f>
        <v/>
      </c>
      <c s="0" r="F27">
        <f>IF(INDIRECT("Hallazgos!G"&amp;B27+6)=CVSSv2!$C$10,CVSSv2!$C$21,IF(INDIRECT("Hallazgos!G"&amp;B27+6)=CVSSv2!$D$10,CVSSv2!$D$21,IF(INDIRECT("Hallazgos!G"&amp;B27+6)=CVSSv2!$E$10,CVSSv2!$E$21,IF(INDIRECT("Hallazgos!G"&amp;B27+6)=CVSSv2!$F$10,CVSSv2!$F$21,0))))</f>
        <v/>
      </c>
      <c s="0" r="H27">
        <f>IF(INDIRECT("Hallazgos!G"&amp;B27+3)=CVSSv2!$C$7,CVSSv2!$C$18,IF(INDIRECT("Hallazgos!G"&amp;B27+3)=CVSSv2!$D$7,CVSSv2!$D$18,IF(INDIRECT("Hallazgos!G"&amp;B27+3)=CVSSv2!$E$7,CVSSv2!$E$18,0)))</f>
        <v/>
      </c>
      <c s="0" r="I27">
        <f>IF(INDIRECT("Hallazgos!G"&amp;B27+4)=CVSSv2!$C$8,CVSSv2!$C$19,IF(INDIRECT("Hallazgos!G"&amp;B27+4)=CVSSv2!$D$8,CVSSv2!$D$19,IF(INDIRECT("Hallazgos!G"&amp;B27+4)=CVSSv2!$E$8,CVSSv2!$E$19,0)))</f>
        <v/>
      </c>
      <c s="0" r="J27">
        <f>IF(INDIRECT("Hallazgos!G"&amp;B27+5)=CVSSv2!$C$9,CVSSv2!$C$20,IF(INDIRECT("Hallazgos!G"&amp;B27+5)=CVSSv2!$D$9,CVSSv2!$D$20,IF(INDIRECT("Hallazgos!G"&amp;B27+5)=CVSSv2!$E$9,CVSSv2!$E$20,0)))</f>
        <v/>
      </c>
      <c s="0" r="L27">
        <f>IF(P27&lt;1,"x",A27&amp;" ")</f>
        <v/>
      </c>
      <c s="0" r="M27">
        <f>10*C27*D27*E27*F27</f>
        <v/>
      </c>
      <c s="0" r="N27">
        <f>IF((5.21*(1-(1-H27)*(1-I27)*(1-J27)))=0,0.2,(5.21*(1-(1-H27)*(1-I27)*(1-J27))))</f>
        <v/>
      </c>
      <c s="0" r="O27">
        <f>L27&amp;INDIRECT("Hallazgos!B"&amp;B27)&amp;" ("&amp;P27&amp;")"</f>
        <v/>
      </c>
      <c s="0" r="P27">
        <f>IF(INDIRECT("Hallazgos!I"&amp;B27)&gt;0,INDIRECT("Hallazgos!I"&amp;B27),0)</f>
        <v/>
      </c>
    </row>
    <row customHeight="1" s="134" r="28" ht="15.75" spans="1:17">
      <c s="83" r="A28" t="n">
        <v>23</v>
      </c>
      <c s="0" r="B28">
        <f>((A28-1)*$B$3)+$B$2+1</f>
        <v/>
      </c>
      <c s="0" r="C28">
        <f>IF(INDIRECT("Hallazgos!G"&amp;B28)=CVSSv2!$C$4,CVSSv2!$C$15,IF(INDIRECT("Hallazgos!G"&amp;B28)=CVSSv2!$D$4,CVSSv2!$D$15,IF(INDIRECT("Hallazgos!G"&amp;B28)=CVSSv2!$E$4,CVSSv2!$E$15,0)))</f>
        <v/>
      </c>
      <c s="0" r="D28">
        <f>IF(INDIRECT("Hallazgos!G"&amp;B28+1)=CVSSv2!$C$5,CVSSv2!$C$16,IF(INDIRECT("Hallazgos!G"&amp;B28+1)=CVSSv2!$D$5,CVSSv2!$D$16,IF(INDIRECT("Hallazgos!G"&amp;B28+1)=CVSSv2!$E$5,CVSSv2!$E$16,0)))</f>
        <v/>
      </c>
      <c s="0" r="E28">
        <f>IF(INDIRECT("Hallazgos!G"&amp;B28+2)=CVSSv2!$C$6,CVSSv2!$C$17,IF(INDIRECT("Hallazgos!G"&amp;B28+2)=CVSSv2!$D$6,CVSSv2!$D$17,IF(INDIRECT("Hallazgos!G"&amp;B28+2)=CVSSv2!$E$6,CVSSv2!$E$17,0)))</f>
        <v/>
      </c>
      <c s="0" r="F28">
        <f>IF(INDIRECT("Hallazgos!G"&amp;B28+6)=CVSSv2!$C$10,CVSSv2!$C$21,IF(INDIRECT("Hallazgos!G"&amp;B28+6)=CVSSv2!$D$10,CVSSv2!$D$21,IF(INDIRECT("Hallazgos!G"&amp;B28+6)=CVSSv2!$E$10,CVSSv2!$E$21,IF(INDIRECT("Hallazgos!G"&amp;B28+6)=CVSSv2!$F$10,CVSSv2!$F$21,0))))</f>
        <v/>
      </c>
      <c s="0" r="H28">
        <f>IF(INDIRECT("Hallazgos!G"&amp;B28+3)=CVSSv2!$C$7,CVSSv2!$C$18,IF(INDIRECT("Hallazgos!G"&amp;B28+3)=CVSSv2!$D$7,CVSSv2!$D$18,IF(INDIRECT("Hallazgos!G"&amp;B28+3)=CVSSv2!$E$7,CVSSv2!$E$18,0)))</f>
        <v/>
      </c>
      <c s="0" r="I28">
        <f>IF(INDIRECT("Hallazgos!G"&amp;B28+4)=CVSSv2!$C$8,CVSSv2!$C$19,IF(INDIRECT("Hallazgos!G"&amp;B28+4)=CVSSv2!$D$8,CVSSv2!$D$19,IF(INDIRECT("Hallazgos!G"&amp;B28+4)=CVSSv2!$E$8,CVSSv2!$E$19,0)))</f>
        <v/>
      </c>
      <c s="0" r="J28">
        <f>IF(INDIRECT("Hallazgos!G"&amp;B28+5)=CVSSv2!$C$9,CVSSv2!$C$20,IF(INDIRECT("Hallazgos!G"&amp;B28+5)=CVSSv2!$D$9,CVSSv2!$D$20,IF(INDIRECT("Hallazgos!G"&amp;B28+5)=CVSSv2!$E$9,CVSSv2!$E$20,0)))</f>
        <v/>
      </c>
      <c s="0" r="L28">
        <f>IF(P28&lt;1,"x",A28&amp;" ")</f>
        <v/>
      </c>
      <c s="0" r="M28">
        <f>10*C28*D28*E28*F28</f>
        <v/>
      </c>
      <c s="0" r="N28">
        <f>IF((5.21*(1-(1-H28)*(1-I28)*(1-J28)))=0,0.2,(5.21*(1-(1-H28)*(1-I28)*(1-J28))))</f>
        <v/>
      </c>
      <c s="0" r="O28">
        <f>L28&amp;INDIRECT("Hallazgos!B"&amp;B28)&amp;" ("&amp;P28&amp;")"</f>
        <v/>
      </c>
      <c s="0" r="P28">
        <f>IF(INDIRECT("Hallazgos!I"&amp;B28)&gt;0,INDIRECT("Hallazgos!I"&amp;B28),0)</f>
        <v/>
      </c>
    </row>
    <row customHeight="1" s="134" r="29" ht="15.75" spans="1:17">
      <c s="83" r="A29" t="n">
        <v>24</v>
      </c>
      <c s="0" r="B29">
        <f>((A29-1)*$B$3)+$B$2+1</f>
        <v/>
      </c>
      <c s="0" r="C29">
        <f>IF(INDIRECT("Hallazgos!G"&amp;B29)=CVSSv2!$C$4,CVSSv2!$C$15,IF(INDIRECT("Hallazgos!G"&amp;B29)=CVSSv2!$D$4,CVSSv2!$D$15,IF(INDIRECT("Hallazgos!G"&amp;B29)=CVSSv2!$E$4,CVSSv2!$E$15,0)))</f>
        <v/>
      </c>
      <c s="0" r="D29">
        <f>IF(INDIRECT("Hallazgos!G"&amp;B29+1)=CVSSv2!$C$5,CVSSv2!$C$16,IF(INDIRECT("Hallazgos!G"&amp;B29+1)=CVSSv2!$D$5,CVSSv2!$D$16,IF(INDIRECT("Hallazgos!G"&amp;B29+1)=CVSSv2!$E$5,CVSSv2!$E$16,0)))</f>
        <v/>
      </c>
      <c s="0" r="E29">
        <f>IF(INDIRECT("Hallazgos!G"&amp;B29+2)=CVSSv2!$C$6,CVSSv2!$C$17,IF(INDIRECT("Hallazgos!G"&amp;B29+2)=CVSSv2!$D$6,CVSSv2!$D$17,IF(INDIRECT("Hallazgos!G"&amp;B29+2)=CVSSv2!$E$6,CVSSv2!$E$17,0)))</f>
        <v/>
      </c>
      <c s="0" r="F29">
        <f>IF(INDIRECT("Hallazgos!G"&amp;B29+6)=CVSSv2!$C$10,CVSSv2!$C$21,IF(INDIRECT("Hallazgos!G"&amp;B29+6)=CVSSv2!$D$10,CVSSv2!$D$21,IF(INDIRECT("Hallazgos!G"&amp;B29+6)=CVSSv2!$E$10,CVSSv2!$E$21,IF(INDIRECT("Hallazgos!G"&amp;B29+6)=CVSSv2!$F$10,CVSSv2!$F$21,0))))</f>
        <v/>
      </c>
      <c s="0" r="H29">
        <f>IF(INDIRECT("Hallazgos!G"&amp;B29+3)=CVSSv2!$C$7,CVSSv2!$C$18,IF(INDIRECT("Hallazgos!G"&amp;B29+3)=CVSSv2!$D$7,CVSSv2!$D$18,IF(INDIRECT("Hallazgos!G"&amp;B29+3)=CVSSv2!$E$7,CVSSv2!$E$18,0)))</f>
        <v/>
      </c>
      <c s="0" r="I29">
        <f>IF(INDIRECT("Hallazgos!G"&amp;B29+4)=CVSSv2!$C$8,CVSSv2!$C$19,IF(INDIRECT("Hallazgos!G"&amp;B29+4)=CVSSv2!$D$8,CVSSv2!$D$19,IF(INDIRECT("Hallazgos!G"&amp;B29+4)=CVSSv2!$E$8,CVSSv2!$E$19,0)))</f>
        <v/>
      </c>
      <c s="0" r="J29">
        <f>IF(INDIRECT("Hallazgos!G"&amp;B29+5)=CVSSv2!$C$9,CVSSv2!$C$20,IF(INDIRECT("Hallazgos!G"&amp;B29+5)=CVSSv2!$D$9,CVSSv2!$D$20,IF(INDIRECT("Hallazgos!G"&amp;B29+5)=CVSSv2!$E$9,CVSSv2!$E$20,0)))</f>
        <v/>
      </c>
      <c s="0" r="L29">
        <f>IF(P29&lt;1,"x",A29&amp;" ")</f>
        <v/>
      </c>
      <c s="0" r="M29">
        <f>10*C29*D29*E29*F29</f>
        <v/>
      </c>
      <c s="0" r="N29">
        <f>IF((5.21*(1-(1-H29)*(1-I29)*(1-J29)))=0,0.2,(5.21*(1-(1-H29)*(1-I29)*(1-J29))))</f>
        <v/>
      </c>
      <c s="0" r="O29">
        <f>L29&amp;INDIRECT("Hallazgos!B"&amp;B29)&amp;" ("&amp;P29&amp;")"</f>
        <v/>
      </c>
      <c s="0" r="P29">
        <f>IF(INDIRECT("Hallazgos!I"&amp;B29)&gt;0,INDIRECT("Hallazgos!I"&amp;B29),0)</f>
        <v/>
      </c>
    </row>
    <row customHeight="1" s="134" r="30" ht="15.75" spans="1:17">
      <c s="83" r="A30" t="n">
        <v>25</v>
      </c>
      <c s="0" r="B30">
        <f>((A30-1)*$B$3)+$B$2+1</f>
        <v/>
      </c>
      <c s="0" r="C30">
        <f>IF(INDIRECT("Hallazgos!G"&amp;B30)=CVSSv2!$C$4,CVSSv2!$C$15,IF(INDIRECT("Hallazgos!G"&amp;B30)=CVSSv2!$D$4,CVSSv2!$D$15,IF(INDIRECT("Hallazgos!G"&amp;B30)=CVSSv2!$E$4,CVSSv2!$E$15,0)))</f>
        <v/>
      </c>
      <c s="0" r="D30">
        <f>IF(INDIRECT("Hallazgos!G"&amp;B30+1)=CVSSv2!$C$5,CVSSv2!$C$16,IF(INDIRECT("Hallazgos!G"&amp;B30+1)=CVSSv2!$D$5,CVSSv2!$D$16,IF(INDIRECT("Hallazgos!G"&amp;B30+1)=CVSSv2!$E$5,CVSSv2!$E$16,0)))</f>
        <v/>
      </c>
      <c s="0" r="E30">
        <f>IF(INDIRECT("Hallazgos!G"&amp;B30+2)=CVSSv2!$C$6,CVSSv2!$C$17,IF(INDIRECT("Hallazgos!G"&amp;B30+2)=CVSSv2!$D$6,CVSSv2!$D$17,IF(INDIRECT("Hallazgos!G"&amp;B30+2)=CVSSv2!$E$6,CVSSv2!$E$17,0)))</f>
        <v/>
      </c>
      <c s="0" r="F30">
        <f>IF(INDIRECT("Hallazgos!G"&amp;B30+6)=CVSSv2!$C$10,CVSSv2!$C$21,IF(INDIRECT("Hallazgos!G"&amp;B30+6)=CVSSv2!$D$10,CVSSv2!$D$21,IF(INDIRECT("Hallazgos!G"&amp;B30+6)=CVSSv2!$E$10,CVSSv2!$E$21,IF(INDIRECT("Hallazgos!G"&amp;B30+6)=CVSSv2!$F$10,CVSSv2!$F$21,0))))</f>
        <v/>
      </c>
      <c s="0" r="H30">
        <f>IF(INDIRECT("Hallazgos!G"&amp;B30+3)=CVSSv2!$C$7,CVSSv2!$C$18,IF(INDIRECT("Hallazgos!G"&amp;B30+3)=CVSSv2!$D$7,CVSSv2!$D$18,IF(INDIRECT("Hallazgos!G"&amp;B30+3)=CVSSv2!$E$7,CVSSv2!$E$18,0)))</f>
        <v/>
      </c>
      <c s="0" r="I30">
        <f>IF(INDIRECT("Hallazgos!G"&amp;B30+4)=CVSSv2!$C$8,CVSSv2!$C$19,IF(INDIRECT("Hallazgos!G"&amp;B30+4)=CVSSv2!$D$8,CVSSv2!$D$19,IF(INDIRECT("Hallazgos!G"&amp;B30+4)=CVSSv2!$E$8,CVSSv2!$E$19,0)))</f>
        <v/>
      </c>
      <c s="0" r="J30">
        <f>IF(INDIRECT("Hallazgos!G"&amp;B30+5)=CVSSv2!$C$9,CVSSv2!$C$20,IF(INDIRECT("Hallazgos!G"&amp;B30+5)=CVSSv2!$D$9,CVSSv2!$D$20,IF(INDIRECT("Hallazgos!G"&amp;B30+5)=CVSSv2!$E$9,CVSSv2!$E$20,0)))</f>
        <v/>
      </c>
      <c s="0" r="L30">
        <f>IF(P30&lt;1,"x",A30&amp;" ")</f>
        <v/>
      </c>
      <c s="0" r="M30">
        <f>10*C30*D30*E30*F30</f>
        <v/>
      </c>
      <c s="0" r="N30">
        <f>IF((5.21*(1-(1-H30)*(1-I30)*(1-J30)))=0,0.2,(5.21*(1-(1-H30)*(1-I30)*(1-J30))))</f>
        <v/>
      </c>
      <c s="0" r="O30">
        <f>L30&amp;INDIRECT("Hallazgos!B"&amp;B30)&amp;" ("&amp;P30&amp;")"</f>
        <v/>
      </c>
      <c s="0" r="P30">
        <f>IF(INDIRECT("Hallazgos!I"&amp;B30)&gt;0,INDIRECT("Hallazgos!I"&amp;B30),0)</f>
        <v/>
      </c>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1.xml><?xml version="1.0" encoding="utf-8"?>
<worksheet xmlns="http://schemas.openxmlformats.org/spreadsheetml/2006/main">
  <sheetPr filterMode="0">
    <tabColor rgb="FFFF00FF"/>
    <outlinePr summaryBelow="1" summaryRight="1"/>
    <pageSetUpPr fitToPage="0"/>
  </sheetPr>
  <dimension ref="A1:F5"/>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3.6326530612245"/>
    <col customWidth="1" max="2" min="2" width="11.0714285714286"/>
    <col customWidth="1" max="5" min="3" width="13.6326530612245"/>
    <col customWidth="1" max="6" min="6" width="65.0663265306122"/>
    <col customWidth="1" max="1025" min="7" width="13.6326530612245"/>
  </cols>
  <sheetData>
    <row customHeight="1" s="134" r="1" ht="15.75" spans="1:6">
      <c s="88" r="A1" t="s">
        <v>1260</v>
      </c>
      <c s="88" r="B1" t="s">
        <v>1261</v>
      </c>
      <c s="89" r="C1" t="n"/>
      <c s="90" r="F1" t="n"/>
    </row>
    <row customHeight="1" s="134" r="2" ht="15.75" spans="1:6">
      <c s="19" r="A2" t="s">
        <v>1262</v>
      </c>
      <c s="91" r="B2">
        <f>IFERROR(__xludf.dummyfunction("IF(IFERROR(QUERY(Hallazgos!G:H,""SELECT count(H) where H&gt;6.9 label count(H) ''""),0)=0,0,QUERY(Hallazgos!G:H,""SELECT count(H) where H&gt;6.9 label count(H)  ''""))"),"19")</f>
        <v/>
      </c>
      <c s="89" r="C2" t="n"/>
      <c s="90" r="F2" t="n"/>
    </row>
    <row customHeight="1" s="134" r="3" ht="15.75" spans="1:6">
      <c s="19" r="A3" t="s">
        <v>1263</v>
      </c>
      <c s="92" r="B3">
        <f>IFERROR(__xludf.dummyfunction("IF(IFERROR(QUERY(Hallazgos!G:H,""SELECT count(H) where H&gt;3.9 and H&lt;7 label count(H) ''""),0)=0,0,QUERY(Hallazgos!G:H,""SELECT count(H) where H&gt;3.9 and H&lt;7 label count(H) ''""))"),"0")</f>
        <v/>
      </c>
      <c s="73" r="C3" t="n"/>
      <c s="90" r="F3" t="n"/>
    </row>
    <row customHeight="1" s="134" r="4" ht="15.75" spans="1:6">
      <c s="19" r="A4" t="s">
        <v>1264</v>
      </c>
      <c s="92" r="B4">
        <f>IFERROR(__xludf.dummyfunction("IF(IFERROR(QUERY(Hallazgos!G:H,""SELECT count(H) where H&lt;4 label count(H) ''""),0)=0,0,QUERY(Hallazgos!G:H,""SELECT count(H) where H&lt;4 label count(H) ''""))"),"0")</f>
        <v/>
      </c>
      <c s="73" r="C4" t="n"/>
      <c s="90" r="F4" t="n"/>
    </row>
    <row customHeight="1" s="134" r="5" ht="15.75" spans="1:6">
      <c s="82" r="A5" t="n"/>
      <c s="82" r="B5" t="n"/>
      <c s="90" r="F5" t="n"/>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2.xml><?xml version="1.0" encoding="utf-8"?>
<worksheet xmlns="http://schemas.openxmlformats.org/spreadsheetml/2006/main">
  <sheetPr filterMode="0">
    <tabColor rgb="FFFF00FF"/>
    <outlinePr summaryBelow="1" summaryRight="1"/>
    <pageSetUpPr fitToPage="0"/>
  </sheetPr>
  <dimension ref="A1:K33"/>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hidden="1" max="1" min="1"/>
    <col customWidth="1" max="2" min="2" width="3.64285714285714"/>
    <col customWidth="1" max="3" min="3" width="19.8418367346939"/>
    <col customWidth="1" max="4" min="4" width="3.78061224489796"/>
    <col customWidth="1" max="5" min="5" width="4.99489795918367"/>
    <col customWidth="1" max="6" min="6" width="24.4336734693878"/>
    <col customWidth="1" hidden="1" max="8" min="7"/>
    <col customWidth="1" max="9" min="9" width="15.9285714285714"/>
    <col customWidth="1" max="10" min="10" width="25.3775510204082"/>
    <col customWidth="1" max="11" min="11" width="15.9285714285714"/>
    <col customWidth="1" max="1025" min="12" width="13.6326530612245"/>
  </cols>
  <sheetData>
    <row customHeight="1" s="134" r="1" ht="15.75" spans="1:11">
      <c s="93" r="A1" t="n"/>
      <c s="94" r="B1" t="s">
        <v>1265</v>
      </c>
      <c s="95" r="C1" t="s">
        <v>1266</v>
      </c>
      <c s="95" r="D1" t="s">
        <v>1267</v>
      </c>
      <c s="95" r="E1" t="s">
        <v>1268</v>
      </c>
      <c s="96" r="F1" t="s">
        <v>35</v>
      </c>
      <c s="97" r="G1" t="s">
        <v>1269</v>
      </c>
      <c s="88" r="H1" t="s">
        <v>1270</v>
      </c>
      <c s="95" r="J1" t="s">
        <v>35</v>
      </c>
      <c s="95" r="K1" t="s">
        <v>714</v>
      </c>
    </row>
    <row customHeight="1" s="134" r="2" ht="15.75" spans="1:11">
      <c s="74" r="A2" t="n"/>
      <c s="98" r="B2" t="s">
        <v>949</v>
      </c>
      <c s="99" r="C2">
        <f>INDIRECT("Hallazgos!B"&amp;A7)</f>
        <v/>
      </c>
      <c s="99" r="D2">
        <f>INDIRECT("Hallazgos!I"&amp;A7)</f>
        <v/>
      </c>
      <c s="100" r="E2" t="n">
        <v>1</v>
      </c>
      <c s="101" r="F2">
        <f>IF(G2=1,"Cerrado",IF(H2=1,"Parcialmente cerrado","Abierto"))</f>
        <v/>
      </c>
      <c s="102" r="G2">
        <f>IF(E2=0,1,0)</f>
        <v/>
      </c>
      <c s="102" r="H2">
        <f>IF(AND(D2-E2&gt;0,D2-E2&lt;D2),1,0)</f>
        <v/>
      </c>
      <c s="99" r="J2" t="s">
        <v>1271</v>
      </c>
      <c s="100" r="K2">
        <f>COUNTIFS(B2:B20,"Sí",G2:G20,1)</f>
        <v/>
      </c>
    </row>
    <row customHeight="1" s="134" r="3" ht="15.75" spans="1:11">
      <c s="74" r="A3" t="n"/>
      <c s="98" r="B3" t="s">
        <v>949</v>
      </c>
      <c s="99" r="C3">
        <f>INDIRECT("Hallazgos!B"&amp;A8)</f>
        <v/>
      </c>
      <c s="99" r="D3">
        <f>INDIRECT("Hallazgos!I"&amp;A8)</f>
        <v/>
      </c>
      <c s="100" r="E3" t="n">
        <v>0</v>
      </c>
      <c s="101" r="F3">
        <f>IF(G3=1,"Cerrado",IF(H3=1,"Parcialmente cerrado","Abierto"))</f>
        <v/>
      </c>
      <c s="102" r="G3">
        <f>IF(E3=0,1,0)</f>
        <v/>
      </c>
      <c s="102" r="H3">
        <f>IF(AND(D3-E3&gt;0,D3-E3&lt;D3),1,0)</f>
        <v/>
      </c>
      <c s="99" r="J3" t="s">
        <v>1272</v>
      </c>
      <c s="103" r="K3">
        <f>COUNTIFS(B2:B20,"Sí",H2:H20,1)</f>
        <v/>
      </c>
    </row>
    <row customHeight="1" s="134" r="4" ht="15.75" spans="1:11">
      <c s="74" r="A4" t="n"/>
      <c s="98" r="B4" t="s">
        <v>949</v>
      </c>
      <c s="99" r="C4">
        <f>INDIRECT("Hallazgos!B"&amp;A9)</f>
        <v/>
      </c>
      <c s="99" r="D4">
        <f>INDIRECT("Hallazgos!I"&amp;A9)</f>
        <v/>
      </c>
      <c s="100" r="E4" t="n">
        <v>0</v>
      </c>
      <c s="101" r="F4">
        <f>IF(G4=1,"Cerrado",IF(H4=1,"Parcialmente cerrado","Abierto"))</f>
        <v/>
      </c>
      <c s="102" r="G4">
        <f>IF(E4=0,1,0)</f>
        <v/>
      </c>
      <c s="102" r="H4">
        <f>IF(AND(D4-E4&gt;0,D4-E4&lt;D4),1,0)</f>
        <v/>
      </c>
      <c s="99" r="J4" t="s">
        <v>1273</v>
      </c>
      <c s="103" r="K4">
        <f>COUNTIF(B2:B20,"Sí")-K2-K3</f>
        <v/>
      </c>
    </row>
    <row customHeight="1" s="134" r="5" ht="15.75" spans="1:11">
      <c s="74" r="A5" t="n"/>
      <c s="98" r="B5" t="s">
        <v>949</v>
      </c>
      <c s="99" r="C5">
        <f>INDIRECT("Hallazgos!B"&amp;A10)</f>
        <v/>
      </c>
      <c s="99" r="D5">
        <f>INDIRECT("Hallazgos!I"&amp;A10)</f>
        <v/>
      </c>
      <c s="100" r="E5" t="n">
        <v>0</v>
      </c>
      <c s="101" r="F5">
        <f>IF(G5=1,"Cerrado",IF(H5=1,"Parcialmente cerrado","Abierto"))</f>
        <v/>
      </c>
      <c s="102" r="G5">
        <f>IF(E5=0,1,0)</f>
        <v/>
      </c>
      <c s="102" r="H5">
        <f>IF(AND(D5-E5&gt;0,D5-E5&lt;D5),1,0)</f>
        <v/>
      </c>
    </row>
    <row customHeight="1" s="134" r="6" ht="15.75" spans="1:11">
      <c s="104" r="A6" t="n"/>
      <c s="98" r="B6" t="s">
        <v>949</v>
      </c>
      <c s="99" r="C6">
        <f>INDIRECT("Hallazgos!B"&amp;A11)</f>
        <v/>
      </c>
      <c s="99" r="D6">
        <f>INDIRECT("Hallazgos!I"&amp;A11)</f>
        <v/>
      </c>
      <c s="100" r="E6" t="n">
        <v>0</v>
      </c>
      <c s="101" r="F6">
        <f>IF(G6=1,"Cerrado",IF(H6=1,"Parcialmente cerrado","Abierto"))</f>
        <v/>
      </c>
      <c s="102" r="G6">
        <f>IF(E6=0,1,0)</f>
        <v/>
      </c>
      <c s="102" r="H6">
        <f>IF(AND(D6-E6&gt;0,D6-E6&lt;D6),1,0)</f>
        <v/>
      </c>
    </row>
    <row customHeight="1" s="134" r="7" ht="15.75" spans="1:11">
      <c s="105" r="A7" t="n">
        <v>3</v>
      </c>
      <c s="98" r="B7" t="s">
        <v>949</v>
      </c>
      <c s="99" r="C7">
        <f>INDIRECT("Hallazgos!B"&amp;A12)</f>
        <v/>
      </c>
      <c s="99" r="D7">
        <f>INDIRECT("Hallazgos!I"&amp;A12)</f>
        <v/>
      </c>
      <c s="100" r="E7" t="n">
        <v>0</v>
      </c>
      <c s="101" r="F7">
        <f>IF(G7=1,"Cerrado",IF(H7=1,"Parcialmente cerrado","Abierto"))</f>
        <v/>
      </c>
      <c s="102" r="G7">
        <f>IF(E7=0,1,0)</f>
        <v/>
      </c>
      <c s="102" r="H7">
        <f>IF(AND(D7-E7&gt;0,D7-E7&lt;D7),1,0)</f>
        <v/>
      </c>
    </row>
    <row customHeight="1" s="134" r="8" ht="15.75" spans="1:11">
      <c s="105" r="A8">
        <f>A7+10</f>
        <v/>
      </c>
      <c s="98" r="B8" t="s">
        <v>949</v>
      </c>
      <c s="99" r="C8">
        <f>INDIRECT("Hallazgos!B"&amp;A13)</f>
        <v/>
      </c>
      <c s="99" r="D8">
        <f>INDIRECT("Hallazgos!I"&amp;A13)</f>
        <v/>
      </c>
      <c s="100" r="E8" t="n">
        <v>1</v>
      </c>
      <c s="101" r="F8">
        <f>IF(G8=1,"Cerrado",IF(H8=1,"Parcialmente cerrado","Abierto"))</f>
        <v/>
      </c>
      <c s="102" r="G8">
        <f>IF(E8=0,1,0)</f>
        <v/>
      </c>
      <c s="102" r="H8">
        <f>IF(AND(D8-E8&gt;0,D8-E8&lt;D8),1,0)</f>
        <v/>
      </c>
    </row>
    <row customHeight="1" s="134" r="9" ht="15.75" spans="1:11">
      <c s="105" r="A9">
        <f>A8+10</f>
        <v/>
      </c>
      <c s="98" r="B9" t="s">
        <v>949</v>
      </c>
      <c s="99" r="C9">
        <f>INDIRECT("Hallazgos!B"&amp;A14)</f>
        <v/>
      </c>
      <c s="99" r="D9">
        <f>INDIRECT("Hallazgos!I"&amp;A14)</f>
        <v/>
      </c>
      <c s="100" r="E9" t="n">
        <v>1</v>
      </c>
      <c s="101" r="F9">
        <f>IF(G9=1,"Cerrado",IF(H9=1,"Parcialmente cerrado","Abierto"))</f>
        <v/>
      </c>
      <c s="102" r="G9">
        <f>IF(E9=0,1,0)</f>
        <v/>
      </c>
      <c s="102" r="H9">
        <f>IF(AND(D9-E9&gt;0,D9-E9&lt;D9),1,0)</f>
        <v/>
      </c>
    </row>
    <row customHeight="1" s="134" r="10" ht="15.75" spans="1:11">
      <c s="105" r="A10">
        <f>A9+10</f>
        <v/>
      </c>
      <c s="98" r="B10" t="s">
        <v>949</v>
      </c>
      <c s="99" r="C10">
        <f>INDIRECT("Hallazgos!B"&amp;A15)</f>
        <v/>
      </c>
      <c s="99" r="D10">
        <f>INDIRECT("Hallazgos!I"&amp;A15)</f>
        <v/>
      </c>
      <c s="100" r="E10" t="n">
        <v>1</v>
      </c>
      <c s="101" r="F10">
        <f>IF(G10=1,"Cerrado",IF(H10=1,"Parcialmente cerrado","Abierto"))</f>
        <v/>
      </c>
      <c s="102" r="G10">
        <f>IF(E10=0,1,0)</f>
        <v/>
      </c>
      <c s="102" r="H10">
        <f>IF(AND(D10-E10&gt;0,D10-E10&lt;D10),1,0)</f>
        <v/>
      </c>
    </row>
    <row customHeight="1" s="134" r="11" ht="15.75" spans="1:11">
      <c s="105" r="A11">
        <f>A10+10</f>
        <v/>
      </c>
      <c s="98" r="B11" t="s">
        <v>949</v>
      </c>
      <c s="99" r="C11">
        <f>INDIRECT("Hallazgos!B"&amp;A16)</f>
        <v/>
      </c>
      <c s="99" r="D11">
        <f>INDIRECT("Hallazgos!I"&amp;A16)</f>
        <v/>
      </c>
      <c s="100" r="E11" t="n">
        <v>1</v>
      </c>
      <c s="101" r="F11">
        <f>IF(G11=1,"Cerrado",IF(H11=1,"Parcialmente cerrado","Abierto"))</f>
        <v/>
      </c>
      <c s="102" r="G11">
        <f>IF(E11=0,1,0)</f>
        <v/>
      </c>
      <c s="102" r="H11">
        <f>IF(AND(D11-E11&gt;0,D11-E11&lt;D11),1,0)</f>
        <v/>
      </c>
    </row>
    <row customHeight="1" s="134" r="12" ht="15.75" spans="1:11">
      <c s="105" r="A12">
        <f>A11+10</f>
        <v/>
      </c>
      <c s="98" r="B12" t="s">
        <v>949</v>
      </c>
      <c s="99" r="C12">
        <f>INDIRECT("Hallazgos!B"&amp;A17)</f>
        <v/>
      </c>
      <c s="99" r="D12">
        <f>INDIRECT("Hallazgos!I"&amp;A17)</f>
        <v/>
      </c>
      <c s="100" r="E12" t="n">
        <v>1</v>
      </c>
      <c s="101" r="F12">
        <f>IF(G12=1,"Cerrado",IF(H12=1,"Parcialmente cerrado","Abierto"))</f>
        <v/>
      </c>
      <c s="102" r="G12">
        <f>IF(E12=0,1,0)</f>
        <v/>
      </c>
      <c s="102" r="H12">
        <f>IF(AND(D12-E12&gt;0,D12-E12&lt;D12),1,0)</f>
        <v/>
      </c>
    </row>
    <row customHeight="1" s="134" r="13" ht="15.75" spans="1:11">
      <c s="105" r="A13">
        <f>A12+10</f>
        <v/>
      </c>
      <c s="98" r="B13" t="s">
        <v>949</v>
      </c>
      <c s="99" r="C13">
        <f>INDIRECT("Hallazgos!B"&amp;A18)</f>
        <v/>
      </c>
      <c s="99" r="D13">
        <f>INDIRECT("Hallazgos!I"&amp;A18)</f>
        <v/>
      </c>
      <c s="100" r="E13" t="n">
        <v>1</v>
      </c>
      <c s="101" r="F13">
        <f>IF(G13=1,"Cerrado",IF(H13=1,"Parcialmente cerrado","Abierto"))</f>
        <v/>
      </c>
      <c s="102" r="G13">
        <f>IF(E13=0,1,0)</f>
        <v/>
      </c>
      <c s="102" r="H13">
        <f>IF(AND(D13-E13&gt;0,D13-E13&lt;D13),1,0)</f>
        <v/>
      </c>
    </row>
    <row customHeight="1" s="134" r="14" ht="15.75" spans="1:11">
      <c s="105" r="A14">
        <f>A13+10</f>
        <v/>
      </c>
      <c s="98" r="B14" t="s">
        <v>949</v>
      </c>
      <c s="99" r="C14">
        <f>INDIRECT("Hallazgos!B"&amp;A19)</f>
        <v/>
      </c>
      <c s="99" r="D14">
        <f>INDIRECT("Hallazgos!I"&amp;A19)</f>
        <v/>
      </c>
      <c s="100" r="E14" t="n">
        <v>1</v>
      </c>
      <c s="101" r="F14">
        <f>IF(G14=1,"Cerrado",IF(H14=1,"Parcialmente cerrado","Abierto"))</f>
        <v/>
      </c>
      <c s="102" r="G14">
        <f>IF(E14=0,1,0)</f>
        <v/>
      </c>
      <c s="102" r="H14">
        <f>IF(AND(D14-E14&gt;0,D14-E14&lt;D14),1,0)</f>
        <v/>
      </c>
    </row>
    <row customHeight="1" s="134" r="15" ht="15.75" spans="1:11">
      <c s="105" r="A15">
        <f>A14+10</f>
        <v/>
      </c>
      <c s="98" r="B15" t="s">
        <v>949</v>
      </c>
      <c s="99" r="C15">
        <f>INDIRECT("Hallazgos!B"&amp;A20)</f>
        <v/>
      </c>
      <c s="99" r="D15">
        <f>INDIRECT("Hallazgos!I"&amp;A20)</f>
        <v/>
      </c>
      <c s="100" r="E15" t="n">
        <v>14</v>
      </c>
      <c s="101" r="F15">
        <f>IF(G15=1,"Cerrado",IF(H15=1,"Parcialmente cerrado","Abierto"))</f>
        <v/>
      </c>
      <c s="102" r="G15">
        <f>IF(E15=0,1,0)</f>
        <v/>
      </c>
      <c s="102" r="H15">
        <f>IF(AND(D15-E15&gt;0,D15-E15&lt;D15),1,0)</f>
        <v/>
      </c>
    </row>
    <row customHeight="1" s="134" r="16" ht="15.75" spans="1:11">
      <c s="105" r="A16">
        <f>A15+10</f>
        <v/>
      </c>
      <c s="98" r="B16" t="s">
        <v>949</v>
      </c>
      <c s="99" r="C16">
        <f>INDIRECT("Hallazgos!B"&amp;A21)</f>
        <v/>
      </c>
      <c s="99" r="D16">
        <f>INDIRECT("Hallazgos!I"&amp;A21)</f>
        <v/>
      </c>
      <c s="100" r="E16" t="n">
        <v>15</v>
      </c>
      <c s="101" r="F16">
        <f>IF(G16=1,"Cerrado",IF(H16=1,"Parcialmente cerrado","Abierto"))</f>
        <v/>
      </c>
      <c s="102" r="G16">
        <f>IF(E16=0,1,0)</f>
        <v/>
      </c>
      <c s="102" r="H16">
        <f>IF(AND(D16-E16&gt;0,D16-E16&lt;D16),1,0)</f>
        <v/>
      </c>
    </row>
    <row customHeight="1" s="134" r="17" ht="15.75" spans="1:11">
      <c s="105" r="A17">
        <f>A16+10</f>
        <v/>
      </c>
      <c s="98" r="B17" t="s">
        <v>949</v>
      </c>
      <c s="99" r="C17">
        <f>INDIRECT("Hallazgos!B"&amp;A22)</f>
        <v/>
      </c>
      <c s="99" r="D17">
        <f>INDIRECT("Hallazgos!I"&amp;A22)</f>
        <v/>
      </c>
      <c s="100" r="E17" t="n">
        <v>16</v>
      </c>
      <c s="101" r="F17">
        <f>IF(G17=1,"Cerrado",IF(H17=1,"Parcialmente cerrado","Abierto"))</f>
        <v/>
      </c>
      <c s="102" r="G17">
        <f>IF(E17=0,1,0)</f>
        <v/>
      </c>
      <c s="102" r="H17">
        <f>IF(AND(D17-E17&gt;0,D17-E17&lt;D17),1,0)</f>
        <v/>
      </c>
    </row>
    <row customHeight="1" s="134" r="18" ht="15.75" spans="1:11">
      <c s="105" r="A18">
        <f>A17+10</f>
        <v/>
      </c>
      <c s="98" r="B18" t="s">
        <v>949</v>
      </c>
      <c s="99" r="C18">
        <f>INDIRECT("Hallazgos!B"&amp;A23)</f>
        <v/>
      </c>
      <c s="99" r="D18">
        <f>INDIRECT("Hallazgos!I"&amp;A23)</f>
        <v/>
      </c>
      <c s="100" r="E18" t="n">
        <v>17</v>
      </c>
      <c s="101" r="F18">
        <f>IF(G18=1,"Cerrado",IF(H18=1,"Parcialmente cerrado","Abierto"))</f>
        <v/>
      </c>
      <c s="102" r="G18">
        <f>IF(E18=0,1,0)</f>
        <v/>
      </c>
      <c s="102" r="H18">
        <f>IF(AND(D18-E18&gt;0,D18-E18&lt;D18),1,0)</f>
        <v/>
      </c>
    </row>
    <row customHeight="1" s="134" r="19" ht="15.75" spans="1:11">
      <c s="105" r="A19">
        <f>A18+10</f>
        <v/>
      </c>
      <c s="98" r="B19" t="s">
        <v>949</v>
      </c>
      <c s="99" r="C19">
        <f>INDIRECT("Hallazgos!B"&amp;A24)</f>
        <v/>
      </c>
      <c s="99" r="D19">
        <f>INDIRECT("Hallazgos!I"&amp;A24)</f>
        <v/>
      </c>
      <c s="100" r="E19" t="n">
        <v>18</v>
      </c>
      <c s="101" r="F19">
        <f>IF(G19=1,"Cerrado",IF(H19=1,"Parcialmente cerrado","Abierto"))</f>
        <v/>
      </c>
      <c s="102" r="G19">
        <f>IF(E19=0,1,0)</f>
        <v/>
      </c>
      <c s="102" r="H19">
        <f>IF(AND(D19-E19&gt;0,D19-E19&lt;D19),1,0)</f>
        <v/>
      </c>
    </row>
    <row customHeight="1" s="134" r="20" ht="15.75" spans="1:11">
      <c s="105" r="A20">
        <f>A19+10</f>
        <v/>
      </c>
      <c s="98" r="B20" t="s">
        <v>949</v>
      </c>
      <c s="99" r="C20">
        <f>INDIRECT("Hallazgos!B"&amp;A25)</f>
        <v/>
      </c>
      <c s="99" r="D20">
        <f>INDIRECT("Hallazgos!I"&amp;A25)</f>
        <v/>
      </c>
      <c s="100" r="E20" t="n">
        <v>0</v>
      </c>
      <c s="101" r="F20">
        <f>IF(G20=1,"Cerrado",IF(H20=1,"Parcialmente cerrado","Abierto"))</f>
        <v/>
      </c>
      <c s="102" r="G20">
        <f>IF(E20=0,1,0)</f>
        <v/>
      </c>
      <c s="102" r="H20">
        <f>IF(AND(D20-E20&gt;0,D20-E20&lt;D20),1,0)</f>
        <v/>
      </c>
    </row>
    <row customHeight="1" s="134" r="21" ht="15.75" spans="1:11">
      <c s="19" r="A21">
        <f>A20+10</f>
        <v/>
      </c>
    </row>
    <row customHeight="1" s="134" r="22" ht="15.75" spans="1:11">
      <c s="19" r="A22">
        <f>A21+10</f>
        <v/>
      </c>
    </row>
    <row customHeight="1" s="134" r="23" ht="15.75" spans="1:11">
      <c s="19" r="A23">
        <f>A22+10</f>
        <v/>
      </c>
    </row>
    <row customHeight="1" s="134" r="24" ht="15.75" spans="1:11">
      <c s="19" r="A24">
        <f>A23+10</f>
        <v/>
      </c>
    </row>
    <row customHeight="1" s="134" r="25" ht="15.75" spans="1:11">
      <c s="19" r="A25">
        <f>A24+10</f>
        <v/>
      </c>
    </row>
    <row customHeight="1" s="134" r="26" ht="15.75" spans="1:11">
      <c s="74" r="A26">
        <f>A25+10</f>
        <v/>
      </c>
      <c s="74" r="B26" t="n"/>
      <c s="74" r="C26">
        <f>INDIRECT("Hallazgos!B"&amp;A26)</f>
        <v/>
      </c>
      <c s="74" r="D26" t="n"/>
    </row>
    <row customHeight="1" s="134" r="27" ht="15.75" spans="1:11">
      <c s="74" r="A27">
        <f>A26+10</f>
        <v/>
      </c>
      <c s="74" r="B27" t="n"/>
      <c s="74" r="C27">
        <f>INDIRECT("Hallazgos!B"&amp;A27)</f>
        <v/>
      </c>
      <c s="74" r="D27" t="n"/>
    </row>
    <row customHeight="1" s="134" r="28" ht="15.75" spans="1:11">
      <c s="74" r="A28">
        <f>A27+10</f>
        <v/>
      </c>
      <c s="74" r="B28" t="n"/>
      <c s="74" r="C28">
        <f>INDIRECT("Hallazgos!B"&amp;A28)</f>
        <v/>
      </c>
      <c s="74" r="D28" t="n"/>
      <c s="74" r="E28" t="n"/>
      <c s="74" r="F28" t="n"/>
      <c s="74" r="G28" t="n"/>
      <c s="74" r="H28" t="n"/>
    </row>
    <row customHeight="1" s="134" r="29" ht="15.75" spans="1:11">
      <c s="74" r="A29">
        <f>A28+10</f>
        <v/>
      </c>
      <c s="74" r="B29" t="n"/>
      <c s="74" r="C29">
        <f>INDIRECT("Hallazgos!B"&amp;A29)</f>
        <v/>
      </c>
      <c s="74" r="D29" t="n"/>
    </row>
    <row customHeight="1" s="134" r="30" ht="15.75" spans="1:11">
      <c s="74" r="A30">
        <f>A29+10</f>
        <v/>
      </c>
      <c s="74" r="B30" t="n"/>
      <c s="74" r="C30">
        <f>INDIRECT("Hallazgos!B"&amp;A30)</f>
        <v/>
      </c>
      <c s="74" r="D30" t="n"/>
    </row>
    <row customHeight="1" s="134" r="31" ht="15.75" spans="1:11">
      <c s="74" r="A31">
        <f>A30+10</f>
        <v/>
      </c>
      <c s="74" r="B31" t="n"/>
      <c s="74" r="C31">
        <f>INDIRECT("Hallazgos!B"&amp;A31)</f>
        <v/>
      </c>
      <c s="74" r="D31" t="n"/>
    </row>
    <row customHeight="1" s="134" r="32" ht="15.75" spans="1:11">
      <c s="74" r="A32">
        <f>A31+10</f>
        <v/>
      </c>
      <c s="74" r="B32" t="n"/>
      <c s="74" r="C32">
        <f>INDIRECT("Hallazgos!B"&amp;A32)</f>
        <v/>
      </c>
      <c s="74" r="D32" t="n"/>
    </row>
    <row customHeight="1" s="134" r="33" ht="15.75" spans="1:11">
      <c s="74" r="A33">
        <f>A32+10</f>
        <v/>
      </c>
      <c s="74" r="B33" t="n"/>
      <c s="74" r="C33">
        <f>INDIRECT("Hallazgos!B"&amp;A33)</f>
        <v/>
      </c>
      <c s="74" r="D33" t="n"/>
    </row>
  </sheetData>
  <dataValidations count="1">
    <dataValidation allowBlank="0" operator="between" showDropDown="0" showErrorMessage="1" showInputMessage="0" sqref="B2:B20"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3.xml><?xml version="1.0" encoding="utf-8"?>
<worksheet xmlns="http://schemas.openxmlformats.org/spreadsheetml/2006/main">
  <sheetPr filterMode="0">
    <tabColor rgb="FFFF00FF"/>
    <outlinePr summaryBelow="1" summaryRight="1"/>
    <pageSetUpPr fitToPage="0"/>
  </sheetPr>
  <dimension ref="A1:AB44"/>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7.280612244898"/>
    <col customWidth="1" max="2" min="2" width="6.47959183673469"/>
    <col customWidth="1" max="3" min="3" width="2.02551020408163"/>
    <col customWidth="1" max="4" min="4" width="5.53571428571429"/>
    <col customWidth="1" max="5" min="5" width="19.3061224489796"/>
    <col customWidth="1" max="11" min="6" width="5.53571428571429"/>
    <col customWidth="1" max="12" min="12" width="9.045918367346941"/>
    <col customWidth="1" max="15" min="13" width="5.53571428571429"/>
    <col customWidth="1" max="16" min="16" width="47.9234693877551"/>
    <col customWidth="1" max="17" min="17" width="4.05102040816327"/>
    <col customWidth="1" max="21" min="18" width="13.6326530612245"/>
    <col customWidth="1" max="22" min="22" width="2.15816326530612"/>
    <col customWidth="1" max="23" min="23" width="13.6326530612245"/>
    <col customWidth="1" max="24" min="24" width="4.05102040816327"/>
    <col customWidth="1" max="25" min="25" width="4.32142857142857"/>
    <col customWidth="1" max="26" min="26" width="13.6326530612245"/>
    <col customWidth="1" max="27" min="27" width="3.91326530612245"/>
    <col customWidth="1" max="28" min="28" width="5.26530612244898"/>
    <col customWidth="1" max="1025" min="29" width="13.6326530612245"/>
  </cols>
  <sheetData>
    <row customHeight="1" s="134" r="1" ht="15.75" spans="1:28">
      <c s="106" r="A1" t="s">
        <v>1274</v>
      </c>
      <c s="107" r="B1" t="s">
        <v>1275</v>
      </c>
      <c s="71" r="C1" t="n"/>
      <c s="106" r="D1" t="s">
        <v>1276</v>
      </c>
      <c s="106" r="E1" t="s">
        <v>1274</v>
      </c>
      <c s="74" r="F1" t="s">
        <v>1277</v>
      </c>
      <c s="74" r="G1" t="s">
        <v>1278</v>
      </c>
      <c s="74" r="H1" t="s">
        <v>1279</v>
      </c>
      <c s="71" r="I1" t="n"/>
      <c s="71" r="J1" t="n"/>
      <c s="71" r="K1" t="n"/>
      <c s="71" r="L1">
        <f>IF(Inicio!B2="Bancolombia","CriterioBancolombia","CriterioFluid")</f>
        <v/>
      </c>
      <c s="71" r="M1" t="n"/>
      <c s="71" r="N1" t="n"/>
      <c s="71" r="O1" t="n"/>
      <c s="108" r="P1">
        <f>IFERROR(__xludf.dummyfunction("QUERY(TRANSPOSE((SPLIT(SUBSTITUTE(CONCATENATE(ARRAYFORMULA(QUERY(Hallazgos!A:E,""SELECT E"")&amp;CHAR(9))), CHAR(10), CHAR(9)),CHAR(9)))),""SELECT Col1 WHERE Col1 starts with 'REQ'"")"),"REQ.0001 El mecanismo de administración de un sistema, debe ser accesible solo desde segmentos de red de gestión o administrativos.")</f>
        <v/>
      </c>
      <c s="108" r="Q1">
        <f>IFERROR(MATCH(LEFT(P1,8),INDIRECT($L$1&amp;"!A:A"),1),2)</f>
        <v/>
      </c>
      <c s="108" r="R1">
        <f>IF(Q1=2,"",INDIRECT($L$1&amp;"!C"&amp;Q1))</f>
        <v/>
      </c>
      <c s="108" r="S1">
        <f>IF(Q1=2,"",INDIRECT($L$1&amp;"!D"&amp;Q1))</f>
        <v/>
      </c>
      <c s="108" r="T1">
        <f>IF(Q1=2,"",INDIRECT($L$1&amp;"!E"&amp;Q1))</f>
        <v/>
      </c>
      <c s="108" r="U1">
        <f>IF(Q1=2,"",INDIRECT($L$1&amp;"!F"&amp;Q1))</f>
        <v/>
      </c>
      <c s="108" r="V1" t="n"/>
      <c s="108" r="W1">
        <f>IFERROR(__xludf.dummyfunction("ArrayFormula(Query(IF({1,1},IF(S:S="""","""",S:S)),""SELECT Col1, COUNT(Col2) WHERE Col1 &lt;&gt; '' GROUP BY Col1 Label Col1 '', COUNT(Col2) ''""))"),"Activos de información")</f>
        <v/>
      </c>
      <c s="108" r="X1" t="n">
        <v>1</v>
      </c>
      <c s="108" r="Y1">
        <f>IFERROR(__xludf.dummyfunction("IF(W1="""","""",QUERY(Hallazgos!C:H,""SELECT max(H) WHERE E CONTAINS 'Activo:""&amp;W1&amp;""' LABEL max(H) ''""))"),"10")</f>
        <v/>
      </c>
      <c s="108" r="Z1">
        <f>IFERROR(__xludf.dummyfunction("ArrayFormula(Query(IF({1,1},IF(T:T="""","""",T:T)),""SELECT Col1, COUNT(Col2) WHERE Col1 &lt;&gt; '' GROUP BY Col1 Label Col1 '', COUNT(Col2) ''""))"),"Adherencia")</f>
        <v/>
      </c>
      <c s="108" r="AA1" t="n">
        <v>1</v>
      </c>
      <c s="108" r="AB1">
        <f>IFERROR(__xludf.dummyfunction("IF(Z1="""","""",QUERY(Hallazgos!C:H,""SELECT max(H) WHERE E CONTAINS 'Alcance:""&amp;Z1&amp;""' LABEL max(H) ''""))"),"10")</f>
        <v/>
      </c>
    </row>
    <row customHeight="1" s="134" r="2" ht="15.75" spans="1:28">
      <c s="106" r="A2">
        <f>IFERROR(__xludf.dummyfunction("QUERY(Z:AA,""SELECT Z, AA WHERE Z &lt;&gt;'' ORDER BY AA DESC"")"),"Confidencialidad")</f>
        <v/>
      </c>
      <c s="74" r="B2" t="n">
        <v>2</v>
      </c>
      <c s="71" r="C2" t="n"/>
      <c s="106" r="D2">
        <f>IFERROR(__xludf.dummyfunction("QUERY(Z:AB,""SELECT AB, Z WHERE Z&lt;&gt;'' ORDER BY AB DESC"")"),"10")</f>
        <v/>
      </c>
      <c s="109" r="E2" t="s">
        <v>68</v>
      </c>
      <c s="0" r="F2">
        <f>IF(D2&gt;6.9,D2,0)</f>
        <v/>
      </c>
      <c s="0" r="G2">
        <f>IF(AND(D2&lt;7,D2&gt;3.9),D2,0)</f>
        <v/>
      </c>
      <c s="0" r="H2">
        <f>IF(D2&lt;4,D2,0)</f>
        <v/>
      </c>
      <c s="71" r="I2" t="n"/>
      <c s="71" r="J2" t="n"/>
      <c s="71" r="K2" t="n"/>
      <c s="71" r="L2" t="n"/>
      <c s="71" r="M2" t="n"/>
      <c s="71" r="N2" t="n"/>
      <c s="71" r="O2" t="n"/>
      <c s="110" r="P2" t="s">
        <v>1280</v>
      </c>
      <c s="108" r="Q2">
        <f>IFERROR(MATCH(LEFT(P2,8),INDIRECT($L$1&amp;"!A:A"),1),2)</f>
        <v/>
      </c>
      <c s="108" r="R2">
        <f>IF(Q2=2,"",INDIRECT($L$1&amp;"!C"&amp;Q2))</f>
        <v/>
      </c>
      <c s="108" r="S2">
        <f>IF(Q2=2,"",INDIRECT($L$1&amp;"!D"&amp;Q2))</f>
        <v/>
      </c>
      <c s="108" r="T2">
        <f>IF(Q2=2,"",INDIRECT($L$1&amp;"!E"&amp;Q2))</f>
        <v/>
      </c>
      <c s="108" r="U2">
        <f>IF(Q2=2,"",INDIRECT($L$1&amp;"!F"&amp;Q2))</f>
        <v/>
      </c>
      <c s="108" r="V2" t="n"/>
      <c s="108" r="W2" t="s">
        <v>139</v>
      </c>
      <c s="108" r="X2" t="n">
        <v>1</v>
      </c>
      <c s="108" r="Y2">
        <f>IFERROR(__xludf.dummyfunction("IF(W2="""","""",QUERY(Hallazgos!C:H,""SELECT max(H) WHERE E CONTAINS 'Activo:""&amp;W2&amp;""' LABEL max(H) ''""))"),"10")</f>
        <v/>
      </c>
      <c s="108" r="Z2" t="s">
        <v>142</v>
      </c>
      <c s="108" r="AA2" t="n">
        <v>1</v>
      </c>
      <c s="108" r="AB2">
        <f>IFERROR(__xludf.dummyfunction("IF(Z2="""","""",QUERY(Hallazgos!C:H,""SELECT max(H) WHERE E CONTAINS 'Alcance:""&amp;Z2&amp;""' LABEL max(H) ''""))"),"10")</f>
        <v/>
      </c>
    </row>
    <row customHeight="1" s="134" r="3" ht="15.75" spans="1:28">
      <c s="106" r="A3" t="s">
        <v>68</v>
      </c>
      <c s="74" r="B3" t="n">
        <v>1</v>
      </c>
      <c s="71" r="C3" t="n"/>
      <c s="106" r="D3" t="n">
        <v>10</v>
      </c>
      <c s="109" r="E3" t="s">
        <v>142</v>
      </c>
      <c s="0" r="F3">
        <f>IF(D3&gt;6.9,D3,0)</f>
        <v/>
      </c>
      <c s="0" r="G3">
        <f>IF(AND(D3&lt;7,D3&gt;3.9),D3,0)</f>
        <v/>
      </c>
      <c s="0" r="H3">
        <f>IF(D3&lt;4,D3,0)</f>
        <v/>
      </c>
      <c s="71" r="I3" t="n"/>
      <c s="71" r="J3" t="n"/>
      <c s="71" r="K3" t="n"/>
      <c s="71" r="L3" t="n"/>
      <c s="71" r="M3" t="n"/>
      <c s="71" r="N3" t="n"/>
      <c s="71" r="O3" t="n"/>
      <c s="108" r="P3" t="s">
        <v>1281</v>
      </c>
      <c s="108" r="Q3">
        <f>IFERROR(MATCH(LEFT(P3,8),INDIRECT($L$1&amp;"!A:A"),1),2)</f>
        <v/>
      </c>
      <c s="108" r="R3">
        <f>IF(Q3=2,"",INDIRECT($L$1&amp;"!C"&amp;Q3))</f>
        <v/>
      </c>
      <c s="108" r="S3">
        <f>IF(Q3=2,"",INDIRECT($L$1&amp;"!D"&amp;Q3))</f>
        <v/>
      </c>
      <c s="108" r="T3">
        <f>IF(Q3=2,"",INDIRECT($L$1&amp;"!E"&amp;Q3))</f>
        <v/>
      </c>
      <c s="108" r="U3">
        <f>IF(Q3=2,"",INDIRECT($L$1&amp;"!F"&amp;Q3))</f>
        <v/>
      </c>
      <c s="108" r="V3" t="n"/>
      <c s="108" r="W3" t="s">
        <v>231</v>
      </c>
      <c s="108" r="X3" t="n">
        <v>1</v>
      </c>
      <c s="108" r="Y3">
        <f>IFERROR(__xludf.dummyfunction("IF(W3="""","""",QUERY(Hallazgos!C:H,""SELECT max(H) WHERE E CONTAINS 'Activo:""&amp;W3&amp;""' LABEL max(H) ''""))"),"10")</f>
        <v/>
      </c>
      <c s="108" r="Z3" t="s">
        <v>127</v>
      </c>
      <c s="108" r="AA3" t="n">
        <v>2</v>
      </c>
      <c s="108" r="AB3">
        <f>IFERROR(__xludf.dummyfunction("IF(Z3="""","""",QUERY(Hallazgos!C:H,""SELECT max(H) WHERE E CONTAINS 'Alcance:""&amp;Z3&amp;""' LABEL max(H) ''""))"),"10")</f>
        <v/>
      </c>
    </row>
    <row customHeight="1" s="134" r="4" ht="15.75" spans="1:28">
      <c s="106" r="A4" t="s">
        <v>142</v>
      </c>
      <c s="74" r="B4" t="n">
        <v>1</v>
      </c>
      <c s="71" r="C4" t="n"/>
      <c s="106" r="D4" t="n">
        <v>10</v>
      </c>
      <c s="109" r="E4" t="s">
        <v>127</v>
      </c>
      <c s="0" r="F4">
        <f>IF(D4&gt;6.9,D4,0)</f>
        <v/>
      </c>
      <c s="0" r="G4">
        <f>IF(AND(D4&lt;7,D4&gt;3.9),D4,0)</f>
        <v/>
      </c>
      <c s="0" r="H4">
        <f>IF(D4&lt;4,D4,0)</f>
        <v/>
      </c>
      <c s="71" r="I4" t="n"/>
      <c s="71" r="J4" t="n"/>
      <c s="71" r="K4" t="n"/>
      <c s="71" r="L4" t="n"/>
      <c s="71" r="M4" t="n"/>
      <c s="71" r="N4" t="n"/>
      <c s="71" r="O4" t="n"/>
      <c s="108" r="P4" t="s">
        <v>1282</v>
      </c>
      <c s="108" r="Q4">
        <f>IFERROR(MATCH(LEFT(P4,8),INDIRECT($L$1&amp;"!A:A"),1),2)</f>
        <v/>
      </c>
      <c s="108" r="R4">
        <f>IF(Q4=2,"",INDIRECT($L$1&amp;"!C"&amp;Q4))</f>
        <v/>
      </c>
      <c s="108" r="S4">
        <f>IF(Q4=2,"",INDIRECT($L$1&amp;"!D"&amp;Q4))</f>
        <v/>
      </c>
      <c s="108" r="T4">
        <f>IF(Q4=2,"",INDIRECT($L$1&amp;"!E"&amp;Q4))</f>
        <v/>
      </c>
      <c s="108" r="U4">
        <f>IF(Q4=2,"",INDIRECT($L$1&amp;"!F"&amp;Q4))</f>
        <v/>
      </c>
      <c s="108" r="V4" t="n"/>
      <c s="108" r="W4" t="s">
        <v>394</v>
      </c>
      <c s="108" r="X4" t="n">
        <v>1</v>
      </c>
      <c s="108" r="Y4">
        <f>IFERROR(__xludf.dummyfunction("IF(W4="""","""",QUERY(Hallazgos!C:H,""SELECT max(H) WHERE E CONTAINS 'Activo:""&amp;W4&amp;""' LABEL max(H) ''""))"),"10")</f>
        <v/>
      </c>
      <c s="108" r="Z4" t="s">
        <v>160</v>
      </c>
      <c s="108" r="AA4" t="n">
        <v>1</v>
      </c>
      <c s="108" r="AB4">
        <f>IFERROR(__xludf.dummyfunction("IF(Z4="""","""",QUERY(Hallazgos!C:H,""SELECT max(H) WHERE E CONTAINS 'Alcance:""&amp;Z4&amp;""' LABEL max(H) ''""))"),"10")</f>
        <v/>
      </c>
    </row>
    <row customHeight="1" s="134" r="5" ht="15.75" spans="1:28">
      <c s="106" r="A5" t="s">
        <v>160</v>
      </c>
      <c s="74" r="B5" t="n">
        <v>1</v>
      </c>
      <c s="71" r="C5" t="n"/>
      <c s="106" r="D5" t="n">
        <v>10</v>
      </c>
      <c s="109" r="E5" t="s">
        <v>160</v>
      </c>
      <c s="0" r="F5">
        <f>IF(D5&gt;6.9,D5,0)</f>
        <v/>
      </c>
      <c s="0" r="G5">
        <f>IF(AND(D5&lt;7,D5&gt;3.9),D5,0)</f>
        <v/>
      </c>
      <c s="0" r="H5">
        <f>IF(D5&lt;4,D5,0)</f>
        <v/>
      </c>
      <c s="71" r="I5" t="n"/>
      <c s="71" r="J5" t="n"/>
      <c s="71" r="K5" t="n"/>
      <c s="71" r="L5" t="n"/>
      <c s="71" r="M5" t="n"/>
      <c s="71" r="N5" t="n"/>
      <c s="71" r="O5" t="n"/>
      <c s="108" r="P5" t="s">
        <v>1283</v>
      </c>
      <c s="108" r="Q5">
        <f>IFERROR(MATCH(LEFT(P5,8),INDIRECT($L$1&amp;"!A:A"),1),2)</f>
        <v/>
      </c>
      <c s="108" r="R5">
        <f>IF(Q5=2,"",INDIRECT($L$1&amp;"!C"&amp;Q5))</f>
        <v/>
      </c>
      <c s="108" r="S5">
        <f>IF(Q5=2,"",INDIRECT($L$1&amp;"!D"&amp;Q5))</f>
        <v/>
      </c>
      <c s="108" r="T5">
        <f>IF(Q5=2,"",INDIRECT($L$1&amp;"!E"&amp;Q5))</f>
        <v/>
      </c>
      <c s="108" r="U5">
        <f>IF(Q5=2,"",INDIRECT($L$1&amp;"!F"&amp;Q5))</f>
        <v/>
      </c>
      <c s="108" r="V5" t="n"/>
      <c s="108" r="W5" t="s">
        <v>845</v>
      </c>
      <c s="108" r="X5" t="n">
        <v>1</v>
      </c>
      <c s="108" r="Y5">
        <f>IFERROR(__xludf.dummyfunction("IF(W5="""","""",QUERY(Hallazgos!C:H,""SELECT max(H) WHERE E CONTAINS 'Activo:""&amp;W5&amp;""' LABEL max(H) ''""))"),"10")</f>
        <v/>
      </c>
      <c s="108" r="Z5" t="n"/>
      <c s="108" r="AA5" t="n"/>
      <c s="108" r="AB5">
        <f>IFERROR(__xludf.dummyfunction("IF(Z5="""","""",QUERY(Hallazgos!C:H,""SELECT max(H) WHERE E CONTAINS 'Alcance:""&amp;Z5&amp;""' LABEL max(H) ''""))"),"")</f>
        <v/>
      </c>
    </row>
    <row customHeight="1" s="134" r="6" ht="15.75" spans="1:28">
      <c s="106" r="A6" t="n"/>
      <c s="74" r="B6" t="n"/>
      <c s="71" r="C6" t="n"/>
      <c s="106" r="D6" t="n"/>
      <c s="109" r="E6" t="n"/>
      <c s="0" r="F6">
        <f>IF(D6&gt;6.9,D6,0)</f>
        <v/>
      </c>
      <c s="0" r="G6">
        <f>IF(AND(D6&lt;7,D6&gt;3.9),D6,0)</f>
        <v/>
      </c>
      <c s="0" r="H6">
        <f>IF(D6&lt;4,D6,0)</f>
        <v/>
      </c>
      <c s="71" r="I6" t="n"/>
      <c s="71" r="J6" t="n"/>
      <c s="71" r="K6" t="n"/>
      <c s="71" r="L6" t="n"/>
      <c s="71" r="M6" t="n"/>
      <c s="71" r="N6" t="n"/>
      <c s="71" r="O6" t="n"/>
      <c s="108" r="P6" t="n"/>
      <c s="108" r="Q6">
        <f>IFERROR(MATCH(LEFT(P6,8),INDIRECT($L$1&amp;"!A:A"),1),2)</f>
        <v/>
      </c>
      <c s="108" r="R6">
        <f>IF(Q6=2,"",INDIRECT($L$1&amp;"!C"&amp;Q6))</f>
        <v/>
      </c>
      <c s="108" r="S6">
        <f>IF(Q6=2,"",INDIRECT($L$1&amp;"!D"&amp;Q6))</f>
        <v/>
      </c>
      <c s="108" r="T6">
        <f>IF(Q6=2,"",INDIRECT($L$1&amp;"!E"&amp;Q6))</f>
        <v/>
      </c>
      <c s="108" r="U6">
        <f>IF(Q6=2,"",INDIRECT($L$1&amp;"!F"&amp;Q6))</f>
        <v/>
      </c>
      <c s="108" r="V6" t="n"/>
      <c s="108" r="W6" t="n"/>
      <c s="108" r="X6" t="n"/>
      <c s="108" r="Y6">
        <f>IFERROR(__xludf.dummyfunction("IF(W6="""","""",QUERY(Hallazgos!C:H,""SELECT max(H) WHERE E CONTAINS 'Activo:""&amp;W6&amp;""' LABEL max(H) ''""))"),"")</f>
        <v/>
      </c>
      <c s="108" r="Z6" t="n"/>
      <c s="108" r="AA6" t="n"/>
      <c s="108" r="AB6">
        <f>IFERROR(__xludf.dummyfunction("IF(Z6="""","""",QUERY(Hallazgos!C:H,""SELECT max(H) WHERE E CONTAINS 'Alcance:""&amp;Z6&amp;""' LABEL max(H) ''""))"),"")</f>
        <v/>
      </c>
    </row>
    <row customHeight="1" s="134" r="7" ht="15.75" spans="1:28">
      <c s="106" r="A7" t="n"/>
      <c s="74" r="B7" t="n"/>
      <c s="74" r="C7" t="n"/>
      <c s="106" r="D7" t="n"/>
      <c s="109" r="E7" t="n"/>
      <c s="0" r="F7">
        <f>IF(D7&gt;6.9,D7,0)</f>
        <v/>
      </c>
      <c s="0" r="G7">
        <f>IF(AND(D7&lt;7,D7&gt;3.9),D7,0)</f>
        <v/>
      </c>
      <c s="0" r="H7">
        <f>IF(D7&lt;4,D7,0)</f>
        <v/>
      </c>
      <c s="71" r="I7" t="n"/>
      <c s="71" r="J7" t="n"/>
      <c s="71" r="K7" t="n"/>
      <c s="71" r="L7" t="n"/>
      <c s="71" r="M7" t="n"/>
      <c s="71" r="N7" t="n"/>
      <c s="71" r="O7" t="n"/>
      <c s="111" r="P7" t="n"/>
      <c s="108" r="Q7">
        <f>IFERROR(MATCH(LEFT(P7,8),INDIRECT($L$1&amp;"!A:A"),1),2)</f>
        <v/>
      </c>
      <c s="108" r="R7">
        <f>IF(Q7=2,"",INDIRECT($L$1&amp;"!C"&amp;Q7))</f>
        <v/>
      </c>
      <c s="108" r="S7">
        <f>IF(Q7=2,"",INDIRECT($L$1&amp;"!D"&amp;Q7))</f>
        <v/>
      </c>
      <c s="108" r="T7">
        <f>IF(Q7=2,"",INDIRECT($L$1&amp;"!E"&amp;Q7))</f>
        <v/>
      </c>
      <c s="108" r="U7">
        <f>IF(Q7=2,"",INDIRECT($L$1&amp;"!F"&amp;Q7))</f>
        <v/>
      </c>
      <c s="108" r="V7" t="n"/>
      <c s="108" r="W7" t="n"/>
      <c s="108" r="X7" t="n"/>
      <c s="108" r="Y7">
        <f>IFERROR(__xludf.dummyfunction("IF(W7="""","""",QUERY(Hallazgos!C:H,""SELECT max(H) WHERE E CONTAINS 'Activo:""&amp;W7&amp;""' LABEL max(H) ''""))"),"")</f>
        <v/>
      </c>
      <c s="108" r="Z7" t="n"/>
      <c s="108" r="AA7" t="n"/>
      <c s="108" r="AB7">
        <f>IFERROR(__xludf.dummyfunction("IF(Z7="""","""",QUERY(Hallazgos!C:H,""SELECT max(H) WHERE E CONTAINS 'Alcance:""&amp;Z7&amp;""' LABEL max(H) ''""))"),"")</f>
        <v/>
      </c>
    </row>
    <row customHeight="1" s="134" r="8" ht="15.75" spans="1:28">
      <c s="112" r="A8" t="n"/>
      <c s="113" r="B8" t="n"/>
      <c s="74" r="C8" t="n"/>
      <c s="106" r="D8" t="n"/>
      <c s="109" r="E8" t="n"/>
      <c s="0" r="F8">
        <f>IF(D8&gt;6.9,D8,0)</f>
        <v/>
      </c>
      <c s="0" r="G8">
        <f>IF(AND(D8&lt;7,D8&gt;3.9),D8,0)</f>
        <v/>
      </c>
      <c s="0" r="H8">
        <f>IF(D8&lt;4,D8,0)</f>
        <v/>
      </c>
      <c s="71" r="I8" t="n"/>
      <c s="71" r="J8" t="n"/>
      <c s="71" r="K8" t="n"/>
      <c s="71" r="L8" t="n"/>
      <c s="71" r="M8" t="n"/>
      <c s="71" r="N8" t="n"/>
      <c s="71" r="O8" t="n"/>
      <c s="111" r="P8" t="n"/>
      <c s="108" r="Q8">
        <f>IFERROR(MATCH(LEFT(P8,8),INDIRECT($L$1&amp;"!A:A"),1),2)</f>
        <v/>
      </c>
      <c s="108" r="R8">
        <f>IF(Q8=2,"",INDIRECT($L$1&amp;"!C"&amp;Q8))</f>
        <v/>
      </c>
      <c s="108" r="S8">
        <f>IF(Q8=2,"",INDIRECT($L$1&amp;"!D"&amp;Q8))</f>
        <v/>
      </c>
      <c s="108" r="T8">
        <f>IF(Q8=2,"",INDIRECT($L$1&amp;"!E"&amp;Q8))</f>
        <v/>
      </c>
      <c s="108" r="U8">
        <f>IF(Q8=2,"",INDIRECT($L$1&amp;"!F"&amp;Q8))</f>
        <v/>
      </c>
      <c s="108" r="V8" t="n"/>
      <c s="108" r="W8" t="n"/>
      <c s="108" r="X8" t="n"/>
      <c s="108" r="Y8">
        <f>IFERROR(__xludf.dummyfunction("IF(W8="""","""",QUERY(Hallazgos!C:H,""SELECT max(H) WHERE E CONTAINS 'Activo:""&amp;W8&amp;""' LABEL max(H) ''""))"),"")</f>
        <v/>
      </c>
      <c s="108" r="Z8" t="n"/>
      <c s="108" r="AA8" t="n"/>
      <c s="108" r="AB8">
        <f>IFERROR(__xludf.dummyfunction("IF(Z8="""","""",QUERY(Hallazgos!C:H,""SELECT max(H) WHERE E CONTAINS 'Alcance:""&amp;Z8&amp;""' LABEL max(H) ''""))"),"")</f>
        <v/>
      </c>
    </row>
    <row customHeight="1" s="134" r="9" ht="15.75" spans="1:28">
      <c s="106" r="A9" t="n"/>
      <c s="74" r="B9" t="n"/>
      <c s="74" r="C9" t="n"/>
      <c s="106" r="D9" t="n"/>
      <c s="109" r="E9" t="n"/>
      <c s="0" r="F9">
        <f>IF(D9&gt;6.9,D9,0)</f>
        <v/>
      </c>
      <c s="0" r="G9">
        <f>IF(AND(D9&lt;7,D9&gt;3.9),D9,0)</f>
        <v/>
      </c>
      <c s="0" r="H9">
        <f>IF(D9&lt;4,D9,0)</f>
        <v/>
      </c>
      <c s="71" r="I9" t="n"/>
      <c s="71" r="J9" t="n"/>
      <c s="71" r="K9" t="n"/>
      <c s="71" r="L9" t="n"/>
      <c s="71" r="M9" t="n"/>
      <c s="71" r="N9" t="n"/>
      <c s="71" r="O9" t="n"/>
      <c s="108" r="P9" t="n"/>
      <c s="108" r="Q9">
        <f>IFERROR(MATCH(LEFT(P9,8),INDIRECT($L$1&amp;"!A:A"),1),2)</f>
        <v/>
      </c>
      <c s="108" r="R9">
        <f>IF(Q9=2,"",INDIRECT($L$1&amp;"!C"&amp;Q9))</f>
        <v/>
      </c>
      <c s="108" r="S9">
        <f>IF(Q9=2,"",INDIRECT($L$1&amp;"!D"&amp;Q9))</f>
        <v/>
      </c>
      <c s="108" r="T9">
        <f>IF(Q9=2,"",INDIRECT($L$1&amp;"!E"&amp;Q9))</f>
        <v/>
      </c>
      <c s="108" r="U9">
        <f>IF(Q9=2,"",INDIRECT($L$1&amp;"!F"&amp;Q9))</f>
        <v/>
      </c>
      <c s="108" r="V9" t="n"/>
      <c s="108" r="W9" t="n"/>
      <c s="108" r="X9" t="n"/>
      <c s="108" r="Y9">
        <f>IFERROR(__xludf.dummyfunction("IF(W9="""","""",QUERY(Hallazgos!C:H,""SELECT max(H) WHERE E CONTAINS 'Activo:""&amp;W9&amp;""' LABEL max(H) ''""))"),"")</f>
        <v/>
      </c>
      <c s="108" r="Z9" t="n"/>
      <c s="108" r="AA9" t="n"/>
      <c s="108" r="AB9">
        <f>IFERROR(__xludf.dummyfunction("IF(Z9="""","""",QUERY(Hallazgos!C:H,""SELECT max(H) WHERE E CONTAINS 'Alcance:""&amp;Z9&amp;""' LABEL max(H) ''""))"),"")</f>
        <v/>
      </c>
    </row>
    <row customHeight="1" s="134" r="10" ht="15.75" spans="1:28">
      <c s="106" r="A10" t="n"/>
      <c s="74" r="B10" t="n"/>
      <c s="71" r="C10" t="n"/>
      <c s="106" r="D10" t="n"/>
      <c s="109" r="E10" t="n"/>
      <c s="0" r="F10">
        <f>IF(D10&gt;6.9,D10,0)</f>
        <v/>
      </c>
      <c s="0" r="G10">
        <f>IF(AND(D10&lt;7,D10&gt;3.9),D10,0)</f>
        <v/>
      </c>
      <c s="0" r="H10">
        <f>IF(D10&lt;4,D10,0)</f>
        <v/>
      </c>
      <c s="71" r="I10" t="n"/>
      <c s="71" r="J10" t="n"/>
      <c s="71" r="K10" t="n"/>
      <c s="71" r="L10" t="n"/>
      <c s="71" r="M10" t="n"/>
      <c s="71" r="N10" t="n"/>
      <c s="71" r="O10" t="n"/>
      <c s="108" r="P10" t="n"/>
      <c s="108" r="Q10">
        <f>IFERROR(MATCH(LEFT(P10,8),INDIRECT($L$1&amp;"!A:A"),1),2)</f>
        <v/>
      </c>
      <c s="108" r="R10">
        <f>IF(Q10=2,"",INDIRECT($L$1&amp;"!C"&amp;Q10))</f>
        <v/>
      </c>
      <c s="108" r="S10">
        <f>IF(Q10=2,"",INDIRECT($L$1&amp;"!D"&amp;Q10))</f>
        <v/>
      </c>
      <c s="108" r="T10">
        <f>IF(Q10=2,"",INDIRECT($L$1&amp;"!E"&amp;Q10))</f>
        <v/>
      </c>
      <c s="108" r="U10">
        <f>IF(Q10=2,"",INDIRECT($L$1&amp;"!F"&amp;Q10))</f>
        <v/>
      </c>
      <c s="108" r="V10" t="n"/>
      <c s="108" r="W10" t="n"/>
      <c s="108" r="X10" t="n"/>
      <c s="108" r="Y10">
        <f>IFERROR(__xludf.dummyfunction("IF(W10="""","""",QUERY(Hallazgos!C:H,""SELECT max(H) WHERE E CONTAINS 'Activo:""&amp;W10&amp;""' LABEL max(H) ''""))"),"")</f>
        <v/>
      </c>
      <c s="108" r="Z10" t="n"/>
      <c s="108" r="AA10" t="n"/>
      <c s="108" r="AB10">
        <f>IFERROR(__xludf.dummyfunction("IF(Z10="""","""",QUERY(Hallazgos!C:H,""SELECT max(H) WHERE E CONTAINS 'Alcance:""&amp;Z10&amp;""' LABEL max(H) ''""))"),"")</f>
        <v/>
      </c>
    </row>
    <row customHeight="1" s="134" r="11" ht="15.75" spans="1:28">
      <c s="106" r="A11" t="n"/>
      <c s="74" r="B11" t="n"/>
      <c s="71" r="C11" t="n"/>
      <c s="106" r="D11" t="n"/>
      <c s="109" r="E11" t="n"/>
      <c s="0" r="F11">
        <f>IF(D11&gt;6.9,D11,0)</f>
        <v/>
      </c>
      <c s="0" r="G11">
        <f>IF(AND(D11&lt;7,D11&gt;3.9),D11,0)</f>
        <v/>
      </c>
      <c s="0" r="H11">
        <f>IF(D11&lt;4,D11,0)</f>
        <v/>
      </c>
      <c s="71" r="I11" t="n"/>
      <c s="71" r="J11" t="n"/>
      <c s="71" r="K11" t="n"/>
      <c s="71" r="L11" t="n"/>
      <c s="71" r="M11" t="n"/>
      <c s="71" r="N11" t="n"/>
      <c s="71" r="O11" t="n"/>
      <c s="108" r="P11" t="n"/>
      <c s="108" r="Q11">
        <f>IFERROR(MATCH(LEFT(P11,8),INDIRECT($L$1&amp;"!A:A"),1),2)</f>
        <v/>
      </c>
      <c s="108" r="R11">
        <f>IF(Q11=2,"",INDIRECT($L$1&amp;"!C"&amp;Q11))</f>
        <v/>
      </c>
      <c s="108" r="S11">
        <f>IF(Q11=2,"",INDIRECT($L$1&amp;"!D"&amp;Q11))</f>
        <v/>
      </c>
      <c s="108" r="T11">
        <f>IF(Q11=2,"",INDIRECT($L$1&amp;"!E"&amp;Q11))</f>
        <v/>
      </c>
      <c s="108" r="U11">
        <f>IF(Q11=2,"",INDIRECT($L$1&amp;"!F"&amp;Q11))</f>
        <v/>
      </c>
      <c s="108" r="V11" t="n"/>
      <c s="108" r="W11" t="n"/>
      <c s="108" r="X11" t="n"/>
      <c s="108" r="Y11">
        <f>IFERROR(__xludf.dummyfunction("IF(W11="""","""",QUERY(Hallazgos!C:H,""SELECT max(H) WHERE E CONTAINS 'Activo:""&amp;W11&amp;""' LABEL max(H) ''""))"),"")</f>
        <v/>
      </c>
      <c s="108" r="Z11" t="n"/>
      <c s="108" r="AA11" t="n"/>
      <c s="108" r="AB11">
        <f>IFERROR(__xludf.dummyfunction("IF(Z11="""","""",QUERY(Hallazgos!C:H,""SELECT max(H) WHERE E CONTAINS 'Alcance:""&amp;Z11&amp;""' LABEL max(H) ''""))"),"")</f>
        <v/>
      </c>
    </row>
    <row customHeight="1" s="134" r="12" ht="15.75" spans="1:28">
      <c s="106" r="A12" t="n"/>
      <c s="74" r="B12" t="n"/>
      <c s="71" r="C12" t="n"/>
      <c s="106" r="D12" t="n"/>
      <c s="109" r="E12" t="n"/>
      <c s="0" r="F12">
        <f>IF(D12&gt;6.9,D12,0)</f>
        <v/>
      </c>
      <c s="0" r="G12">
        <f>IF(AND(D12&lt;7,D12&gt;3.9),D12,0)</f>
        <v/>
      </c>
      <c s="0" r="H12">
        <f>IF(D12&lt;4,D12,0)</f>
        <v/>
      </c>
      <c s="71" r="I12" t="n"/>
      <c s="71" r="J12" t="n"/>
      <c s="71" r="K12" t="n"/>
      <c s="71" r="L12" t="n"/>
      <c s="71" r="M12" t="n"/>
      <c s="71" r="N12" t="n"/>
      <c s="71" r="O12" t="n"/>
      <c s="108" r="P12" t="n"/>
      <c s="108" r="Q12">
        <f>IFERROR(MATCH(LEFT(P12,8),INDIRECT($L$1&amp;"!A:A"),1),2)</f>
        <v/>
      </c>
      <c s="108" r="R12">
        <f>IF(Q12=2,"",INDIRECT($L$1&amp;"!C"&amp;Q12))</f>
        <v/>
      </c>
      <c s="108" r="S12">
        <f>IF(Q12=2,"",INDIRECT($L$1&amp;"!D"&amp;Q12))</f>
        <v/>
      </c>
      <c s="108" r="T12">
        <f>IF(Q12=2,"",INDIRECT($L$1&amp;"!E"&amp;Q12))</f>
        <v/>
      </c>
      <c s="108" r="U12">
        <f>IF(Q12=2,"",INDIRECT($L$1&amp;"!F"&amp;Q12))</f>
        <v/>
      </c>
      <c s="108" r="V12" t="n"/>
      <c s="108" r="W12" t="n"/>
      <c s="108" r="X12" t="n"/>
      <c s="108" r="Y12">
        <f>IFERROR(__xludf.dummyfunction("IF(W12="""","""",QUERY(Hallazgos!C:H,""SELECT max(H) WHERE E CONTAINS 'Activo:""&amp;W12&amp;""' LABEL max(H) ''""))"),"")</f>
        <v/>
      </c>
      <c s="108" r="Z12" t="n"/>
      <c s="108" r="AA12" t="n"/>
      <c s="108" r="AB12">
        <f>IFERROR(__xludf.dummyfunction("IF(Z12="""","""",QUERY(Hallazgos!C:H,""SELECT max(H) WHERE E CONTAINS 'Alcance:""&amp;Z12&amp;""' LABEL max(H) ''""))"),"")</f>
        <v/>
      </c>
    </row>
    <row customHeight="1" s="134" r="13" ht="15.75" spans="1:28">
      <c s="112" r="A13" t="n"/>
      <c s="113" r="B13" t="n"/>
      <c s="71" r="C13" t="n"/>
      <c s="106" r="D13" t="n"/>
      <c s="109" r="E13" t="n"/>
      <c s="0" r="F13">
        <f>IF(D13&gt;6.9,D13,0)</f>
        <v/>
      </c>
      <c s="0" r="G13">
        <f>IF(AND(D13&lt;7,D13&gt;3.9),D13,0)</f>
        <v/>
      </c>
      <c s="0" r="H13">
        <f>IF(D13&lt;4,D13,0)</f>
        <v/>
      </c>
      <c s="71" r="I13" t="n"/>
      <c s="71" r="J13" t="n"/>
      <c s="71" r="K13" t="n"/>
      <c s="71" r="L13">
        <f>IFERROR(__xludf.dummyfunction("IF(I13="""","""",QUERY(Hallazgos!D:H,""SELECT max(J) WHERE G CONTAINS '""&amp;I13&amp;""' LABEL max(J) ''""))"),"")</f>
        <v/>
      </c>
      <c s="71" r="M13" t="n"/>
      <c s="71" r="N13" t="n"/>
      <c s="71" r="O13" t="n"/>
      <c s="108" r="P13" t="n"/>
      <c s="108" r="Q13">
        <f>IFERROR(MATCH(LEFT(P13,8),INDIRECT($L$1&amp;"!A:A"),1),2)</f>
        <v/>
      </c>
      <c s="108" r="R13">
        <f>IF(Q13=2,"",INDIRECT($L$1&amp;"!C"&amp;Q13))</f>
        <v/>
      </c>
      <c s="108" r="S13">
        <f>IF(Q13=2,"",INDIRECT($L$1&amp;"!D"&amp;Q13))</f>
        <v/>
      </c>
      <c s="108" r="T13">
        <f>IF(Q13=2,"",INDIRECT($L$1&amp;"!E"&amp;Q13))</f>
        <v/>
      </c>
      <c s="108" r="U13">
        <f>IF(Q13=2,"",INDIRECT($L$1&amp;"!F"&amp;Q13))</f>
        <v/>
      </c>
      <c s="108" r="V13" t="n"/>
      <c s="108" r="W13" t="n"/>
      <c s="108" r="X13" t="n"/>
      <c s="108" r="Y13">
        <f>IFERROR(__xludf.dummyfunction("IF(W13="""","""",QUERY(Hallazgos!C:H,""SELECT max(H) WHERE E CONTAINS 'Activo:""&amp;W13&amp;""' LABEL max(H) ''""))"),"")</f>
        <v/>
      </c>
      <c s="108" r="Z13" t="n"/>
      <c s="108" r="AA13" t="n"/>
      <c s="108" r="AB13">
        <f>IFERROR(__xludf.dummyfunction("IF(Z13="""","""",QUERY(Hallazgos!C:H,""SELECT max(H) WHERE E CONTAINS 'Alcance:""&amp;Z13&amp;""' LABEL max(H) ''""))"),"")</f>
        <v/>
      </c>
    </row>
    <row customHeight="1" s="134" r="14" ht="15.75" spans="1:28">
      <c s="106" r="A14" t="n"/>
      <c s="74" r="B14" t="n"/>
      <c s="71" r="C14" t="n"/>
      <c s="106" r="D14" t="n"/>
      <c s="109" r="E14" t="n"/>
      <c s="0" r="F14">
        <f>IF(D14&gt;6.9,D14,0)</f>
        <v/>
      </c>
      <c s="0" r="G14">
        <f>IF(AND(D14&lt;7,D14&gt;3.9),D14,0)</f>
        <v/>
      </c>
      <c s="0" r="H14">
        <f>IF(D14&lt;4,D14,0)</f>
        <v/>
      </c>
      <c s="71" r="I14" t="n"/>
      <c s="71" r="J14" t="n"/>
      <c s="71" r="K14" t="n"/>
      <c s="71" r="L14">
        <f>IFERROR(__xludf.dummyfunction("IF(I14="""","""",QUERY(Hallazgos!D:H,""SELECT max(J) WHERE G CONTAINS '""&amp;I14&amp;""' LABEL max(J) ''""))"),"")</f>
        <v/>
      </c>
      <c s="71" r="M14" t="n"/>
      <c s="71" r="N14" t="n"/>
      <c s="71" r="O14" t="n"/>
      <c s="108" r="P14" t="n"/>
      <c s="108" r="Q14">
        <f>IFERROR(MATCH(LEFT(P14,8),INDIRECT($L$1&amp;"!A:A"),1),2)</f>
        <v/>
      </c>
      <c s="108" r="R14">
        <f>IF(Q14=2,"",INDIRECT($L$1&amp;"!C"&amp;Q14))</f>
        <v/>
      </c>
      <c s="108" r="S14">
        <f>IF(Q14=2,"",INDIRECT($L$1&amp;"!D"&amp;Q14))</f>
        <v/>
      </c>
      <c s="108" r="T14">
        <f>IF(Q14=2,"",INDIRECT($L$1&amp;"!E"&amp;Q14))</f>
        <v/>
      </c>
      <c s="108" r="U14">
        <f>IF(Q14=2,"",INDIRECT($L$1&amp;"!F"&amp;Q14))</f>
        <v/>
      </c>
      <c s="108" r="V14" t="n"/>
      <c s="108" r="W14" t="n"/>
      <c s="108" r="X14" t="n"/>
      <c s="108" r="Y14">
        <f>IFERROR(__xludf.dummyfunction("IF(W14="""","""",QUERY(Hallazgos!C:H,""SELECT max(H) WHERE E CONTAINS 'Activo:""&amp;W14&amp;""' LABEL max(H) ''""))"),"")</f>
        <v/>
      </c>
      <c s="108" r="Z14" t="n"/>
      <c s="108" r="AA14" t="n"/>
      <c s="108" r="AB14">
        <f>IFERROR(__xludf.dummyfunction("IF(Z14="""","""",QUERY(Hallazgos!C:H,""SELECT max(H) WHERE E CONTAINS 'Alcance:""&amp;Z14&amp;""' LABEL max(H) ''""))"),"")</f>
        <v/>
      </c>
    </row>
    <row customHeight="1" s="134" r="15" ht="15.75" spans="1:28">
      <c s="106" r="A15" t="n"/>
      <c s="74" r="B15" t="n"/>
      <c s="71" r="C15" t="n"/>
      <c s="106" r="D15" t="n"/>
      <c s="109" r="E15" t="n"/>
      <c s="0" r="F15">
        <f>IF(D15&gt;6.9,D15,0)</f>
        <v/>
      </c>
      <c s="0" r="G15">
        <f>IF(AND(D15&lt;7,D15&gt;3.9),D15,0)</f>
        <v/>
      </c>
      <c s="0" r="H15">
        <f>IF(D15&lt;4,D15,0)</f>
        <v/>
      </c>
      <c s="71" r="I15" t="n"/>
      <c s="71" r="J15" t="n"/>
      <c s="71" r="K15" t="n"/>
      <c s="71" r="L15">
        <f>IFERROR(__xludf.dummyfunction("IF(I15="""","""",QUERY(Hallazgos!D:H,""SELECT max(J) WHERE G CONTAINS '""&amp;I15&amp;""' LABEL max(J) ''""))"),"")</f>
        <v/>
      </c>
      <c s="71" r="M15" t="n"/>
      <c s="71" r="N15" t="n"/>
      <c s="71" r="O15" t="n"/>
      <c s="108" r="P15" t="n"/>
      <c s="108" r="Q15">
        <f>IFERROR(MATCH(LEFT(P15,8),INDIRECT($L$1&amp;"!A:A"),1),2)</f>
        <v/>
      </c>
      <c s="108" r="R15">
        <f>IF(Q15=2,"",INDIRECT($L$1&amp;"!C"&amp;Q15))</f>
        <v/>
      </c>
      <c s="108" r="S15">
        <f>IF(Q15=2,"",INDIRECT($L$1&amp;"!D"&amp;Q15))</f>
        <v/>
      </c>
      <c s="108" r="T15">
        <f>IF(Q15=2,"",INDIRECT($L$1&amp;"!E"&amp;Q15))</f>
        <v/>
      </c>
      <c s="108" r="U15">
        <f>IF(Q15=2,"",INDIRECT($L$1&amp;"!F"&amp;Q15))</f>
        <v/>
      </c>
      <c s="108" r="V15" t="n"/>
      <c s="108" r="W15" t="n"/>
      <c s="108" r="X15" t="n"/>
      <c s="108" r="Y15">
        <f>IFERROR(__xludf.dummyfunction("IF(W15="""","""",QUERY(Hallazgos!C:H,""SELECT max(H) WHERE E CONTAINS 'Activo:""&amp;W15&amp;""' LABEL max(H) ''""))"),"")</f>
        <v/>
      </c>
      <c s="108" r="Z15" t="n"/>
      <c s="108" r="AA15" t="n"/>
      <c s="108" r="AB15">
        <f>IFERROR(__xludf.dummyfunction("IF(Z15="""","""",QUERY(Hallazgos!C:H,""SELECT max(H) WHERE E CONTAINS 'Alcance:""&amp;Z15&amp;""' LABEL max(H) ''""))"),"")</f>
        <v/>
      </c>
    </row>
    <row customHeight="1" s="134" r="16" ht="15.75" spans="1:28">
      <c s="106" r="A16" t="n"/>
      <c s="74" r="B16" t="n"/>
      <c s="71" r="C16" t="n"/>
      <c s="106" r="D16" t="n"/>
      <c s="109" r="E16" t="n"/>
      <c s="0" r="F16">
        <f>IF(D16&gt;6.9,D16,0)</f>
        <v/>
      </c>
      <c s="0" r="G16">
        <f>IF(AND(D16&lt;7,D16&gt;3.9),D16,0)</f>
        <v/>
      </c>
      <c s="0" r="H16">
        <f>IF(D16&lt;4,D16,0)</f>
        <v/>
      </c>
      <c s="71" r="I16" t="n"/>
      <c s="71" r="J16" t="n"/>
      <c s="71" r="K16" t="n"/>
      <c s="71" r="L16">
        <f>IFERROR(__xludf.dummyfunction("IF(I16="""","""",QUERY(Hallazgos!D:H,""SELECT max(J) WHERE G CONTAINS '""&amp;I16&amp;""' LABEL max(J) ''""))"),"")</f>
        <v/>
      </c>
      <c s="71" r="M16" t="n"/>
      <c s="71" r="N16" t="n"/>
      <c s="71" r="O16" t="n"/>
      <c s="108" r="P16" t="n"/>
      <c s="108" r="Q16">
        <f>IFERROR(MATCH(LEFT(P16,8),INDIRECT($L$1&amp;"!A:A"),1),2)</f>
        <v/>
      </c>
      <c s="108" r="R16">
        <f>IF(Q16=2,"",INDIRECT($L$1&amp;"!C"&amp;Q16))</f>
        <v/>
      </c>
      <c s="108" r="S16">
        <f>IF(Q16=2,"",INDIRECT($L$1&amp;"!D"&amp;Q16))</f>
        <v/>
      </c>
      <c s="108" r="T16">
        <f>IF(Q16=2,"",INDIRECT($L$1&amp;"!E"&amp;Q16))</f>
        <v/>
      </c>
      <c s="108" r="U16">
        <f>IF(Q16=2,"",INDIRECT($L$1&amp;"!F"&amp;Q16))</f>
        <v/>
      </c>
      <c s="108" r="V16" t="n"/>
      <c s="108" r="W16" t="n"/>
      <c s="108" r="X16" t="n"/>
      <c s="108" r="Y16">
        <f>IFERROR(__xludf.dummyfunction("IF(W16="""","""",QUERY(Hallazgos!C:H,""SELECT max(H) WHERE E CONTAINS 'Activo:""&amp;W16&amp;""' LABEL max(H) ''""))"),"")</f>
        <v/>
      </c>
      <c s="108" r="Z16" t="n"/>
      <c s="108" r="AA16" t="n"/>
      <c s="108" r="AB16">
        <f>IFERROR(__xludf.dummyfunction("IF(Z16="""","""",QUERY(Hallazgos!C:H,""SELECT max(H) WHERE E CONTAINS 'Alcance:""&amp;Z16&amp;""' LABEL max(H) ''""))"),"")</f>
        <v/>
      </c>
    </row>
    <row customHeight="1" s="134" r="17" ht="15.75" spans="1:28">
      <c s="106" r="A17" t="n"/>
      <c s="74" r="B17" t="n"/>
      <c s="71" r="C17" t="n"/>
      <c s="106" r="D17" t="n"/>
      <c s="109" r="E17" t="n"/>
      <c s="0" r="F17">
        <f>IF(D17&gt;6.9,D17,0)</f>
        <v/>
      </c>
      <c s="0" r="G17">
        <f>IF(AND(D17&lt;7,D17&gt;3.9),D17,0)</f>
        <v/>
      </c>
      <c s="0" r="H17">
        <f>IF(D17&lt;4,D17,0)</f>
        <v/>
      </c>
      <c s="71" r="I17" t="n"/>
      <c s="71" r="J17" t="n"/>
      <c s="71" r="K17" t="n"/>
      <c s="71" r="L17">
        <f>IFERROR(__xludf.dummyfunction("IF(I17="""","""",QUERY(Hallazgos!D:H,""SELECT max(J) WHERE G CONTAINS '""&amp;I17&amp;""' LABEL max(J) ''""))"),"")</f>
        <v/>
      </c>
      <c s="71" r="M17" t="n"/>
      <c s="71" r="N17" t="n"/>
      <c s="71" r="O17" t="n"/>
      <c s="108" r="P17" t="n"/>
      <c s="108" r="Q17">
        <f>IFERROR(MATCH(LEFT(P17,8),INDIRECT($L$1&amp;"!A:A"),1),2)</f>
        <v/>
      </c>
      <c s="108" r="R17">
        <f>IF(Q17=2,"",INDIRECT($L$1&amp;"!C"&amp;Q17))</f>
        <v/>
      </c>
      <c s="108" r="S17">
        <f>IF(Q17=2,"",INDIRECT($L$1&amp;"!D"&amp;Q17))</f>
        <v/>
      </c>
      <c s="108" r="T17">
        <f>IF(Q17=2,"",INDIRECT($L$1&amp;"!E"&amp;Q17))</f>
        <v/>
      </c>
      <c s="108" r="U17">
        <f>IF(Q17=2,"",INDIRECT($L$1&amp;"!F"&amp;Q17))</f>
        <v/>
      </c>
      <c s="108" r="V17" t="n"/>
      <c s="108" r="W17" t="n"/>
      <c s="108" r="X17" t="n"/>
      <c s="108" r="Y17">
        <f>IFERROR(__xludf.dummyfunction("IF(W17="""","""",QUERY(Hallazgos!C:H,""SELECT max(H) WHERE E CONTAINS 'Activo:""&amp;W17&amp;""' LABEL max(H) ''""))"),"")</f>
        <v/>
      </c>
      <c s="108" r="Z17" t="n"/>
      <c s="108" r="AA17" t="n"/>
      <c s="108" r="AB17">
        <f>IFERROR(__xludf.dummyfunction("IF(Z17="""","""",QUERY(Hallazgos!C:H,""SELECT max(H) WHERE E CONTAINS 'Alcance:""&amp;Z17&amp;""' LABEL max(H) ''""))"),"")</f>
        <v/>
      </c>
    </row>
    <row customHeight="1" s="134" r="18" ht="15.75" spans="1:28">
      <c s="106" r="A18" t="n"/>
      <c s="74" r="B18" t="n"/>
      <c s="71" r="C18" t="n"/>
      <c s="106" r="D18" t="n"/>
      <c s="109" r="E18" t="n"/>
      <c s="0" r="F18">
        <f>IF(D18&gt;6.9,D18,0)</f>
        <v/>
      </c>
      <c s="0" r="G18">
        <f>IF(AND(D18&lt;7,D18&gt;3.9),D18,0)</f>
        <v/>
      </c>
      <c s="0" r="H18">
        <f>IF(D18&lt;4,D18,0)</f>
        <v/>
      </c>
      <c s="71" r="I18" t="n"/>
      <c s="71" r="J18" t="n"/>
      <c s="71" r="K18" t="n"/>
      <c s="71" r="L18">
        <f>IFERROR(__xludf.dummyfunction("IF(I18="""","""",QUERY(Hallazgos!D:H,""SELECT max(J) WHERE G CONTAINS '""&amp;I18&amp;""' LABEL max(J) ''""))"),"")</f>
        <v/>
      </c>
      <c s="71" r="M18" t="n"/>
      <c s="71" r="N18" t="n"/>
      <c s="71" r="O18" t="n"/>
      <c s="108" r="P18" t="n"/>
      <c s="108" r="Q18">
        <f>IFERROR(MATCH(LEFT(P18,8),INDIRECT($L$1&amp;"!A:A"),1),2)</f>
        <v/>
      </c>
      <c s="108" r="R18">
        <f>IF(Q18=2,"",INDIRECT($L$1&amp;"!C"&amp;Q18))</f>
        <v/>
      </c>
      <c s="108" r="S18">
        <f>IF(Q18=2,"",INDIRECT($L$1&amp;"!D"&amp;Q18))</f>
        <v/>
      </c>
      <c s="108" r="T18">
        <f>IF(Q18=2,"",INDIRECT($L$1&amp;"!E"&amp;Q18))</f>
        <v/>
      </c>
      <c s="108" r="U18">
        <f>IF(Q18=2,"",INDIRECT($L$1&amp;"!F"&amp;Q18))</f>
        <v/>
      </c>
      <c s="108" r="V18" t="n"/>
      <c s="108" r="W18" t="n"/>
      <c s="108" r="X18" t="n"/>
      <c s="108" r="Y18">
        <f>IFERROR(__xludf.dummyfunction("IF(W18="""","""",QUERY(Hallazgos!C:H,""SELECT max(H) WHERE E CONTAINS 'Activo:""&amp;W18&amp;""' LABEL max(H) ''""))"),"")</f>
        <v/>
      </c>
      <c s="108" r="Z18" t="n"/>
      <c s="108" r="AA18" t="n"/>
      <c s="108" r="AB18">
        <f>IFERROR(__xludf.dummyfunction("IF(Z18="""","""",QUERY(Hallazgos!C:H,""SELECT max(H) WHERE E CONTAINS 'Alcance:""&amp;Z18&amp;""' LABEL max(H) ''""))"),"")</f>
        <v/>
      </c>
    </row>
    <row customHeight="1" s="134" r="19" ht="15.75" spans="1:28">
      <c s="106" r="A19" t="n"/>
      <c s="74" r="B19" t="n"/>
      <c s="71" r="C19" t="n"/>
      <c s="106" r="D19" t="n"/>
      <c s="109" r="E19" t="n"/>
      <c s="0" r="F19">
        <f>IF(D19&gt;6.9,D19,0)</f>
        <v/>
      </c>
      <c s="0" r="G19">
        <f>IF(AND(D19&lt;7,D19&gt;3.9),D19,0)</f>
        <v/>
      </c>
      <c s="0" r="H19">
        <f>IF(D19&lt;4,D19,0)</f>
        <v/>
      </c>
      <c s="71" r="I19" t="n"/>
      <c s="71" r="J19" t="n"/>
      <c s="71" r="K19" t="n"/>
      <c s="71" r="L19">
        <f>IFERROR(__xludf.dummyfunction("IF(I19="""","""",QUERY(Hallazgos!D:H,""SELECT max(J) WHERE G CONTAINS '""&amp;I19&amp;""' LABEL max(J) ''""))"),"")</f>
        <v/>
      </c>
      <c s="71" r="M19" t="n"/>
      <c s="71" r="N19" t="n"/>
      <c s="71" r="O19" t="n"/>
      <c s="108" r="P19" t="n"/>
      <c s="108" r="Q19">
        <f>IFERROR(MATCH(LEFT(P19,8),INDIRECT($L$1&amp;"!A:A"),1),2)</f>
        <v/>
      </c>
      <c s="108" r="R19">
        <f>IF(Q19=2,"",INDIRECT($L$1&amp;"!C"&amp;Q19))</f>
        <v/>
      </c>
      <c s="108" r="S19">
        <f>IF(Q19=2,"",INDIRECT($L$1&amp;"!D"&amp;Q19))</f>
        <v/>
      </c>
      <c s="108" r="T19">
        <f>IF(Q19=2,"",INDIRECT($L$1&amp;"!E"&amp;Q19))</f>
        <v/>
      </c>
      <c s="108" r="U19">
        <f>IF(Q19=2,"",INDIRECT($L$1&amp;"!F"&amp;Q19))</f>
        <v/>
      </c>
      <c s="108" r="V19" t="n"/>
      <c s="108" r="W19" t="n"/>
      <c s="108" r="X19" t="n"/>
      <c s="108" r="Y19">
        <f>IFERROR(__xludf.dummyfunction("IF(W19="""","""",QUERY(Hallazgos!C:H,""SELECT max(H) WHERE E CONTAINS 'Activo:""&amp;W19&amp;""' LABEL max(H) ''""))"),"")</f>
        <v/>
      </c>
      <c s="108" r="Z19" t="n"/>
      <c s="108" r="AA19" t="n"/>
      <c s="108" r="AB19">
        <f>IFERROR(__xludf.dummyfunction("IF(Z19="""","""",QUERY(Hallazgos!C:H,""SELECT max(H) WHERE E CONTAINS 'Alcance:""&amp;Z19&amp;""' LABEL max(H) ''""))"),"")</f>
        <v/>
      </c>
    </row>
    <row customHeight="1" s="134" r="20" ht="15.75" spans="1:28">
      <c s="106" r="A20" t="n"/>
      <c s="74" r="B20" t="n"/>
      <c s="71" r="C20" t="n"/>
      <c s="106" r="D20" t="n"/>
      <c s="109" r="E20" t="n"/>
      <c s="0" r="F20">
        <f>IF(D20&gt;6.9,D20,0)</f>
        <v/>
      </c>
      <c s="0" r="G20">
        <f>IF(AND(D20&lt;7,D20&gt;3.9),D20,0)</f>
        <v/>
      </c>
      <c s="0" r="H20">
        <f>IF(D20&lt;4,D20,0)</f>
        <v/>
      </c>
      <c s="71" r="I20" t="n"/>
      <c s="71" r="J20" t="n"/>
      <c s="71" r="K20" t="n"/>
      <c s="71" r="L20">
        <f>IFERROR(__xludf.dummyfunction("IF(I20="""","""",QUERY(Hallazgos!D:H,""SELECT max(J) WHERE G CONTAINS '""&amp;I20&amp;""' LABEL max(J) ''""))"),"")</f>
        <v/>
      </c>
      <c s="71" r="M20" t="n"/>
      <c s="71" r="N20" t="n"/>
      <c s="71" r="O20" t="n"/>
      <c s="108" r="P20" t="n"/>
      <c s="108" r="Q20">
        <f>IFERROR(MATCH(LEFT(P20,8),INDIRECT($L$1&amp;"!A:A"),1),2)</f>
        <v/>
      </c>
      <c s="108" r="R20">
        <f>IF(Q20=2,"",INDIRECT($L$1&amp;"!C"&amp;Q20))</f>
        <v/>
      </c>
      <c s="108" r="S20">
        <f>IF(Q20=2,"",INDIRECT($L$1&amp;"!D"&amp;Q20))</f>
        <v/>
      </c>
      <c s="108" r="T20">
        <f>IF(Q20=2,"",INDIRECT($L$1&amp;"!E"&amp;Q20))</f>
        <v/>
      </c>
      <c s="108" r="U20">
        <f>IF(Q20=2,"",INDIRECT($L$1&amp;"!F"&amp;Q20))</f>
        <v/>
      </c>
      <c s="108" r="V20" t="n"/>
      <c s="108" r="W20" t="n"/>
      <c s="108" r="X20" t="n"/>
      <c s="108" r="Y20">
        <f>IFERROR(__xludf.dummyfunction("IF(W20="""","""",QUERY(Hallazgos!C:H,""SELECT max(H) WHERE E CONTAINS 'Activo:""&amp;W20&amp;""' LABEL max(H) ''""))"),"")</f>
        <v/>
      </c>
      <c s="108" r="Z20" t="n"/>
      <c s="108" r="AA20" t="n"/>
      <c s="108" r="AB20">
        <f>IFERROR(__xludf.dummyfunction("IF(Z20="""","""",QUERY(Hallazgos!C:H,""SELECT max(H) WHERE E CONTAINS 'Alcance:""&amp;Z20&amp;""' LABEL max(H) ''""))"),"")</f>
        <v/>
      </c>
    </row>
    <row customHeight="1" s="134" r="21" ht="15.75" spans="1:28">
      <c s="106" r="A21" t="n"/>
      <c s="74" r="B21" t="n"/>
      <c s="71" r="C21" t="n"/>
      <c s="106" r="D21" t="n"/>
      <c s="109" r="E21" t="n"/>
      <c s="0" r="F21">
        <f>IF(D21&gt;6.9,D21,0)</f>
        <v/>
      </c>
      <c s="0" r="G21">
        <f>IF(AND(D21&lt;7,D21&gt;3.9),D21,0)</f>
        <v/>
      </c>
      <c s="0" r="H21">
        <f>IF(D21&lt;4,D21,0)</f>
        <v/>
      </c>
      <c s="71" r="I21" t="n"/>
      <c s="71" r="J21" t="n"/>
      <c s="71" r="K21" t="n"/>
      <c s="71" r="L21">
        <f>IFERROR(__xludf.dummyfunction("IF(I21="""","""",QUERY(Hallazgos!D:H,""SELECT max(J) WHERE G CONTAINS '""&amp;I21&amp;""' LABEL max(J) ''""))"),"")</f>
        <v/>
      </c>
      <c s="71" r="M21" t="n"/>
      <c s="71" r="N21" t="n"/>
      <c s="71" r="O21" t="n"/>
      <c s="108" r="P21" t="n"/>
      <c s="108" r="Q21">
        <f>IFERROR(MATCH(LEFT(P21,8),INDIRECT($L$1&amp;"!A:A"),1),2)</f>
        <v/>
      </c>
      <c s="108" r="R21">
        <f>IF(Q21=2,"",INDIRECT($L$1&amp;"!C"&amp;Q21))</f>
        <v/>
      </c>
      <c s="108" r="S21">
        <f>IF(Q21=2,"",INDIRECT($L$1&amp;"!D"&amp;Q21))</f>
        <v/>
      </c>
      <c s="108" r="T21">
        <f>IF(Q21=2,"",INDIRECT($L$1&amp;"!E"&amp;Q21))</f>
        <v/>
      </c>
      <c s="108" r="U21">
        <f>IF(Q21=2,"",INDIRECT($L$1&amp;"!F"&amp;Q21))</f>
        <v/>
      </c>
      <c s="108" r="V21" t="n"/>
      <c s="108" r="W21" t="n"/>
      <c s="108" r="X21" t="n"/>
      <c s="108" r="Y21">
        <f>IFERROR(__xludf.dummyfunction("IF(W21="""","""",QUERY(Hallazgos!C:H,""SELECT max(H) WHERE E CONTAINS 'Activo:""&amp;W21&amp;""' LABEL max(H) ''""))"),"")</f>
        <v/>
      </c>
      <c s="108" r="Z21" t="n"/>
      <c s="108" r="AA21" t="n"/>
      <c s="108" r="AB21">
        <f>IFERROR(__xludf.dummyfunction("IF(Z21="""","""",QUERY(Hallazgos!C:H,""SELECT max(H) WHERE E CONTAINS 'Alcance:""&amp;Z21&amp;""' LABEL max(H) ''""))"),"")</f>
        <v/>
      </c>
    </row>
    <row customHeight="1" s="134" r="22" ht="15.75" spans="1:28">
      <c s="106" r="A22" t="n"/>
      <c s="74" r="B22" t="n"/>
      <c s="71" r="C22" t="n"/>
      <c s="106" r="D22" t="n"/>
      <c s="109" r="E22" t="n"/>
      <c s="0" r="F22">
        <f>IF(D22&gt;6.9,D22,0)</f>
        <v/>
      </c>
      <c s="0" r="G22">
        <f>IF(AND(D22&lt;7,D22&gt;3.9),D22,0)</f>
        <v/>
      </c>
      <c s="0" r="H22">
        <f>IF(D22&lt;4,D22,0)</f>
        <v/>
      </c>
      <c s="71" r="I22" t="n"/>
      <c s="71" r="J22" t="n"/>
      <c s="71" r="K22" t="n"/>
      <c s="71" r="L22">
        <f>IFERROR(__xludf.dummyfunction("IF(I22="""","""",QUERY(Hallazgos!D:H,""SELECT max(J) WHERE G CONTAINS '""&amp;I22&amp;""' LABEL max(J) ''""))"),"")</f>
        <v/>
      </c>
      <c s="71" r="M22" t="n"/>
      <c s="71" r="N22" t="n"/>
      <c s="71" r="O22" t="n"/>
      <c s="108" r="P22" t="n"/>
      <c s="108" r="Q22">
        <f>IFERROR(MATCH(LEFT(P22,8),INDIRECT($L$1&amp;"!A:A"),1),2)</f>
        <v/>
      </c>
      <c s="108" r="R22">
        <f>IF(Q22=2,"",INDIRECT($L$1&amp;"!C"&amp;Q22))</f>
        <v/>
      </c>
      <c s="108" r="S22">
        <f>IF(Q22=2,"",INDIRECT($L$1&amp;"!D"&amp;Q22))</f>
        <v/>
      </c>
      <c s="108" r="T22">
        <f>IF(Q22=2,"",INDIRECT($L$1&amp;"!E"&amp;Q22))</f>
        <v/>
      </c>
      <c s="108" r="U22">
        <f>IF(Q22=2,"",INDIRECT($L$1&amp;"!F"&amp;Q22))</f>
        <v/>
      </c>
      <c s="108" r="V22" t="n"/>
      <c s="108" r="W22" t="n"/>
      <c s="108" r="X22" t="n"/>
      <c s="108" r="Y22">
        <f>IFERROR(__xludf.dummyfunction("IF(W22="""","""",QUERY(Hallazgos!C:H,""SELECT max(H) WHERE E CONTAINS 'Activo:""&amp;W22&amp;""' LABEL max(H) ''""))"),"")</f>
        <v/>
      </c>
      <c s="108" r="Z22" t="n"/>
      <c s="108" r="AA22" t="n"/>
      <c s="108" r="AB22">
        <f>IFERROR(__xludf.dummyfunction("IF(Z22="""","""",QUERY(Hallazgos!C:H,""SELECT max(H) WHERE E CONTAINS 'Alcance:""&amp;Z22&amp;""' LABEL max(H) ''""))"),"")</f>
        <v/>
      </c>
    </row>
    <row customHeight="1" s="134" r="23" ht="15.75" spans="1:28">
      <c s="106" r="A23" t="n"/>
      <c s="74" r="B23" t="n"/>
      <c s="71" r="C23" t="n"/>
      <c s="106" r="D23" t="n"/>
      <c s="109" r="E23" t="n"/>
      <c s="108" r="F23" t="n"/>
      <c s="71" r="G23">
        <f>LEFT(F23,3)</f>
        <v/>
      </c>
      <c s="71" r="H23">
        <f>LEFT(F23,3)</f>
        <v/>
      </c>
      <c s="71" r="I23" t="n"/>
      <c s="71" r="J23" t="n"/>
      <c s="71" r="K23" t="n"/>
      <c s="71" r="L23">
        <f>IFERROR(__xludf.dummyfunction("IF(I23="""","""",QUERY(Hallazgos!D:H,""SELECT max(J) WHERE G CONTAINS '""&amp;I23&amp;""' LABEL max(J) ''""))"),"")</f>
        <v/>
      </c>
      <c s="71" r="M23" t="n"/>
      <c s="71" r="N23" t="n"/>
      <c s="71" r="O23" t="n"/>
      <c s="108" r="P23" t="n"/>
      <c s="108" r="Q23">
        <f>IFERROR(MATCH(LEFT(P23,8),INDIRECT($L$1&amp;"!A:A"),1),2)</f>
        <v/>
      </c>
      <c s="108" r="R23">
        <f>IF(Q23=2,"",INDIRECT($L$1&amp;"!C"&amp;Q23))</f>
        <v/>
      </c>
      <c s="108" r="S23">
        <f>IF(Q23=2,"",INDIRECT($L$1&amp;"!D"&amp;Q23))</f>
        <v/>
      </c>
      <c s="108" r="T23">
        <f>IF(Q23=2,"",INDIRECT($L$1&amp;"!E"&amp;Q23))</f>
        <v/>
      </c>
      <c s="108" r="U23">
        <f>IF(Q23=2,"",INDIRECT($L$1&amp;"!F"&amp;Q23))</f>
        <v/>
      </c>
      <c s="108" r="V23" t="n"/>
      <c s="108" r="W23" t="n"/>
      <c s="108" r="X23" t="n"/>
      <c s="108" r="Y23">
        <f>IFERROR(__xludf.dummyfunction("IF(W23="""","""",QUERY(Hallazgos!C:H,""SELECT max(H) WHERE E CONTAINS 'Activo:""&amp;W23&amp;""' LABEL max(H) ''""))"),"")</f>
        <v/>
      </c>
      <c s="108" r="Z23" t="n"/>
      <c s="108" r="AA23" t="n"/>
      <c s="108" r="AB23">
        <f>IFERROR(__xludf.dummyfunction("IF(Z23="""","""",QUERY(Hallazgos!C:H,""SELECT max(H) WHERE E CONTAINS 'Alcance:""&amp;Z23&amp;""' LABEL max(H) ''""))"),"")</f>
        <v/>
      </c>
    </row>
    <row customHeight="1" s="134" r="24" ht="15.75" spans="1:28">
      <c s="106" r="A24" t="s">
        <v>1284</v>
      </c>
      <c s="107" r="B24" t="s">
        <v>1275</v>
      </c>
      <c s="71" r="C24" t="n"/>
      <c s="106" r="D24" t="s">
        <v>1276</v>
      </c>
      <c s="106" r="E24" t="s">
        <v>1284</v>
      </c>
      <c s="74" r="F24" t="s">
        <v>1277</v>
      </c>
      <c s="74" r="G24" t="s">
        <v>1278</v>
      </c>
      <c s="74" r="H24" t="s">
        <v>1279</v>
      </c>
      <c s="71" r="I24" t="n"/>
      <c s="71" r="J24" t="n"/>
      <c s="71" r="K24" t="n"/>
      <c s="71" r="L24">
        <f>IFERROR(__xludf.dummyfunction("IF(I24="""","""",QUERY(Hallazgos!D:H,""SELECT max(J) WHERE G CONTAINS '""&amp;I24&amp;""' LABEL max(J) ''""))"),"")</f>
        <v/>
      </c>
      <c s="71" r="M24" t="n"/>
      <c s="71" r="N24" t="n"/>
      <c s="71" r="O24" t="n"/>
      <c s="108" r="P24" t="n"/>
      <c s="108" r="Q24">
        <f>IFERROR(MATCH(LEFT(P24,8),INDIRECT($L$1&amp;"!A:A"),1),2)</f>
        <v/>
      </c>
      <c s="108" r="R24">
        <f>IF(Q24=2,"",INDIRECT($L$1&amp;"!C"&amp;Q24))</f>
        <v/>
      </c>
      <c s="108" r="S24">
        <f>IF(Q24=2,"",INDIRECT($L$1&amp;"!D"&amp;Q24))</f>
        <v/>
      </c>
      <c s="108" r="T24">
        <f>IF(Q24=2,"",INDIRECT($L$1&amp;"!E"&amp;Q24))</f>
        <v/>
      </c>
      <c s="108" r="U24">
        <f>IF(Q24=2,"",INDIRECT($L$1&amp;"!F"&amp;Q24))</f>
        <v/>
      </c>
      <c s="108" r="V24" t="n"/>
      <c s="108" r="W24" t="n"/>
      <c s="108" r="X24" t="n"/>
      <c s="108" r="Y24">
        <f>IFERROR(__xludf.dummyfunction("IF(W24="""","""",QUERY(Hallazgos!C:H,""SELECT max(H) WHERE E CONTAINS 'Activo:""&amp;W24&amp;""' LABEL max(H) ''""))"),"")</f>
        <v/>
      </c>
      <c s="108" r="Z24" t="n"/>
      <c s="108" r="AA24" t="n"/>
      <c s="108" r="AB24">
        <f>IFERROR(__xludf.dummyfunction("IF(Z24="""","""",QUERY(Hallazgos!C:H,""SELECT max(H) WHERE E CONTAINS 'Alcance:""&amp;Z24&amp;""' LABEL max(H) ''""))"),"")</f>
        <v/>
      </c>
    </row>
    <row customHeight="1" s="134" r="25" ht="15.75" spans="1:28">
      <c s="106" r="A25">
        <f>IFERROR(__xludf.dummyfunction("QUERY(W:X,""SELECT W, X WHERE W &lt;&gt;'' ORDER BY X DESC"")"),"Activos de información")</f>
        <v/>
      </c>
      <c s="74" r="B25" t="n">
        <v>1</v>
      </c>
      <c s="71" r="C25" t="n"/>
      <c s="106" r="D25">
        <f>IFERROR(__xludf.dummyfunction("QUERY(W:Y,""SELECT Y, W WHERE W&lt;&gt;'' ORDER BY Y DESC"")"),"10")</f>
        <v/>
      </c>
      <c s="109" r="E25" t="s">
        <v>67</v>
      </c>
      <c s="0" r="F25">
        <f>IF(D25&gt;6.9,D25,0)</f>
        <v/>
      </c>
      <c s="0" r="G25">
        <f>IF(AND(D25&lt;7,D25&gt;3.9),D25,0)</f>
        <v/>
      </c>
      <c s="0" r="H25">
        <f>IF(D25&lt;4,D25,0)</f>
        <v/>
      </c>
      <c s="71" r="I25" t="n"/>
      <c s="71" r="J25" t="n"/>
      <c s="71" r="K25" t="n"/>
      <c s="71" r="L25">
        <f>IFERROR(__xludf.dummyfunction("IF(I25="""","""",QUERY(Hallazgos!D:H,""SELECT max(J) WHERE G CONTAINS '""&amp;I25&amp;""' LABEL max(J) ''""))"),"")</f>
        <v/>
      </c>
      <c s="71" r="M25" t="n"/>
      <c s="71" r="N25" t="n"/>
      <c s="71" r="O25" t="n"/>
      <c s="108" r="P25" t="n"/>
      <c s="108" r="Q25">
        <f>IFERROR(MATCH(LEFT(P25,8),INDIRECT($L$1&amp;"!A:A"),1),2)</f>
        <v/>
      </c>
      <c s="108" r="R25">
        <f>IF(Q25=2,"",INDIRECT($L$1&amp;"!C"&amp;Q25))</f>
        <v/>
      </c>
      <c s="108" r="S25">
        <f>IF(Q25=2,"",INDIRECT($L$1&amp;"!D"&amp;Q25))</f>
        <v/>
      </c>
      <c s="108" r="T25">
        <f>IF(Q25=2,"",INDIRECT($L$1&amp;"!E"&amp;Q25))</f>
        <v/>
      </c>
      <c s="108" r="U25">
        <f>IF(Q25=2,"",INDIRECT($L$1&amp;"!F"&amp;Q25))</f>
        <v/>
      </c>
      <c s="108" r="V25" t="n"/>
      <c s="108" r="W25" t="n"/>
      <c s="108" r="X25" t="n"/>
      <c s="108" r="Y25">
        <f>IFERROR(__xludf.dummyfunction("IF(W25="""","""",QUERY(Hallazgos!C:H,""SELECT max(H) WHERE E CONTAINS 'Activo:""&amp;W25&amp;""' LABEL max(H) ''""))"),"")</f>
        <v/>
      </c>
      <c s="108" r="Z25" t="n"/>
      <c s="108" r="AA25" t="n"/>
      <c s="108" r="AB25">
        <f>IFERROR(__xludf.dummyfunction("IF(Z25="""","""",QUERY(Hallazgos!C:H,""SELECT max(H) WHERE E CONTAINS 'Alcance:""&amp;Z25&amp;""' LABEL max(H) ''""))"),"")</f>
        <v/>
      </c>
    </row>
    <row customHeight="1" s="134" r="26" ht="15.75" spans="1:28">
      <c s="106" r="A26" t="s">
        <v>139</v>
      </c>
      <c s="74" r="B26" t="n">
        <v>1</v>
      </c>
      <c s="71" r="C26" t="n"/>
      <c s="106" r="D26" t="n">
        <v>10</v>
      </c>
      <c s="109" r="E26" t="s">
        <v>139</v>
      </c>
      <c s="0" r="F26">
        <f>IF(D26&gt;6.9,D26,0)</f>
        <v/>
      </c>
      <c s="0" r="G26">
        <f>IF(AND(D26&lt;7,D26&gt;3.9),D26,0)</f>
        <v/>
      </c>
      <c s="0" r="H26">
        <f>IF(D26&lt;4,D26,0)</f>
        <v/>
      </c>
      <c s="71" r="I26" t="n"/>
      <c s="71" r="J26" t="n"/>
      <c s="71" r="K26" t="n"/>
      <c s="71" r="L26" t="n"/>
      <c s="71" r="M26" t="n"/>
      <c s="71" r="N26" t="n"/>
      <c s="71" r="O26" t="n"/>
      <c s="108" r="P26" t="n"/>
      <c s="108" r="Q26">
        <f>IFERROR(MATCH(LEFT(P26,8),INDIRECT($L$1&amp;"!A:A"),1),2)</f>
        <v/>
      </c>
      <c s="108" r="R26">
        <f>IF(Q26=2,"",INDIRECT($L$1&amp;"!C"&amp;Q26))</f>
        <v/>
      </c>
      <c s="108" r="S26">
        <f>IF(Q26=2,"",INDIRECT($L$1&amp;"!D"&amp;Q26))</f>
        <v/>
      </c>
      <c s="108" r="T26">
        <f>IF(Q26=2,"",INDIRECT($L$1&amp;"!E"&amp;Q26))</f>
        <v/>
      </c>
      <c s="108" r="U26">
        <f>IF(Q26=2,"",INDIRECT($L$1&amp;"!F"&amp;Q26))</f>
        <v/>
      </c>
      <c s="108" r="V26" t="n"/>
      <c s="108" r="W26" t="n"/>
      <c s="108" r="X26" t="n"/>
      <c s="108" r="Y26">
        <f>IFERROR(__xludf.dummyfunction("IF(W26="""","""",QUERY(Hallazgos!C:H,""SELECT max(H) WHERE E CONTAINS 'Activo:""&amp;W26&amp;""' LABEL max(H) ''""))"),"")</f>
        <v/>
      </c>
      <c s="108" r="Z26" t="n"/>
      <c s="108" r="AA26" t="n"/>
      <c s="108" r="AB26">
        <f>IFERROR(__xludf.dummyfunction("IF(Z26="""","""",QUERY(Hallazgos!C:H,""SELECT max(H) WHERE E CONTAINS 'Alcance:""&amp;Z26&amp;""' LABEL max(H) ''""))"),"")</f>
        <v/>
      </c>
    </row>
    <row customHeight="1" s="134" r="27" ht="15.75" spans="1:28">
      <c s="106" r="A27" t="s">
        <v>231</v>
      </c>
      <c s="74" r="B27" t="n">
        <v>1</v>
      </c>
      <c s="71" r="C27" t="n"/>
      <c s="106" r="D27" t="n">
        <v>10</v>
      </c>
      <c s="109" r="E27" t="s">
        <v>231</v>
      </c>
      <c s="0" r="F27">
        <f>IF(D27&gt;6.9,D27,0)</f>
        <v/>
      </c>
      <c s="0" r="G27">
        <f>IF(AND(D27&lt;7,D27&gt;3.9),D27,0)</f>
        <v/>
      </c>
      <c s="0" r="H27">
        <f>IF(D27&lt;4,D27,0)</f>
        <v/>
      </c>
      <c s="71" r="I27" t="n"/>
      <c s="71" r="J27" t="n"/>
      <c s="71" r="K27" t="n"/>
      <c s="71" r="L27" t="n"/>
      <c s="71" r="M27" t="n"/>
      <c s="71" r="N27" t="n"/>
      <c s="71" r="O27" t="n"/>
      <c s="108" r="P27" t="n"/>
      <c s="108" r="Q27">
        <f>IFERROR(MATCH(LEFT(P27,8),INDIRECT($L$1&amp;"!A:A"),1),2)</f>
        <v/>
      </c>
      <c s="108" r="R27">
        <f>IF(Q27=2,"",INDIRECT($L$1&amp;"!C"&amp;Q27))</f>
        <v/>
      </c>
      <c s="108" r="S27">
        <f>IF(Q27=2,"",INDIRECT($L$1&amp;"!D"&amp;Q27))</f>
        <v/>
      </c>
      <c s="108" r="T27">
        <f>IF(Q27=2,"",INDIRECT($L$1&amp;"!E"&amp;Q27))</f>
        <v/>
      </c>
      <c s="108" r="U27">
        <f>IF(Q27=2,"",INDIRECT($L$1&amp;"!F"&amp;Q27))</f>
        <v/>
      </c>
      <c s="108" r="V27" t="n"/>
      <c s="108" r="W27" t="n"/>
      <c s="108" r="X27" t="n"/>
      <c s="108" r="Y27">
        <f>IFERROR(__xludf.dummyfunction("IF(W27="""","""",QUERY(Hallazgos!C:H,""SELECT max(H) WHERE E CONTAINS 'Activo:""&amp;W27&amp;""' LABEL max(H) ''""))"),"")</f>
        <v/>
      </c>
      <c s="108" r="Z27" t="n"/>
      <c s="108" r="AA27" t="n"/>
      <c s="108" r="AB27">
        <f>IFERROR(__xludf.dummyfunction("IF(Z27="""","""",QUERY(Hallazgos!C:H,""SELECT max(H) WHERE E CONTAINS 'Alcance:""&amp;Z27&amp;""' LABEL max(H) ''""))"),"")</f>
        <v/>
      </c>
    </row>
    <row customHeight="1" s="134" r="28" ht="15.75" spans="1:28">
      <c s="106" r="A28" t="s">
        <v>394</v>
      </c>
      <c s="74" r="B28" t="n">
        <v>1</v>
      </c>
      <c s="71" r="C28" t="n"/>
      <c s="106" r="D28" t="n">
        <v>10</v>
      </c>
      <c s="109" r="E28" t="s">
        <v>394</v>
      </c>
      <c s="0" r="F28">
        <f>IF(D28&gt;6.9,D28,0)</f>
        <v/>
      </c>
      <c s="0" r="G28">
        <f>IF(AND(D28&lt;7,D28&gt;3.9),D28,0)</f>
        <v/>
      </c>
      <c s="0" r="H28">
        <f>IF(D28&lt;4,D28,0)</f>
        <v/>
      </c>
      <c s="71" r="I28" t="n"/>
      <c s="71" r="J28" t="n"/>
      <c s="71" r="K28" t="n"/>
      <c s="71" r="L28" t="n"/>
      <c s="71" r="M28" t="n"/>
      <c s="71" r="N28" t="n"/>
      <c s="71" r="O28" t="n"/>
      <c s="108" r="P28" t="n"/>
      <c s="108" r="Q28">
        <f>IFERROR(MATCH(LEFT(P28,8),INDIRECT($L$1&amp;"!A:A"),1),2)</f>
        <v/>
      </c>
      <c s="108" r="R28">
        <f>IF(Q28=2,"",INDIRECT($L$1&amp;"!C"&amp;Q28))</f>
        <v/>
      </c>
      <c s="108" r="S28">
        <f>IF(Q28=2,"",INDIRECT($L$1&amp;"!D"&amp;Q28))</f>
        <v/>
      </c>
      <c s="108" r="T28">
        <f>IF(Q28=2,"",INDIRECT($L$1&amp;"!E"&amp;Q28))</f>
        <v/>
      </c>
      <c s="108" r="U28">
        <f>IF(Q28=2,"",INDIRECT($L$1&amp;"!F"&amp;Q28))</f>
        <v/>
      </c>
      <c s="108" r="V28" t="n"/>
      <c s="108" r="W28" t="n"/>
      <c s="108" r="X28" t="n"/>
      <c s="108" r="Y28">
        <f>IFERROR(__xludf.dummyfunction("IF(W28="""","""",QUERY(Hallazgos!C:H,""SELECT max(H) WHERE E CONTAINS 'Activo:""&amp;W28&amp;""' LABEL max(H) ''""))"),"")</f>
        <v/>
      </c>
      <c s="108" r="Z28" t="n"/>
      <c s="108" r="AA28" t="n"/>
      <c s="108" r="AB28">
        <f>IFERROR(__xludf.dummyfunction("IF(Z28="""","""",QUERY(Hallazgos!C:H,""SELECT max(H) WHERE E CONTAINS 'Alcance:""&amp;Z28&amp;""' LABEL max(H) ''""))"),"")</f>
        <v/>
      </c>
    </row>
    <row customHeight="1" s="134" r="29" ht="15.75" spans="1:28">
      <c s="106" r="A29" t="s">
        <v>845</v>
      </c>
      <c s="74" r="B29" t="n">
        <v>1</v>
      </c>
      <c s="71" r="C29" t="n"/>
      <c s="106" r="D29" t="n">
        <v>10</v>
      </c>
      <c s="109" r="E29" t="s">
        <v>845</v>
      </c>
      <c s="0" r="F29">
        <f>IF(D29&gt;6.9,D29,0)</f>
        <v/>
      </c>
      <c s="0" r="G29">
        <f>IF(AND(D29&lt;7,D29&gt;3.9),D29,0)</f>
        <v/>
      </c>
      <c s="0" r="H29">
        <f>IF(D29&lt;4,D29,0)</f>
        <v/>
      </c>
      <c s="71" r="I29" t="n"/>
      <c s="71" r="J29" t="n"/>
      <c s="71" r="K29" t="n"/>
      <c s="71" r="L29" t="n"/>
      <c s="71" r="M29" t="n"/>
      <c s="71" r="N29" t="n"/>
      <c s="71" r="O29" t="n"/>
      <c s="108" r="P29" t="n"/>
      <c s="108" r="Q29">
        <f>IFERROR(MATCH(LEFT(P29,8),INDIRECT($L$1&amp;"!A:A"),1),2)</f>
        <v/>
      </c>
      <c s="108" r="R29">
        <f>IF(Q29=2,"",INDIRECT($L$1&amp;"!C"&amp;Q29))</f>
        <v/>
      </c>
      <c s="108" r="S29">
        <f>IF(Q29=2,"",INDIRECT($L$1&amp;"!D"&amp;Q29))</f>
        <v/>
      </c>
      <c s="108" r="T29">
        <f>IF(Q29=2,"",INDIRECT($L$1&amp;"!E"&amp;Q29))</f>
        <v/>
      </c>
      <c s="108" r="U29">
        <f>IF(Q29=2,"",INDIRECT($L$1&amp;"!F"&amp;Q29))</f>
        <v/>
      </c>
      <c s="108" r="V29" t="n"/>
      <c s="108" r="W29" t="n"/>
      <c s="108" r="X29" t="n"/>
      <c s="108" r="Y29">
        <f>IFERROR(__xludf.dummyfunction("IF(W29="""","""",QUERY(Hallazgos!C:H,""SELECT max(H) WHERE E CONTAINS 'Activo:""&amp;W29&amp;""' LABEL max(H) ''""))"),"")</f>
        <v/>
      </c>
      <c s="108" r="Z29" t="n"/>
      <c s="108" r="AA29" t="n"/>
      <c s="108" r="AB29">
        <f>IFERROR(__xludf.dummyfunction("IF(Z29="""","""",QUERY(Hallazgos!C:H,""SELECT max(H) WHERE E CONTAINS 'Alcance:""&amp;Z29&amp;""' LABEL max(H) ''""))"),"")</f>
        <v/>
      </c>
    </row>
    <row customHeight="1" s="134" r="30" ht="15.75" spans="1:28">
      <c s="106" r="A30" t="n"/>
      <c s="74" r="B30" t="n"/>
      <c s="71" r="C30" t="n"/>
      <c s="106" r="D30" t="n"/>
      <c s="109" r="E30" t="n"/>
      <c s="0" r="F30">
        <f>IF(D30&gt;6.9,D30,0)</f>
        <v/>
      </c>
      <c s="0" r="G30">
        <f>IF(AND(D30&lt;7,D30&gt;3.9),D30,0)</f>
        <v/>
      </c>
      <c s="0" r="H30">
        <f>IF(D30&lt;4,D30,0)</f>
        <v/>
      </c>
      <c s="71" r="I30" t="n"/>
      <c s="71" r="J30" t="n"/>
      <c s="71" r="K30" t="n"/>
      <c s="71" r="L30" t="n"/>
      <c s="71" r="M30" t="n"/>
      <c s="71" r="N30" t="n"/>
      <c s="71" r="O30" t="n"/>
      <c s="108" r="P30" t="n"/>
      <c s="108" r="Q30">
        <f>IFERROR(MATCH(LEFT(P30,8),INDIRECT($L$1&amp;"!A:A"),1),2)</f>
        <v/>
      </c>
      <c s="108" r="R30">
        <f>IF(Q30=2,"",INDIRECT($L$1&amp;"!C"&amp;Q30))</f>
        <v/>
      </c>
      <c s="108" r="S30">
        <f>IF(Q30=2,"",INDIRECT($L$1&amp;"!D"&amp;Q30))</f>
        <v/>
      </c>
      <c s="108" r="T30">
        <f>IF(Q30=2,"",INDIRECT($L$1&amp;"!E"&amp;Q30))</f>
        <v/>
      </c>
      <c s="108" r="U30">
        <f>IF(Q30=2,"",INDIRECT($L$1&amp;"!F"&amp;Q30))</f>
        <v/>
      </c>
      <c s="108" r="V30" t="n"/>
      <c s="108" r="W30" t="n"/>
      <c s="108" r="X30" t="n"/>
      <c s="108" r="Y30">
        <f>IFERROR(__xludf.dummyfunction("IF(W30="""","""",QUERY(Hallazgos!C:H,""SELECT max(H) WHERE E CONTAINS 'Activo:""&amp;W30&amp;""' LABEL max(H) ''""))"),"")</f>
        <v/>
      </c>
      <c s="108" r="Z30" t="n"/>
      <c s="108" r="AA30" t="n"/>
      <c s="108" r="AB30">
        <f>IFERROR(__xludf.dummyfunction("IF(Z30="""","""",QUERY(Hallazgos!C:H,""SELECT max(H) WHERE E CONTAINS 'Alcance:""&amp;Z30&amp;""' LABEL max(H) ''""))"),"")</f>
        <v/>
      </c>
    </row>
    <row customHeight="1" s="134" r="31" ht="15.75" spans="1:28">
      <c s="106" r="A31" t="n"/>
      <c s="74" r="B31" t="n"/>
      <c s="71" r="C31" t="n"/>
      <c s="106" r="D31" t="n"/>
      <c s="109" r="E31" t="n"/>
      <c s="0" r="F31">
        <f>IF(D31&gt;6.9,D31,0)</f>
        <v/>
      </c>
      <c s="0" r="G31">
        <f>IF(AND(D31&lt;7,D31&gt;3.9),D31,0)</f>
        <v/>
      </c>
      <c s="0" r="H31">
        <f>IF(D31&lt;4,D31,0)</f>
        <v/>
      </c>
      <c s="71" r="I31" t="n"/>
      <c s="71" r="J31" t="n"/>
      <c s="71" r="K31" t="n"/>
      <c s="71" r="L31" t="n"/>
      <c s="71" r="M31" t="n"/>
      <c s="71" r="N31" t="n"/>
      <c s="71" r="O31" t="n"/>
      <c s="108" r="P31" t="n"/>
      <c s="108" r="Q31">
        <f>IFERROR(MATCH(LEFT(P31,8),INDIRECT($L$1&amp;"!A:A"),1),2)</f>
        <v/>
      </c>
      <c s="108" r="R31">
        <f>IF(Q31=2,"",INDIRECT($L$1&amp;"!C"&amp;Q31))</f>
        <v/>
      </c>
      <c s="108" r="S31">
        <f>IF(Q31=2,"",INDIRECT($L$1&amp;"!D"&amp;Q31))</f>
        <v/>
      </c>
      <c s="108" r="T31">
        <f>IF(Q31=2,"",INDIRECT($L$1&amp;"!E"&amp;Q31))</f>
        <v/>
      </c>
      <c s="108" r="U31">
        <f>IF(Q31=2,"",INDIRECT($L$1&amp;"!F"&amp;Q31))</f>
        <v/>
      </c>
      <c s="108" r="V31" t="n"/>
      <c s="108" r="W31" t="n"/>
      <c s="108" r="X31" t="n"/>
      <c s="108" r="Y31">
        <f>IFERROR(__xludf.dummyfunction("IF(W31="""","""",QUERY(Hallazgos!C:H,""SELECT max(H) WHERE E CONTAINS 'Activo:""&amp;W31&amp;""' LABEL max(H) ''""))"),"")</f>
        <v/>
      </c>
      <c s="108" r="Z31" t="n"/>
      <c s="108" r="AA31" t="n"/>
      <c s="108" r="AB31">
        <f>IFERROR(__xludf.dummyfunction("IF(Z31="""","""",QUERY(Hallazgos!C:H,""SELECT max(H) WHERE E CONTAINS 'Alcance:""&amp;Z31&amp;""' LABEL max(H) ''""))"),"")</f>
        <v/>
      </c>
    </row>
    <row customHeight="1" s="134" r="32" ht="15.75" spans="1:28">
      <c s="106" r="A32" t="n"/>
      <c s="74" r="B32" t="n"/>
      <c s="71" r="C32" t="n"/>
      <c s="106" r="D32" t="n"/>
      <c s="109" r="E32" t="n"/>
      <c s="0" r="F32">
        <f>IF(D32&gt;6.9,D32,0)</f>
        <v/>
      </c>
      <c s="0" r="G32">
        <f>IF(AND(D32&lt;7,D32&gt;3.9),D32,0)</f>
        <v/>
      </c>
      <c s="0" r="H32">
        <f>IF(D32&lt;4,D32,0)</f>
        <v/>
      </c>
      <c s="71" r="I32" t="n"/>
      <c s="71" r="J32" t="n"/>
      <c s="71" r="K32" t="n"/>
      <c s="71" r="L32" t="n"/>
      <c s="71" r="M32" t="n"/>
      <c s="71" r="N32" t="n"/>
      <c s="71" r="O32" t="n"/>
      <c s="108" r="P32" t="n"/>
      <c s="108" r="Q32">
        <f>IFERROR(MATCH(LEFT(P32,8),INDIRECT($L$1&amp;"!A:A"),1),2)</f>
        <v/>
      </c>
      <c s="108" r="R32">
        <f>IF(Q32=2,"",INDIRECT($L$1&amp;"!C"&amp;Q32))</f>
        <v/>
      </c>
      <c s="108" r="S32">
        <f>IF(Q32=2,"",INDIRECT($L$1&amp;"!D"&amp;Q32))</f>
        <v/>
      </c>
      <c s="108" r="T32">
        <f>IF(Q32=2,"",INDIRECT($L$1&amp;"!E"&amp;Q32))</f>
        <v/>
      </c>
      <c s="108" r="U32">
        <f>IF(Q32=2,"",INDIRECT($L$1&amp;"!F"&amp;Q32))</f>
        <v/>
      </c>
      <c s="108" r="V32" t="n"/>
      <c s="108" r="W32" t="n"/>
      <c s="108" r="X32" t="n"/>
      <c s="108" r="Y32">
        <f>IFERROR(__xludf.dummyfunction("IF(W32="""","""",QUERY(Hallazgos!C:H,""SELECT max(H) WHERE E CONTAINS 'Activo:""&amp;W32&amp;""' LABEL max(H) ''""))"),"")</f>
        <v/>
      </c>
      <c s="108" r="Z32" t="n"/>
      <c s="108" r="AA32" t="n"/>
      <c s="108" r="AB32">
        <f>IFERROR(__xludf.dummyfunction("IF(Z32="""","""",QUERY(Hallazgos!C:H,""SELECT max(H) WHERE E CONTAINS 'Alcance:""&amp;Z32&amp;""' LABEL max(H) ''""))"),"")</f>
        <v/>
      </c>
    </row>
    <row customHeight="1" s="134" r="33" ht="15.75" spans="1:28">
      <c s="106" r="A33" t="n"/>
      <c s="74" r="B33" t="n"/>
      <c s="71" r="C33" t="n"/>
      <c s="106" r="D33" t="n"/>
      <c s="109" r="E33" t="n"/>
      <c s="0" r="F33">
        <f>IF(D33&gt;6.9,D33,0)</f>
        <v/>
      </c>
      <c s="0" r="G33">
        <f>IF(AND(D33&lt;7,D33&gt;3.9),D33,0)</f>
        <v/>
      </c>
      <c s="0" r="H33">
        <f>IF(D33&lt;4,D33,0)</f>
        <v/>
      </c>
      <c s="71" r="I33" t="n"/>
      <c s="71" r="J33" t="n"/>
      <c s="71" r="K33" t="n"/>
      <c s="71" r="L33" t="n"/>
      <c s="71" r="M33" t="n"/>
      <c s="71" r="N33" t="n"/>
      <c s="71" r="O33" t="n"/>
      <c s="108" r="P33" t="n"/>
      <c s="108" r="Q33">
        <f>IFERROR(MATCH(LEFT(P33,8),INDIRECT($L$1&amp;"!A:A"),1),2)</f>
        <v/>
      </c>
      <c s="108" r="R33">
        <f>IF(Q33=2,"",INDIRECT($L$1&amp;"!C"&amp;Q33))</f>
        <v/>
      </c>
      <c s="108" r="S33">
        <f>IF(Q33=2,"",INDIRECT($L$1&amp;"!D"&amp;Q33))</f>
        <v/>
      </c>
      <c s="108" r="T33">
        <f>IF(Q33=2,"",INDIRECT($L$1&amp;"!E"&amp;Q33))</f>
        <v/>
      </c>
      <c s="108" r="U33">
        <f>IF(Q33=2,"",INDIRECT($L$1&amp;"!F"&amp;Q33))</f>
        <v/>
      </c>
      <c s="108" r="V33" t="n"/>
      <c s="108" r="W33" t="n"/>
      <c s="108" r="X33" t="n"/>
      <c s="108" r="Y33">
        <f>IFERROR(__xludf.dummyfunction("IF(W33="""","""",QUERY(Hallazgos!C:H,""SELECT max(H) WHERE E CONTAINS 'Activo:""&amp;W33&amp;""' LABEL max(H) ''""))"),"")</f>
        <v/>
      </c>
      <c s="108" r="Z33" t="n"/>
      <c s="108" r="AA33" t="n"/>
      <c s="108" r="AB33">
        <f>IFERROR(__xludf.dummyfunction("IF(Z33="""","""",QUERY(Hallazgos!C:H,""SELECT max(H) WHERE E CONTAINS 'Alcance:""&amp;Z33&amp;""' LABEL max(H) ''""))"),"")</f>
        <v/>
      </c>
    </row>
    <row customHeight="1" s="134" r="34" ht="15.75" spans="1:28">
      <c s="106" r="A34" t="n"/>
      <c s="74" r="B34" t="n"/>
      <c s="71" r="C34" t="n"/>
      <c s="106" r="D34" t="n"/>
      <c s="109" r="E34" t="n"/>
      <c s="0" r="F34">
        <f>IF(D34&gt;6.9,D34,0)</f>
        <v/>
      </c>
      <c s="0" r="G34">
        <f>IF(AND(D34&lt;7,D34&gt;3.9),D34,0)</f>
        <v/>
      </c>
      <c s="0" r="H34">
        <f>IF(D34&lt;4,D34,0)</f>
        <v/>
      </c>
      <c s="71" r="I34" t="n"/>
      <c s="71" r="J34" t="n"/>
      <c s="71" r="K34" t="n"/>
      <c s="71" r="L34" t="n"/>
      <c s="71" r="M34" t="n"/>
      <c s="71" r="N34" t="n"/>
      <c s="71" r="O34" t="n"/>
      <c s="108" r="P34" t="n"/>
      <c s="108" r="Q34">
        <f>IFERROR(MATCH(LEFT(P34,8),INDIRECT($L$1&amp;"!A:A"),1),2)</f>
        <v/>
      </c>
      <c s="108" r="R34">
        <f>IF(Q34=2,"",INDIRECT($L$1&amp;"!C"&amp;Q34))</f>
        <v/>
      </c>
      <c s="108" r="S34">
        <f>IF(Q34=2,"",INDIRECT($L$1&amp;"!D"&amp;Q34))</f>
        <v/>
      </c>
      <c s="108" r="T34">
        <f>IF(Q34=2,"",INDIRECT($L$1&amp;"!E"&amp;Q34))</f>
        <v/>
      </c>
      <c s="108" r="U34">
        <f>IF(Q34=2,"",INDIRECT($L$1&amp;"!F"&amp;Q34))</f>
        <v/>
      </c>
      <c s="108" r="V34" t="n"/>
      <c s="108" r="W34" t="n"/>
      <c s="108" r="X34" t="n"/>
      <c s="108" r="Y34">
        <f>IFERROR(__xludf.dummyfunction("IF(W34="""","""",QUERY(Hallazgos!C:H,""SELECT max(H) WHERE E CONTAINS 'Activo:""&amp;W34&amp;""' LABEL max(H) ''""))"),"")</f>
        <v/>
      </c>
      <c s="108" r="Z34" t="n"/>
      <c s="108" r="AA34" t="n"/>
      <c s="108" r="AB34">
        <f>IFERROR(__xludf.dummyfunction("IF(Z34="""","""",QUERY(Hallazgos!C:H,""SELECT max(H) WHERE E CONTAINS 'Alcance:""&amp;Z34&amp;""' LABEL max(H) ''""))"),"")</f>
        <v/>
      </c>
    </row>
    <row customHeight="1" s="134" r="35" ht="15.75" spans="1:28">
      <c s="109" r="A35" t="n"/>
      <c s="74" r="B35" t="n"/>
      <c s="74" r="C35" t="n"/>
      <c s="106" r="D35" t="n"/>
      <c s="106" r="E35" t="n"/>
      <c s="0" r="F35">
        <f>IF(D35&gt;6.9,D35,0)</f>
        <v/>
      </c>
      <c s="0" r="G35">
        <f>IF(AND(D35&lt;7,D35&gt;3.9),D35,0)</f>
        <v/>
      </c>
      <c s="0" r="H35">
        <f>IF(D35&lt;4,D35,0)</f>
        <v/>
      </c>
      <c s="71" r="I35" t="n"/>
      <c s="71" r="J35" t="n"/>
      <c s="71" r="K35" t="n"/>
      <c s="71" r="L35" t="n"/>
      <c s="71" r="M35" t="n"/>
      <c s="71" r="N35" t="n"/>
      <c s="71" r="O35" t="n"/>
      <c s="108" r="P35" t="n"/>
      <c s="108" r="Q35">
        <f>IFERROR(MATCH(LEFT(P35,8),INDIRECT($L$1&amp;"!A:A"),1),2)</f>
        <v/>
      </c>
      <c s="108" r="R35">
        <f>IF(Q35=2,"",INDIRECT($L$1&amp;"!C"&amp;Q35))</f>
        <v/>
      </c>
      <c s="108" r="S35">
        <f>IF(Q35=2,"",INDIRECT($L$1&amp;"!D"&amp;Q35))</f>
        <v/>
      </c>
      <c s="108" r="T35">
        <f>IF(Q35=2,"",INDIRECT($L$1&amp;"!E"&amp;Q35))</f>
        <v/>
      </c>
      <c s="108" r="U35">
        <f>IF(Q35=2,"",INDIRECT($L$1&amp;"!F"&amp;Q35))</f>
        <v/>
      </c>
      <c s="108" r="V35" t="n"/>
      <c s="108" r="W35" t="n"/>
      <c s="108" r="X35" t="n"/>
      <c s="108" r="Y35">
        <f>IFERROR(__xludf.dummyfunction("IF(W35="""","""",QUERY(Hallazgos!C:H,""SELECT max(H) WHERE E CONTAINS 'Activo:""&amp;W35&amp;""' LABEL max(H) ''""))"),"")</f>
        <v/>
      </c>
      <c s="108" r="Z35" t="n"/>
      <c s="108" r="AA35" t="n"/>
      <c s="108" r="AB35">
        <f>IFERROR(__xludf.dummyfunction("IF(Z35="""","""",QUERY(Hallazgos!C:H,""SELECT max(H) WHERE E CONTAINS 'Alcance:""&amp;Z35&amp;""' LABEL max(H) ''""))"),"")</f>
        <v/>
      </c>
    </row>
    <row customHeight="1" s="134" r="36" ht="15.75" spans="1:28">
      <c s="106" r="A36" t="n"/>
      <c s="74" r="B36" t="n"/>
      <c s="71" r="C36" t="n"/>
      <c s="106" r="D36" t="n"/>
      <c s="109" r="E36" t="n"/>
      <c s="0" r="F36">
        <f>IF(D36&gt;6.9,D36,0)</f>
        <v/>
      </c>
      <c s="0" r="G36">
        <f>IF(AND(D36&lt;7,D36&gt;3.9),D36,0)</f>
        <v/>
      </c>
      <c s="0" r="H36">
        <f>IF(D36&lt;4,D36,0)</f>
        <v/>
      </c>
      <c s="71" r="I36" t="n"/>
      <c s="71" r="J36" t="n"/>
      <c s="71" r="K36" t="n"/>
      <c s="71" r="L36" t="n"/>
      <c s="71" r="M36" t="n"/>
      <c s="71" r="N36" t="n"/>
      <c s="71" r="O36" t="n"/>
      <c s="108" r="P36" t="n"/>
      <c s="108" r="Q36">
        <f>IFERROR(MATCH(LEFT(P36,8),INDIRECT($L$1&amp;"!A:A"),1),2)</f>
        <v/>
      </c>
      <c s="108" r="R36">
        <f>IF(Q36=2,"",INDIRECT($L$1&amp;"!C"&amp;Q36))</f>
        <v/>
      </c>
      <c s="108" r="S36">
        <f>IF(Q36=2,"",INDIRECT($L$1&amp;"!D"&amp;Q36))</f>
        <v/>
      </c>
      <c s="108" r="T36">
        <f>IF(Q36=2,"",INDIRECT($L$1&amp;"!E"&amp;Q36))</f>
        <v/>
      </c>
      <c s="108" r="U36">
        <f>IF(Q36=2,"",INDIRECT($L$1&amp;"!F"&amp;Q36))</f>
        <v/>
      </c>
      <c s="108" r="V36" t="n"/>
      <c s="108" r="W36" t="n"/>
      <c s="108" r="X36" t="n"/>
      <c s="108" r="Y36">
        <f>IFERROR(__xludf.dummyfunction("IF(W36="""","""",QUERY(Hallazgos!C:H,""SELECT max(H) WHERE E CONTAINS 'Activo:""&amp;W36&amp;""' LABEL max(H) ''""))"),"")</f>
        <v/>
      </c>
      <c s="108" r="Z36" t="n"/>
      <c s="108" r="AA36" t="n"/>
      <c s="108" r="AB36">
        <f>IFERROR(__xludf.dummyfunction("IF(Z36="""","""",QUERY(Hallazgos!C:H,""SELECT max(H) WHERE E CONTAINS 'Alcance:""&amp;Z36&amp;""' LABEL max(H) ''""))"),"")</f>
        <v/>
      </c>
    </row>
    <row customHeight="1" s="134" r="37" ht="15.75" spans="1:28">
      <c s="106" r="A37" t="n"/>
      <c s="74" r="B37" t="n"/>
      <c s="71" r="C37" t="n"/>
      <c s="106" r="D37" t="n"/>
      <c s="109" r="E37" t="n"/>
      <c s="0" r="F37">
        <f>IF(D37&gt;6.9,D37,0)</f>
        <v/>
      </c>
      <c s="0" r="G37">
        <f>IF(AND(D37&lt;7,D37&gt;3.9),D37,0)</f>
        <v/>
      </c>
      <c s="0" r="H37">
        <f>IF(D37&lt;4,D37,0)</f>
        <v/>
      </c>
      <c s="71" r="I37" t="n"/>
      <c s="71" r="J37" t="n"/>
      <c s="71" r="K37" t="n"/>
      <c s="71" r="L37" t="n"/>
      <c s="71" r="M37" t="n"/>
      <c s="71" r="N37" t="n"/>
      <c s="71" r="O37" t="n"/>
      <c s="108" r="P37" t="n"/>
      <c s="108" r="Q37">
        <f>IFERROR(MATCH(LEFT(P37,8),INDIRECT($L$1&amp;"!A:A"),1),2)</f>
        <v/>
      </c>
      <c s="108" r="R37">
        <f>IF(Q37=2,"",INDIRECT($L$1&amp;"!C"&amp;Q37))</f>
        <v/>
      </c>
      <c s="108" r="S37">
        <f>IF(Q37=2,"",INDIRECT($L$1&amp;"!D"&amp;Q37))</f>
        <v/>
      </c>
      <c s="108" r="T37">
        <f>IF(Q37=2,"",INDIRECT($L$1&amp;"!E"&amp;Q37))</f>
        <v/>
      </c>
      <c s="108" r="U37">
        <f>IF(Q37=2,"",INDIRECT($L$1&amp;"!F"&amp;Q37))</f>
        <v/>
      </c>
      <c s="108" r="V37" t="n"/>
      <c s="108" r="W37" t="n"/>
      <c s="108" r="X37" t="n"/>
      <c s="108" r="Y37">
        <f>IFERROR(__xludf.dummyfunction("IF(W37="""","""",QUERY(Hallazgos!C:H,""SELECT max(H) WHERE E CONTAINS 'Activo:""&amp;W37&amp;""' LABEL max(H) ''""))"),"")</f>
        <v/>
      </c>
      <c s="108" r="Z37" t="n"/>
      <c s="108" r="AA37" t="n"/>
      <c s="108" r="AB37">
        <f>IFERROR(__xludf.dummyfunction("IF(Z37="""","""",QUERY(Hallazgos!C:H,""SELECT max(H) WHERE E CONTAINS 'Alcance:""&amp;Z37&amp;""' LABEL max(H) ''""))"),"")</f>
        <v/>
      </c>
    </row>
    <row customHeight="1" s="134" r="38" ht="15.75" spans="1:28">
      <c s="106" r="A38" t="n"/>
      <c s="74" r="B38" t="n"/>
      <c s="71" r="C38" t="n"/>
      <c s="106" r="D38" t="n"/>
      <c s="109" r="E38" t="n"/>
      <c s="0" r="F38">
        <f>IF(D38&gt;6.9,D38,0)</f>
        <v/>
      </c>
      <c s="0" r="G38">
        <f>IF(AND(D38&lt;7,D38&gt;3.9),D38,0)</f>
        <v/>
      </c>
      <c s="0" r="H38">
        <f>IF(D38&lt;4,D38,0)</f>
        <v/>
      </c>
      <c s="71" r="I38" t="n"/>
      <c s="71" r="J38" t="n"/>
      <c s="71" r="K38" t="n"/>
      <c s="71" r="L38" t="n"/>
      <c s="71" r="M38" t="n"/>
      <c s="71" r="N38" t="n"/>
      <c s="71" r="O38" t="n"/>
      <c s="108" r="P38" t="n"/>
      <c s="108" r="Q38">
        <f>IFERROR(MATCH(LEFT(P38,8),INDIRECT($L$1&amp;"!A:A"),1),2)</f>
        <v/>
      </c>
      <c s="108" r="R38">
        <f>IF(Q38=2,"",INDIRECT($L$1&amp;"!C"&amp;Q38))</f>
        <v/>
      </c>
      <c s="108" r="S38">
        <f>IF(Q38=2,"",INDIRECT($L$1&amp;"!D"&amp;Q38))</f>
        <v/>
      </c>
      <c s="108" r="T38">
        <f>IF(Q38=2,"",INDIRECT($L$1&amp;"!E"&amp;Q38))</f>
        <v/>
      </c>
      <c s="108" r="U38">
        <f>IF(Q38=2,"",INDIRECT($L$1&amp;"!F"&amp;Q38))</f>
        <v/>
      </c>
      <c s="108" r="V38" t="n"/>
      <c s="108" r="W38" t="n"/>
      <c s="108" r="X38" t="n"/>
      <c s="108" r="Y38">
        <f>IFERROR(__xludf.dummyfunction("IF(W38="""","""",QUERY(Hallazgos!C:H,""SELECT max(H) WHERE E CONTAINS 'Activo:""&amp;W38&amp;""' LABEL max(H) ''""))"),"")</f>
        <v/>
      </c>
      <c s="108" r="Z38" t="n"/>
      <c s="108" r="AA38" t="n"/>
      <c s="108" r="AB38">
        <f>IFERROR(__xludf.dummyfunction("IF(Z38="""","""",QUERY(Hallazgos!C:H,""SELECT max(H) WHERE E CONTAINS 'Alcance:""&amp;Z38&amp;""' LABEL max(H) ''""))"),"")</f>
        <v/>
      </c>
    </row>
    <row customHeight="1" s="134" r="39" ht="15.75" spans="1:28">
      <c s="106" r="A39" t="n"/>
      <c s="74" r="B39" t="n"/>
      <c s="71" r="C39" t="n"/>
      <c s="106" r="D39" t="n"/>
      <c s="109" r="E39" t="n"/>
      <c s="0" r="F39">
        <f>IF(D39&gt;6.9,D39,0)</f>
        <v/>
      </c>
      <c s="0" r="G39">
        <f>IF(AND(D39&lt;7,D39&gt;3.9),D39,0)</f>
        <v/>
      </c>
      <c s="0" r="H39">
        <f>IF(D39&lt;4,D39,0)</f>
        <v/>
      </c>
      <c s="71" r="I39" t="n"/>
      <c s="71" r="J39" t="n"/>
      <c s="71" r="K39" t="n"/>
      <c s="71" r="L39" t="n"/>
      <c s="71" r="M39" t="n"/>
      <c s="71" r="N39" t="n"/>
      <c s="71" r="O39" t="n"/>
      <c s="108" r="P39" t="n"/>
      <c s="108" r="Q39">
        <f>IFERROR(MATCH(LEFT(P39,8),INDIRECT($L$1&amp;"!A:A"),1),2)</f>
        <v/>
      </c>
      <c s="108" r="R39">
        <f>IF(Q39=2,"",INDIRECT($L$1&amp;"!C"&amp;Q39))</f>
        <v/>
      </c>
      <c s="108" r="S39">
        <f>IF(Q39=2,"",INDIRECT($L$1&amp;"!D"&amp;Q39))</f>
        <v/>
      </c>
      <c s="108" r="T39">
        <f>IF(Q39=2,"",INDIRECT($L$1&amp;"!E"&amp;Q39))</f>
        <v/>
      </c>
      <c s="108" r="U39">
        <f>IF(Q39=2,"",INDIRECT($L$1&amp;"!F"&amp;Q39))</f>
        <v/>
      </c>
      <c s="108" r="V39" t="n"/>
      <c s="108" r="W39" t="n"/>
      <c s="108" r="X39" t="n"/>
      <c s="108" r="Y39">
        <f>IFERROR(__xludf.dummyfunction("IF(W39="""","""",QUERY(Hallazgos!C:H,""SELECT max(H) WHERE E CONTAINS 'Activo:""&amp;W39&amp;""' LABEL max(H) ''""))"),"")</f>
        <v/>
      </c>
      <c s="108" r="Z39" t="n"/>
      <c s="108" r="AA39" t="n"/>
      <c s="108" r="AB39">
        <f>IFERROR(__xludf.dummyfunction("IF(Z39="""","""",QUERY(Hallazgos!C:H,""SELECT max(H) WHERE E CONTAINS 'Alcance:""&amp;Z39&amp;""' LABEL max(H) ''""))"),"")</f>
        <v/>
      </c>
    </row>
    <row customHeight="1" s="134" r="40" ht="15.75" spans="1:28">
      <c s="106" r="A40" t="n"/>
      <c s="74" r="B40" t="n"/>
      <c s="71" r="C40" t="n"/>
      <c s="106" r="D40" t="n"/>
      <c s="109" r="E40" t="n"/>
      <c s="0" r="F40">
        <f>IF(D40&gt;6.9,D40,0)</f>
        <v/>
      </c>
      <c s="0" r="G40">
        <f>IF(AND(D40&lt;7,D40&gt;3.9),D40,0)</f>
        <v/>
      </c>
      <c s="0" r="H40">
        <f>IF(D40&lt;4,D40,0)</f>
        <v/>
      </c>
      <c s="71" r="I40" t="n"/>
      <c s="71" r="J40" t="n"/>
      <c s="71" r="K40" t="n"/>
      <c s="71" r="L40" t="n"/>
      <c s="71" r="M40" t="n"/>
      <c s="71" r="N40" t="n"/>
      <c s="71" r="O40" t="n"/>
      <c s="108" r="P40" t="n"/>
      <c s="108" r="Q40">
        <f>IFERROR(MATCH(LEFT(P40,8),INDIRECT($L$1&amp;"!A:A"),1),2)</f>
        <v/>
      </c>
      <c s="108" r="R40">
        <f>IF(Q40=2,"",INDIRECT($L$1&amp;"!C"&amp;Q40))</f>
        <v/>
      </c>
      <c s="108" r="S40">
        <f>IF(Q40=2,"",INDIRECT($L$1&amp;"!D"&amp;Q40))</f>
        <v/>
      </c>
      <c s="108" r="T40">
        <f>IF(Q40=2,"",INDIRECT($L$1&amp;"!E"&amp;Q40))</f>
        <v/>
      </c>
      <c s="108" r="U40">
        <f>IF(Q40=2,"",INDIRECT($L$1&amp;"!F"&amp;Q40))</f>
        <v/>
      </c>
      <c s="108" r="V40" t="n"/>
      <c s="108" r="W40" t="n"/>
      <c s="108" r="X40" t="n"/>
      <c s="108" r="Y40">
        <f>IFERROR(__xludf.dummyfunction("IF(W40="""","""",QUERY(Hallazgos!C:H,""SELECT max(H) WHERE E CONTAINS 'Activo:""&amp;W40&amp;""' LABEL max(H) ''""))"),"")</f>
        <v/>
      </c>
      <c s="108" r="Z40" t="n"/>
      <c s="108" r="AA40" t="n"/>
      <c s="108" r="AB40">
        <f>IFERROR(__xludf.dummyfunction("IF(Z40="""","""",QUERY(Hallazgos!C:H,""SELECT max(H) WHERE E CONTAINS 'Alcance:""&amp;Z40&amp;""' LABEL max(H) ''""))"),"")</f>
        <v/>
      </c>
    </row>
    <row customHeight="1" s="134" r="41" ht="15.75" spans="1:28">
      <c s="106" r="A41" t="n"/>
      <c s="74" r="B41" t="n"/>
      <c s="71" r="C41" t="n"/>
      <c s="106" r="D41" t="n"/>
      <c s="109" r="E41" t="n"/>
      <c s="0" r="F41">
        <f>IF(D41&gt;6.9,D41,0)</f>
        <v/>
      </c>
      <c s="0" r="G41">
        <f>IF(AND(D41&lt;7,D41&gt;3.9),D41,0)</f>
        <v/>
      </c>
      <c s="0" r="H41">
        <f>IF(D41&lt;4,D41,0)</f>
        <v/>
      </c>
      <c s="71" r="I41" t="n"/>
      <c s="71" r="J41" t="n"/>
      <c s="71" r="K41" t="n"/>
      <c s="71" r="L41" t="n"/>
      <c s="71" r="M41" t="n"/>
      <c s="71" r="N41" t="n"/>
      <c s="71" r="O41" t="n"/>
      <c s="108" r="P41" t="n"/>
      <c s="108" r="Q41">
        <f>IFERROR(MATCH(LEFT(P41,8),INDIRECT($L$1&amp;"!A:A"),1),2)</f>
        <v/>
      </c>
      <c s="108" r="R41">
        <f>IF(Q41=2,"",INDIRECT($L$1&amp;"!C"&amp;Q41))</f>
        <v/>
      </c>
      <c s="108" r="S41">
        <f>IF(Q41=2,"",INDIRECT($L$1&amp;"!D"&amp;Q41))</f>
        <v/>
      </c>
      <c s="108" r="T41">
        <f>IF(Q41=2,"",INDIRECT($L$1&amp;"!E"&amp;Q41))</f>
        <v/>
      </c>
      <c s="108" r="U41">
        <f>IF(Q41=2,"",INDIRECT($L$1&amp;"!F"&amp;Q41))</f>
        <v/>
      </c>
      <c s="108" r="V41" t="n"/>
      <c s="108" r="W41" t="n"/>
      <c s="108" r="X41" t="n"/>
      <c s="108" r="Y41">
        <f>IFERROR(__xludf.dummyfunction("IF(W41="""","""",QUERY(Hallazgos!C:H,""SELECT max(H) WHERE E CONTAINS 'Activo:""&amp;W41&amp;""' LABEL max(H) ''""))"),"")</f>
        <v/>
      </c>
      <c s="108" r="Z41" t="n"/>
      <c s="108" r="AA41" t="n"/>
      <c s="108" r="AB41">
        <f>IFERROR(__xludf.dummyfunction("IF(Z41="""","""",QUERY(Hallazgos!C:H,""SELECT max(H) WHERE E CONTAINS 'Alcance:""&amp;Z41&amp;""' LABEL max(H) ''""))"),"")</f>
        <v/>
      </c>
    </row>
    <row customHeight="1" s="134" r="42" ht="15.75" spans="1:28">
      <c s="106" r="A42" t="n"/>
      <c s="74" r="B42" t="n"/>
      <c s="71" r="C42" t="n"/>
      <c s="106" r="D42" t="n"/>
      <c s="109" r="E42" t="n"/>
      <c s="0" r="F42">
        <f>IF(D42&gt;6.9,D42,0)</f>
        <v/>
      </c>
      <c s="0" r="G42">
        <f>IF(AND(D42&lt;7,D42&gt;3.9),D42,0)</f>
        <v/>
      </c>
      <c s="0" r="H42">
        <f>IF(D42&lt;4,D42,0)</f>
        <v/>
      </c>
      <c s="71" r="I42" t="n"/>
      <c s="71" r="J42" t="n"/>
      <c s="71" r="K42" t="n"/>
      <c s="71" r="L42" t="n"/>
      <c s="71" r="M42" t="n"/>
      <c s="71" r="N42" t="n"/>
      <c s="71" r="O42" t="n"/>
      <c s="108" r="P42" t="n"/>
      <c s="108" r="Q42">
        <f>IFERROR(MATCH(LEFT(P42,8),INDIRECT($L$1&amp;"!A:A"),1),2)</f>
        <v/>
      </c>
      <c s="108" r="R42">
        <f>IF(Q42=2,"",INDIRECT($L$1&amp;"!C"&amp;Q42))</f>
        <v/>
      </c>
      <c s="108" r="S42">
        <f>IF(Q42=2,"",INDIRECT($L$1&amp;"!D"&amp;Q42))</f>
        <v/>
      </c>
      <c s="108" r="T42">
        <f>IF(Q42=2,"",INDIRECT($L$1&amp;"!E"&amp;Q42))</f>
        <v/>
      </c>
      <c s="108" r="U42">
        <f>IF(Q42=2,"",INDIRECT($L$1&amp;"!F"&amp;Q42))</f>
        <v/>
      </c>
      <c s="108" r="V42" t="n"/>
      <c s="108" r="W42" t="n"/>
      <c s="108" r="X42" t="n"/>
      <c s="108" r="Y42">
        <f>IFERROR(__xludf.dummyfunction("IF(W42="""","""",QUERY(Hallazgos!C:H,""SELECT max(H) WHERE E CONTAINS 'Activo:""&amp;W42&amp;""' LABEL max(H) ''""))"),"")</f>
        <v/>
      </c>
      <c s="108" r="Z42" t="n"/>
      <c s="108" r="AA42" t="n"/>
      <c s="108" r="AB42">
        <f>IFERROR(__xludf.dummyfunction("IF(Z42="""","""",QUERY(Hallazgos!C:H,""SELECT max(H) WHERE E CONTAINS 'Alcance:""&amp;Z42&amp;""' LABEL max(H) ''""))"),"")</f>
        <v/>
      </c>
    </row>
    <row customHeight="1" s="134" r="43" ht="15.75" spans="1:28">
      <c s="106" r="A43" t="n"/>
      <c s="74" r="B43" t="n"/>
      <c s="71" r="C43" t="n"/>
      <c s="106" r="D43" t="n"/>
      <c s="109" r="E43" t="n"/>
      <c s="0" r="F43">
        <f>IF(D43&gt;6.9,D43,0)</f>
        <v/>
      </c>
      <c s="0" r="G43">
        <f>IF(AND(D43&lt;7,D43&gt;3.9),D43,0)</f>
        <v/>
      </c>
      <c s="0" r="H43">
        <f>IF(D43&lt;4,D43,0)</f>
        <v/>
      </c>
      <c s="71" r="I43" t="n"/>
      <c s="71" r="J43" t="n"/>
      <c s="71" r="K43" t="n"/>
      <c s="71" r="L43" t="n"/>
      <c s="71" r="M43" t="n"/>
      <c s="71" r="N43" t="n"/>
      <c s="71" r="O43" t="n"/>
      <c s="108" r="P43" t="n"/>
      <c s="108" r="Q43">
        <f>IFERROR(MATCH(LEFT(P43,8),INDIRECT($L$1&amp;"!A:A"),1),2)</f>
        <v/>
      </c>
      <c s="108" r="R43">
        <f>IF(Q43=2,"",INDIRECT($L$1&amp;"!C"&amp;Q43))</f>
        <v/>
      </c>
      <c s="108" r="S43">
        <f>IF(Q43=2,"",INDIRECT($L$1&amp;"!D"&amp;Q43))</f>
        <v/>
      </c>
      <c s="108" r="T43">
        <f>IF(Q43=2,"",INDIRECT($L$1&amp;"!E"&amp;Q43))</f>
        <v/>
      </c>
      <c s="108" r="U43">
        <f>IF(Q43=2,"",INDIRECT($L$1&amp;"!F"&amp;Q43))</f>
        <v/>
      </c>
      <c s="108" r="V43" t="n"/>
      <c s="108" r="W43" t="n"/>
      <c s="108" r="X43" t="n"/>
      <c s="108" r="Y43">
        <f>IFERROR(__xludf.dummyfunction("IF(W43="""","""",QUERY(Hallazgos!C:H,""SELECT max(H) WHERE E CONTAINS 'Activo:""&amp;W43&amp;""' LABEL max(H) ''""))"),"")</f>
        <v/>
      </c>
      <c s="108" r="Z43" t="n"/>
      <c s="108" r="AA43" t="n"/>
      <c s="108" r="AB43">
        <f>IFERROR(__xludf.dummyfunction("IF(Z43="""","""",QUERY(Hallazgos!C:H,""SELECT max(H) WHERE E CONTAINS 'Alcance:""&amp;Z43&amp;""' LABEL max(H) ''""))"),"")</f>
        <v/>
      </c>
    </row>
    <row customHeight="1" s="134" r="44" ht="15.75" spans="1:28">
      <c s="106" r="A44" t="n"/>
      <c s="74" r="B44" t="n"/>
      <c s="71" r="C44" t="n"/>
      <c s="106" r="D44" t="n"/>
      <c s="109" r="E44" t="n"/>
      <c s="108" r="F44" t="n"/>
      <c s="71" r="G44">
        <f>LEFT(F44,3)</f>
        <v/>
      </c>
      <c s="71" r="H44">
        <f>LEFT(F44,3)</f>
        <v/>
      </c>
      <c s="71" r="I44" t="n"/>
      <c s="71" r="J44" t="n"/>
      <c s="71" r="K44" t="n"/>
      <c s="71" r="L44" t="n"/>
      <c s="71" r="M44" t="n"/>
      <c s="71" r="N44" t="n"/>
      <c s="71" r="O44" t="n"/>
      <c s="108" r="P44" t="n"/>
      <c s="108" r="Q44" t="n"/>
      <c s="108" r="R44" t="n"/>
      <c s="108" r="S44" t="n"/>
      <c s="108" r="T44" t="n"/>
      <c s="108" r="U44" t="n"/>
      <c s="108" r="V44" t="n"/>
      <c s="108" r="W44" t="n"/>
      <c s="108" r="X44" t="n"/>
      <c s="108" r="Y44" t="n"/>
      <c s="108" r="Z44" t="n"/>
      <c s="108" r="AA44" t="n"/>
      <c s="90" r="AB44" t="n"/>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4.xml><?xml version="1.0" encoding="utf-8"?>
<worksheet xmlns="http://schemas.openxmlformats.org/spreadsheetml/2006/main">
  <sheetPr filterMode="0">
    <outlinePr summaryBelow="1" summaryRight="1"/>
    <pageSetUpPr fitToPage="0"/>
  </sheetPr>
  <dimension ref="A1:G35"/>
  <sheetViews>
    <sheetView colorId="64" defaultGridColor="1" rightToLeft="0" showFormulas="0" showGridLine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25.1071428571429"/>
    <col customWidth="1" max="2" min="2" width="7.69387755102041"/>
    <col customWidth="1" max="3" min="3" width="8.36734693877551"/>
    <col customWidth="1" max="4" min="4" width="14.1734693877551"/>
    <col customWidth="1" max="5" min="5" width="10.8010204081633"/>
    <col customWidth="1" max="6" min="6" width="10.3928571428571"/>
    <col customWidth="1" max="7" min="7" width="2.29591836734694"/>
    <col customWidth="1" max="1025" min="8" width="13.6326530612245"/>
  </cols>
  <sheetData>
    <row customHeight="1" s="134" r="1" ht="15.75" spans="1:7">
      <c s="114" r="A1" t="s">
        <v>1285</v>
      </c>
    </row>
    <row customHeight="1" s="134" r="2" ht="15.75" spans="1:7">
      <c s="115" r="A2" t="n"/>
      <c s="115" r="B2" t="n"/>
      <c s="115" r="C2" t="n"/>
      <c s="115" r="D2" t="n"/>
      <c s="115" r="E2" t="n"/>
      <c s="115" r="F2" t="n"/>
    </row>
    <row customHeight="1" s="134" r="3" ht="15.75" spans="1:7">
      <c s="116" r="A3" t="s">
        <v>1286</v>
      </c>
      <c s="116" r="B3" t="s">
        <v>1287</v>
      </c>
      <c s="116" r="C3" t="s">
        <v>1288</v>
      </c>
      <c s="73" r="G3" t="n"/>
    </row>
    <row customHeight="1" s="134" r="4" ht="15.75" spans="1:7">
      <c s="76" r="A4" t="s">
        <v>1289</v>
      </c>
      <c s="25" r="B4" t="s">
        <v>1290</v>
      </c>
      <c s="76" r="C4" t="s">
        <v>733</v>
      </c>
      <c s="76" r="D4" t="s">
        <v>1291</v>
      </c>
      <c s="76" r="E4" t="s">
        <v>772</v>
      </c>
      <c s="76" r="F4" t="n"/>
      <c s="73" r="G4" t="n"/>
    </row>
    <row customHeight="1" s="134" r="5" ht="15.75" spans="1:7">
      <c s="76" r="A5" t="s">
        <v>1292</v>
      </c>
      <c s="25" r="B5" t="s">
        <v>1293</v>
      </c>
      <c s="76" r="C5" t="s">
        <v>759</v>
      </c>
      <c s="76" r="D5" t="s">
        <v>740</v>
      </c>
      <c s="76" r="E5" t="s">
        <v>776</v>
      </c>
      <c s="76" r="F5" t="n"/>
      <c s="73" r="G5" t="n"/>
    </row>
    <row customHeight="1" s="134" r="6" ht="15.75" spans="1:7">
      <c s="76" r="A6" t="s">
        <v>1294</v>
      </c>
      <c s="25" r="B6" t="s">
        <v>1295</v>
      </c>
      <c s="76" r="C6" t="s">
        <v>1296</v>
      </c>
      <c s="76" r="D6" t="s">
        <v>1297</v>
      </c>
      <c s="76" r="E6" t="s">
        <v>743</v>
      </c>
      <c s="76" r="F6" t="n"/>
      <c s="73" r="G6" t="n"/>
    </row>
    <row customHeight="1" s="134" r="7" ht="15.75" spans="1:7">
      <c s="76" r="A7" t="s">
        <v>1298</v>
      </c>
      <c s="25" r="B7" t="s">
        <v>1269</v>
      </c>
      <c s="76" r="C7" t="s">
        <v>747</v>
      </c>
      <c s="76" r="D7" t="s">
        <v>770</v>
      </c>
      <c s="76" r="E7" t="s">
        <v>746</v>
      </c>
      <c s="76" r="F7" t="n"/>
      <c s="73" r="G7" t="n"/>
    </row>
    <row customHeight="1" s="134" r="8" ht="15.75" spans="1:7">
      <c s="76" r="A8" t="s">
        <v>1299</v>
      </c>
      <c s="25" r="B8" t="s">
        <v>1300</v>
      </c>
      <c s="76" r="C8" t="s">
        <v>747</v>
      </c>
      <c s="76" r="D8" t="s">
        <v>770</v>
      </c>
      <c s="76" r="E8" t="s">
        <v>746</v>
      </c>
      <c s="76" r="F8" t="n"/>
      <c s="73" r="G8" t="n"/>
    </row>
    <row customHeight="1" s="134" r="9" ht="15.75" spans="1:7">
      <c s="76" r="A9" t="s">
        <v>1301</v>
      </c>
      <c s="25" r="B9" t="s">
        <v>1302</v>
      </c>
      <c s="76" r="C9" t="s">
        <v>747</v>
      </c>
      <c s="76" r="D9" t="s">
        <v>770</v>
      </c>
      <c s="76" r="E9" t="s">
        <v>746</v>
      </c>
      <c s="76" r="F9" t="n"/>
      <c s="73" r="G9" t="n"/>
    </row>
    <row customHeight="1" s="134" r="10" ht="15.75" spans="1:7">
      <c s="76" r="A10" t="s">
        <v>1303</v>
      </c>
      <c s="25" r="B10" t="s">
        <v>1304</v>
      </c>
      <c s="76" r="C10" t="s">
        <v>1305</v>
      </c>
      <c s="76" r="D10" t="s">
        <v>748</v>
      </c>
      <c s="76" r="E10" t="s">
        <v>1306</v>
      </c>
      <c s="76" r="F10" t="s">
        <v>759</v>
      </c>
      <c s="73" r="G10" t="n"/>
    </row>
    <row customHeight="1" s="134" r="11" ht="15.75" spans="1:7">
      <c s="76" r="A11" t="s">
        <v>1307</v>
      </c>
      <c s="25" r="B11" t="s">
        <v>1308</v>
      </c>
      <c s="76" r="C11" t="s">
        <v>749</v>
      </c>
      <c s="76" r="D11" t="s">
        <v>1309</v>
      </c>
      <c s="76" r="E11" t="s">
        <v>1310</v>
      </c>
      <c s="76" r="F11" t="s">
        <v>777</v>
      </c>
      <c s="73" r="G11" t="n"/>
    </row>
    <row customHeight="1" s="134" r="12" ht="15.75" spans="1:7">
      <c s="76" r="A12" t="s">
        <v>1311</v>
      </c>
      <c s="25" r="B12" t="s">
        <v>1312</v>
      </c>
      <c s="76" r="C12" t="s">
        <v>1313</v>
      </c>
      <c s="76" r="D12" t="s">
        <v>760</v>
      </c>
      <c s="76" r="E12" t="s">
        <v>750</v>
      </c>
      <c s="76" r="F12" t="n"/>
      <c s="73" r="G12" t="n"/>
    </row>
    <row customHeight="1" s="134" r="13" ht="15.75" spans="1:7">
      <c s="20" r="A13" t="n"/>
      <c s="20" r="B13" t="n"/>
      <c s="20" r="C13" t="n"/>
      <c s="20" r="D13" t="n"/>
      <c s="20" r="E13" t="n"/>
      <c s="20" r="F13" t="n"/>
    </row>
    <row customHeight="1" s="134" r="14" ht="15.75" spans="1:7">
      <c s="116" r="A14" t="s">
        <v>1286</v>
      </c>
      <c s="116" r="B14" t="s">
        <v>1287</v>
      </c>
      <c s="116" r="C14" t="s">
        <v>1288</v>
      </c>
      <c s="73" r="G14" t="n"/>
    </row>
    <row customHeight="1" s="134" r="15" ht="15.75" spans="1:7">
      <c s="76" r="A15" t="s">
        <v>1314</v>
      </c>
      <c s="25" r="B15" t="s">
        <v>1290</v>
      </c>
      <c s="25" r="C15" t="n">
        <v>0.395</v>
      </c>
      <c s="25" r="D15" t="n">
        <v>0.646</v>
      </c>
      <c s="25" r="E15" t="n">
        <v>1</v>
      </c>
      <c s="25" r="F15" t="n"/>
      <c s="73" r="G15" t="n"/>
    </row>
    <row customHeight="1" s="134" r="16" ht="15.75" spans="1:7">
      <c s="76" r="A16" t="s">
        <v>1315</v>
      </c>
      <c s="25" r="B16" t="s">
        <v>1293</v>
      </c>
      <c s="25" r="C16" t="n">
        <v>0.35</v>
      </c>
      <c s="25" r="D16" t="n">
        <v>0.61</v>
      </c>
      <c s="25" r="E16" t="n">
        <v>0.71</v>
      </c>
      <c s="25" r="F16" t="n"/>
      <c s="73" r="G16" t="n"/>
    </row>
    <row customHeight="1" s="134" r="17" ht="15.75" spans="1:7">
      <c s="76" r="A17" t="s">
        <v>1316</v>
      </c>
      <c s="25" r="B17" t="s">
        <v>1295</v>
      </c>
      <c s="25" r="C17" t="n">
        <v>0.45</v>
      </c>
      <c s="25" r="D17" t="n">
        <v>0.5600000000000001</v>
      </c>
      <c s="25" r="E17" t="n">
        <v>0.704</v>
      </c>
      <c s="25" r="F17" t="n"/>
      <c s="73" r="G17" t="n"/>
    </row>
    <row customHeight="1" s="134" r="18" ht="15.75" spans="1:7">
      <c s="76" r="A18" t="s">
        <v>1317</v>
      </c>
      <c s="25" r="B18" t="s">
        <v>1269</v>
      </c>
      <c s="25" r="C18">
        <f>0</f>
        <v/>
      </c>
      <c s="25" r="D18">
        <f>0.275</f>
        <v/>
      </c>
      <c s="25" r="E18">
        <f>0.66</f>
        <v/>
      </c>
      <c s="25" r="F18" t="n"/>
      <c s="73" r="G18" t="n"/>
    </row>
    <row customHeight="1" s="134" r="19" ht="15.75" spans="1:7">
      <c s="76" r="A19" t="s">
        <v>1318</v>
      </c>
      <c s="25" r="B19" t="s">
        <v>1300</v>
      </c>
      <c s="25" r="C19">
        <f>0</f>
        <v/>
      </c>
      <c s="25" r="D19">
        <f>0.275</f>
        <v/>
      </c>
      <c s="25" r="E19">
        <f>0.66</f>
        <v/>
      </c>
      <c s="25" r="F19" t="n"/>
      <c s="73" r="G19" t="n"/>
    </row>
    <row customHeight="1" s="134" r="20" ht="15.75" spans="1:7">
      <c s="76" r="A20" t="s">
        <v>1319</v>
      </c>
      <c s="25" r="B20" t="s">
        <v>1302</v>
      </c>
      <c s="25" r="C20">
        <f>0</f>
        <v/>
      </c>
      <c s="25" r="D20">
        <f>0.275</f>
        <v/>
      </c>
      <c s="25" r="E20">
        <f>0.66</f>
        <v/>
      </c>
      <c s="25" r="F20" t="n"/>
      <c s="73" r="G20" t="n"/>
    </row>
    <row customHeight="1" s="134" r="21" ht="15.75" spans="1:7">
      <c s="76" r="A21" t="s">
        <v>1320</v>
      </c>
      <c s="25" r="B21" t="s">
        <v>1304</v>
      </c>
      <c s="25" r="C21" t="n">
        <v>0.85</v>
      </c>
      <c s="25" r="D21" t="n">
        <v>0.9</v>
      </c>
      <c s="25" r="E21" t="n">
        <v>0.95</v>
      </c>
      <c s="25" r="F21" t="n">
        <v>1</v>
      </c>
      <c s="73" r="G21" t="n"/>
    </row>
    <row customHeight="1" s="134" r="22" ht="15.75" spans="1:7">
      <c s="76" r="A22" t="s">
        <v>1321</v>
      </c>
      <c s="25" r="B22" t="s">
        <v>1308</v>
      </c>
      <c s="25" r="C22" t="n">
        <v>0.87</v>
      </c>
      <c s="25" r="D22" t="n">
        <v>0.9</v>
      </c>
      <c s="25" r="E22" t="n">
        <v>0.95</v>
      </c>
      <c s="25" r="F22" t="n">
        <v>1</v>
      </c>
      <c s="73" r="G22" t="n"/>
    </row>
    <row customHeight="1" s="134" r="23" ht="15.75" spans="1:7">
      <c s="76" r="A23" t="s">
        <v>1322</v>
      </c>
      <c s="25" r="B23" t="s">
        <v>1312</v>
      </c>
      <c s="25" r="C23" t="n">
        <v>0.9</v>
      </c>
      <c s="25" r="D23" t="n">
        <v>0.95</v>
      </c>
      <c s="25" r="E23" t="n">
        <v>1</v>
      </c>
      <c s="25" r="F23" t="n"/>
      <c s="73" r="G23" t="n"/>
    </row>
    <row customHeight="1" s="134" r="24" ht="15.75" spans="1:7">
      <c s="20" r="A24" t="n"/>
      <c s="20" r="B24" t="n"/>
      <c s="20" r="C24" t="n"/>
      <c s="20" r="D24" t="n"/>
      <c s="20" r="E24" t="n"/>
      <c s="20" r="F24" t="n"/>
    </row>
    <row customHeight="1" s="134" r="25" ht="15.75" spans="1:7">
      <c s="116" r="A25" t="s">
        <v>1286</v>
      </c>
      <c s="116" r="B25" t="s">
        <v>1287</v>
      </c>
      <c s="116" r="C25" t="s">
        <v>1288</v>
      </c>
      <c s="73" r="G25" t="n"/>
    </row>
    <row customHeight="1" s="134" r="26" ht="15.75" spans="1:7">
      <c s="76" r="A26" t="s">
        <v>1314</v>
      </c>
      <c s="25" r="B26" t="s">
        <v>1290</v>
      </c>
      <c s="25" r="C26" t="s">
        <v>1323</v>
      </c>
      <c s="25" r="D26" t="s">
        <v>1302</v>
      </c>
      <c s="25" r="E26" t="s">
        <v>1324</v>
      </c>
      <c s="25" r="F26" t="n"/>
      <c s="73" r="G26" t="n"/>
    </row>
    <row customHeight="1" s="134" r="27" ht="15.75" spans="1:7">
      <c s="76" r="A27" t="s">
        <v>1315</v>
      </c>
      <c s="25" r="B27" t="s">
        <v>1293</v>
      </c>
      <c s="25" r="C27" t="s">
        <v>1325</v>
      </c>
      <c s="25" r="D27" t="s">
        <v>1326</v>
      </c>
      <c s="25" r="E27" t="s">
        <v>1323</v>
      </c>
      <c s="25" r="F27" t="n"/>
      <c s="73" r="G27" t="n"/>
    </row>
    <row customHeight="1" s="134" r="28" ht="15.75" spans="1:7">
      <c s="76" r="A28" t="s">
        <v>1316</v>
      </c>
      <c s="25" r="B28" t="s">
        <v>1295</v>
      </c>
      <c s="25" r="C28" t="s">
        <v>1326</v>
      </c>
      <c s="25" r="D28" t="s">
        <v>1327</v>
      </c>
      <c s="25" r="E28" t="s">
        <v>1324</v>
      </c>
      <c s="25" r="F28" t="n"/>
      <c s="73" r="G28" t="n"/>
    </row>
    <row customHeight="1" s="134" r="29" ht="15.75" spans="1:7">
      <c s="76" r="A29" t="s">
        <v>1317</v>
      </c>
      <c s="25" r="B29" t="s">
        <v>1269</v>
      </c>
      <c s="25" r="C29" t="s">
        <v>1324</v>
      </c>
      <c s="25" r="D29" t="s">
        <v>1328</v>
      </c>
      <c s="25" r="E29" t="s">
        <v>1269</v>
      </c>
      <c s="25" r="F29" t="n"/>
      <c s="73" r="G29" t="n"/>
    </row>
    <row customHeight="1" s="134" r="30" ht="15.75" spans="1:7">
      <c s="76" r="A30" t="s">
        <v>1318</v>
      </c>
      <c s="25" r="B30" t="s">
        <v>1300</v>
      </c>
      <c s="25" r="C30" t="s">
        <v>1324</v>
      </c>
      <c s="25" r="D30" t="s">
        <v>1328</v>
      </c>
      <c s="25" r="E30" t="s">
        <v>1269</v>
      </c>
      <c s="25" r="F30" t="n"/>
      <c s="73" r="G30" t="n"/>
    </row>
    <row customHeight="1" s="134" r="31" ht="15.75" spans="1:7">
      <c s="76" r="A31" t="s">
        <v>1319</v>
      </c>
      <c s="25" r="B31" t="s">
        <v>1302</v>
      </c>
      <c s="25" r="C31" t="s">
        <v>1324</v>
      </c>
      <c s="25" r="D31" t="s">
        <v>1328</v>
      </c>
      <c s="25" r="E31" t="s">
        <v>1269</v>
      </c>
      <c s="25" r="F31" t="n"/>
      <c s="73" r="G31" t="n"/>
    </row>
    <row customHeight="1" s="134" r="32" ht="15.75" spans="1:7">
      <c s="76" r="A32" t="s">
        <v>1320</v>
      </c>
      <c s="25" r="B32" t="s">
        <v>1304</v>
      </c>
      <c s="25" r="C32" t="s">
        <v>1329</v>
      </c>
      <c s="25" r="D32" t="s">
        <v>1328</v>
      </c>
      <c s="25" r="E32" t="s">
        <v>1330</v>
      </c>
      <c s="25" r="F32" t="s">
        <v>1325</v>
      </c>
      <c s="73" r="G32" t="n"/>
    </row>
    <row customHeight="1" s="134" r="33" ht="15.75" spans="1:7">
      <c s="76" r="A33" t="s">
        <v>1321</v>
      </c>
      <c s="25" r="B33" t="s">
        <v>1308</v>
      </c>
      <c s="25" r="C33" t="s">
        <v>1331</v>
      </c>
      <c s="25" r="D33" t="s">
        <v>1332</v>
      </c>
      <c s="25" r="E33" t="s">
        <v>1333</v>
      </c>
      <c s="25" r="F33" t="s">
        <v>1329</v>
      </c>
      <c s="73" r="G33" t="n"/>
    </row>
    <row customHeight="1" s="134" r="34" ht="15.75" spans="1:7">
      <c s="76" r="A34" t="s">
        <v>1322</v>
      </c>
      <c s="25" r="B34" t="s">
        <v>1312</v>
      </c>
      <c s="25" r="C34" t="s">
        <v>1334</v>
      </c>
      <c s="25" r="D34" t="s">
        <v>1335</v>
      </c>
      <c s="25" r="E34" t="s">
        <v>1269</v>
      </c>
      <c s="25" r="F34" t="n"/>
      <c s="73" r="G34" t="n"/>
    </row>
    <row customHeight="1" s="134" r="35" ht="15.75" spans="1:7">
      <c s="63" r="A35" t="n"/>
      <c s="63" r="B35" t="n"/>
      <c s="63" r="C35" t="n"/>
      <c s="63" r="D35" t="n"/>
      <c s="63" r="E35" t="n"/>
      <c s="63" r="F35" t="n"/>
    </row>
  </sheetData>
  <mergeCells count="4">
    <mergeCell ref="A1:F1"/>
    <mergeCell ref="C3:F3"/>
    <mergeCell ref="C14:F14"/>
    <mergeCell ref="C25:F25"/>
  </mergeCell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5.xml><?xml version="1.0" encoding="utf-8"?>
<worksheet xmlns="http://schemas.openxmlformats.org/spreadsheetml/2006/main">
  <sheetPr filterMode="0">
    <outlinePr summaryBelow="1" summaryRight="1"/>
    <pageSetUpPr fitToPage="0"/>
  </sheetPr>
  <dimension ref="A1:G36"/>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4.5816326530612"/>
    <col customWidth="1" max="2" min="2" width="15.5255102040816"/>
    <col customWidth="1" max="3" min="3" width="76.5408163265306"/>
    <col customWidth="1" max="4" min="4" width="9.31632653061224"/>
    <col customWidth="1" max="5" min="5" width="10.530612244898"/>
    <col customWidth="1" max="6" min="6" width="12.2857142857143"/>
    <col customWidth="1" max="7" min="7" width="39.8214285714286"/>
    <col customWidth="1" max="1025" min="8" width="13.6326530612245"/>
  </cols>
  <sheetData>
    <row customHeight="1" s="134" r="1" ht="15.75" spans="1:7">
      <c s="117" r="A1" t="s">
        <v>1336</v>
      </c>
    </row>
    <row customHeight="1" s="134" r="2" ht="15.75" spans="1:7">
      <c s="15" r="A2" t="s">
        <v>1337</v>
      </c>
      <c s="15" r="B2" t="s">
        <v>1338</v>
      </c>
      <c s="15" r="C2" t="s">
        <v>48</v>
      </c>
      <c s="15" r="D2" t="s">
        <v>1339</v>
      </c>
      <c s="15" r="E2" t="s">
        <v>1340</v>
      </c>
      <c s="15" r="F2" t="s">
        <v>1341</v>
      </c>
      <c s="15" r="G2" t="s">
        <v>48</v>
      </c>
    </row>
    <row customHeight="1" s="134" r="3" ht="15.75" spans="1:7">
      <c s="19" r="A3" t="s">
        <v>1342</v>
      </c>
      <c s="59" r="B3" t="s">
        <v>1343</v>
      </c>
      <c s="59" r="C3" t="s">
        <v>1344</v>
      </c>
      <c s="19" r="D3" t="s">
        <v>949</v>
      </c>
      <c s="19" r="E3" t="s">
        <v>1345</v>
      </c>
      <c s="19" r="F3" t="s">
        <v>29</v>
      </c>
      <c s="76" r="G3" t="n"/>
    </row>
    <row customHeight="1" s="134" r="4" ht="15.75" spans="1:7">
      <c s="59" r="B4" t="s">
        <v>1346</v>
      </c>
      <c s="59" r="C4" t="s">
        <v>1347</v>
      </c>
      <c s="19" r="D4" t="s">
        <v>949</v>
      </c>
      <c s="19" r="E4" t="s">
        <v>1345</v>
      </c>
      <c s="19" r="F4" t="s">
        <v>29</v>
      </c>
      <c s="76" r="G4" t="n"/>
    </row>
    <row customHeight="1" s="134" r="5" ht="15.75" spans="1:7">
      <c s="59" r="B5" t="s">
        <v>1348</v>
      </c>
      <c s="59" r="C5" t="s">
        <v>1349</v>
      </c>
      <c s="19" r="D5" t="s">
        <v>949</v>
      </c>
      <c s="19" r="E5" t="s">
        <v>29</v>
      </c>
      <c s="19" r="F5" t="s">
        <v>29</v>
      </c>
      <c s="76" r="G5" t="n"/>
    </row>
    <row customHeight="1" s="134" r="6" ht="15.75" spans="1:7">
      <c s="59" r="B6" t="s">
        <v>1350</v>
      </c>
      <c s="59" r="C6" t="s">
        <v>1351</v>
      </c>
      <c s="19" r="D6" t="s">
        <v>949</v>
      </c>
      <c s="19" r="E6" t="s">
        <v>29</v>
      </c>
      <c s="19" r="F6" t="s">
        <v>29</v>
      </c>
      <c s="76" r="G6" t="n"/>
    </row>
    <row customHeight="1" s="134" r="7" ht="15.75" spans="1:7">
      <c s="59" r="B7" t="s">
        <v>1352</v>
      </c>
      <c s="59" r="C7" t="s">
        <v>1353</v>
      </c>
      <c s="19" r="D7" t="s">
        <v>949</v>
      </c>
      <c s="19" r="E7" t="s">
        <v>29</v>
      </c>
      <c s="19" r="F7" t="s">
        <v>29</v>
      </c>
      <c s="76" r="G7" t="n"/>
    </row>
    <row customHeight="1" s="134" r="8" ht="15.75" spans="1:7">
      <c s="59" r="B8" t="s">
        <v>1354</v>
      </c>
      <c s="59" r="C8" t="s">
        <v>1355</v>
      </c>
      <c s="19" r="D8" t="s">
        <v>949</v>
      </c>
      <c s="19" r="E8" t="s">
        <v>29</v>
      </c>
      <c s="19" r="F8" t="s">
        <v>29</v>
      </c>
      <c s="76" r="G8" t="n"/>
    </row>
    <row customHeight="1" s="134" r="9" ht="15.75" spans="1:7">
      <c s="19" r="A9" t="s">
        <v>1356</v>
      </c>
      <c s="59" r="B9" t="s">
        <v>1357</v>
      </c>
      <c s="59" r="C9" t="s">
        <v>1358</v>
      </c>
      <c s="19" r="D9" t="s">
        <v>949</v>
      </c>
      <c s="19" r="E9" t="s">
        <v>29</v>
      </c>
      <c s="19" r="F9" t="s">
        <v>29</v>
      </c>
      <c s="76" r="G9" t="n"/>
    </row>
    <row customHeight="1" s="134" r="10" ht="15.75" spans="1:7">
      <c s="59" r="B10" t="s">
        <v>1359</v>
      </c>
      <c s="59" r="C10" t="s">
        <v>1360</v>
      </c>
      <c s="19" r="D10" t="s">
        <v>949</v>
      </c>
      <c s="19" r="E10" t="s">
        <v>29</v>
      </c>
      <c s="19" r="F10" t="s">
        <v>29</v>
      </c>
      <c s="76" r="G10" t="n"/>
    </row>
    <row customHeight="1" s="134" r="11" ht="15.75" spans="1:7">
      <c s="59" r="B11" t="s">
        <v>1361</v>
      </c>
      <c s="59" r="C11" t="s">
        <v>1362</v>
      </c>
      <c s="19" r="D11" t="s">
        <v>949</v>
      </c>
      <c s="19" r="E11" t="s">
        <v>29</v>
      </c>
      <c s="19" r="F11" t="s">
        <v>29</v>
      </c>
      <c s="76" r="G11" t="n"/>
    </row>
    <row customHeight="1" s="134" r="12" ht="15.75" spans="1:7">
      <c s="59" r="B12" t="s">
        <v>1363</v>
      </c>
      <c s="59" r="C12" t="s">
        <v>1364</v>
      </c>
      <c s="19" r="D12" t="s">
        <v>949</v>
      </c>
      <c s="19" r="E12" t="s">
        <v>29</v>
      </c>
      <c s="19" r="F12" t="s">
        <v>29</v>
      </c>
      <c s="76" r="G12" t="n"/>
    </row>
    <row customHeight="1" s="134" r="13" ht="15.75" spans="1:7">
      <c s="59" r="B13" t="s">
        <v>1365</v>
      </c>
      <c s="59" r="C13" t="s">
        <v>1366</v>
      </c>
      <c s="19" r="D13" t="s">
        <v>949</v>
      </c>
      <c s="19" r="E13" t="s">
        <v>29</v>
      </c>
      <c s="19" r="F13" t="s">
        <v>29</v>
      </c>
      <c s="76" r="G13" t="n"/>
    </row>
    <row customHeight="1" s="134" r="14" ht="15.75" spans="1:7">
      <c s="59" r="B14" t="s">
        <v>1367</v>
      </c>
      <c s="59" r="C14" t="s">
        <v>1368</v>
      </c>
      <c s="19" r="D14" t="s">
        <v>949</v>
      </c>
      <c s="19" r="E14" t="s">
        <v>29</v>
      </c>
      <c s="19" r="F14" t="s">
        <v>29</v>
      </c>
      <c s="76" r="G14" t="n"/>
    </row>
    <row customHeight="1" s="134" r="15" ht="15.75" spans="1:7">
      <c s="59" r="B15" t="s">
        <v>1369</v>
      </c>
      <c s="59" r="C15" t="s">
        <v>1370</v>
      </c>
      <c s="19" r="D15" t="s">
        <v>949</v>
      </c>
      <c s="19" r="E15" t="s">
        <v>29</v>
      </c>
      <c s="19" r="F15" t="s">
        <v>29</v>
      </c>
      <c s="76" r="G15" t="n"/>
    </row>
    <row customHeight="1" s="134" r="16" ht="15.75" spans="1:7">
      <c s="59" r="B16" t="s">
        <v>1371</v>
      </c>
      <c s="59" r="C16" t="s">
        <v>1372</v>
      </c>
      <c s="19" r="D16" t="s">
        <v>949</v>
      </c>
      <c s="19" r="E16" t="s">
        <v>29</v>
      </c>
      <c s="19" r="F16" t="s">
        <v>29</v>
      </c>
      <c s="76" r="G16" t="n"/>
    </row>
    <row customHeight="1" s="134" r="17" ht="15.75" spans="1:7">
      <c s="59" r="B17" t="s">
        <v>1373</v>
      </c>
      <c s="59" r="C17" t="s">
        <v>1374</v>
      </c>
      <c s="19" r="D17" t="s">
        <v>949</v>
      </c>
      <c s="19" r="E17" t="s">
        <v>29</v>
      </c>
      <c s="19" r="F17" t="s">
        <v>29</v>
      </c>
      <c s="76" r="G17" t="n"/>
    </row>
    <row customHeight="1" s="134" r="18" ht="15.75" spans="1:7">
      <c s="59" r="B18" t="s">
        <v>1375</v>
      </c>
      <c s="59" r="C18" t="s">
        <v>1376</v>
      </c>
      <c s="19" r="D18" t="s">
        <v>949</v>
      </c>
      <c s="19" r="E18" t="s">
        <v>29</v>
      </c>
      <c s="19" r="F18" t="s">
        <v>29</v>
      </c>
      <c s="76" r="G18" t="n"/>
    </row>
    <row customHeight="1" s="134" r="19" ht="15.75" spans="1:7">
      <c s="59" r="B19" t="s">
        <v>1377</v>
      </c>
      <c s="59" r="C19" t="s">
        <v>1378</v>
      </c>
      <c s="19" r="D19" t="s">
        <v>949</v>
      </c>
      <c s="19" r="E19" t="s">
        <v>29</v>
      </c>
      <c s="19" r="F19" t="s">
        <v>29</v>
      </c>
      <c s="76" r="G19" t="n"/>
    </row>
    <row customHeight="1" s="134" r="20" ht="15.75" spans="1:7">
      <c s="59" r="B20" t="s">
        <v>1379</v>
      </c>
      <c s="59" r="C20" t="s">
        <v>1380</v>
      </c>
      <c s="19" r="D20" t="s">
        <v>949</v>
      </c>
      <c s="19" r="E20" t="s">
        <v>1345</v>
      </c>
      <c s="19" r="F20" t="s">
        <v>29</v>
      </c>
      <c s="76" r="G20" t="n"/>
    </row>
    <row customHeight="1" s="134" r="21" ht="15.75" spans="1:7">
      <c s="59" r="B21" t="s">
        <v>1381</v>
      </c>
      <c s="59" r="C21" t="s">
        <v>1382</v>
      </c>
      <c s="19" r="D21" t="s">
        <v>949</v>
      </c>
      <c s="19" r="E21" t="s">
        <v>1345</v>
      </c>
      <c s="19" r="F21" t="s">
        <v>29</v>
      </c>
      <c s="76" r="G21" t="n"/>
    </row>
    <row customHeight="1" s="134" r="22" ht="15.75" spans="1:7">
      <c s="59" r="B22" t="s">
        <v>1383</v>
      </c>
      <c s="59" r="C22" t="s">
        <v>1384</v>
      </c>
      <c s="19" r="D22" t="s">
        <v>949</v>
      </c>
      <c s="19" r="E22" t="s">
        <v>1345</v>
      </c>
      <c s="19" r="F22" t="s">
        <v>29</v>
      </c>
      <c s="76" r="G22" t="n"/>
    </row>
    <row customHeight="1" s="134" r="23" ht="15.75" spans="1:7">
      <c s="59" r="B23" t="s">
        <v>1385</v>
      </c>
      <c s="59" r="C23" t="s">
        <v>1386</v>
      </c>
      <c s="19" r="D23" t="s">
        <v>949</v>
      </c>
      <c s="19" r="E23" t="s">
        <v>1345</v>
      </c>
      <c s="19" r="F23" t="s">
        <v>29</v>
      </c>
      <c s="76" r="G23" t="n"/>
    </row>
    <row customHeight="1" s="134" r="24" ht="15.75" spans="1:7">
      <c s="19" r="A24" t="s">
        <v>1387</v>
      </c>
      <c s="59" r="B24" t="s">
        <v>1388</v>
      </c>
      <c s="59" r="C24" t="s">
        <v>1389</v>
      </c>
      <c s="19" r="D24" t="s">
        <v>949</v>
      </c>
      <c s="19" r="E24" t="s">
        <v>1345</v>
      </c>
      <c s="19" r="F24" t="s">
        <v>29</v>
      </c>
      <c s="76" r="G24" t="n"/>
    </row>
    <row customHeight="1" s="134" r="25" ht="15.75" spans="1:7">
      <c s="59" r="B25" t="s">
        <v>1390</v>
      </c>
      <c s="59" r="C25" t="s">
        <v>1391</v>
      </c>
      <c s="19" r="D25" t="s">
        <v>949</v>
      </c>
      <c s="19" r="E25" t="s">
        <v>1345</v>
      </c>
      <c s="19" r="F25" t="s">
        <v>29</v>
      </c>
      <c s="76" r="G25" t="n"/>
    </row>
    <row customHeight="1" s="134" r="26" ht="15.75" spans="1:7">
      <c s="59" r="B26" t="s">
        <v>1392</v>
      </c>
      <c s="59" r="C26" t="s">
        <v>1393</v>
      </c>
      <c s="19" r="D26" t="s">
        <v>949</v>
      </c>
      <c s="19" r="E26" t="s">
        <v>1345</v>
      </c>
      <c s="19" r="F26" t="s">
        <v>29</v>
      </c>
      <c s="76" r="G26" t="n"/>
    </row>
    <row customHeight="1" s="134" r="27" ht="15.75" spans="1:7">
      <c s="59" r="B27" t="s">
        <v>1394</v>
      </c>
      <c s="59" r="C27" t="s">
        <v>1395</v>
      </c>
      <c s="19" r="D27" t="s">
        <v>949</v>
      </c>
      <c s="19" r="E27" t="s">
        <v>1345</v>
      </c>
      <c s="19" r="F27" t="s">
        <v>29</v>
      </c>
      <c s="76" r="G27" t="n"/>
    </row>
    <row customHeight="1" s="134" r="28" ht="15.75" spans="1:7">
      <c s="59" r="B28" t="s">
        <v>1396</v>
      </c>
      <c s="59" r="C28" t="s">
        <v>1397</v>
      </c>
      <c s="19" r="D28" t="s">
        <v>949</v>
      </c>
      <c s="19" r="E28" t="s">
        <v>1345</v>
      </c>
      <c s="19" r="F28" t="s">
        <v>29</v>
      </c>
      <c s="76" r="G28" t="n"/>
    </row>
    <row customHeight="1" s="134" r="29" ht="15.75" spans="1:7">
      <c s="59" r="B29" t="s">
        <v>1398</v>
      </c>
      <c s="59" r="C29" t="s">
        <v>1399</v>
      </c>
      <c s="19" r="D29" t="s">
        <v>952</v>
      </c>
      <c s="19" r="E29" t="s">
        <v>1345</v>
      </c>
      <c s="19" r="F29" t="s">
        <v>952</v>
      </c>
      <c s="76" r="G29" t="n"/>
    </row>
    <row customHeight="1" s="134" r="30" ht="15.75" spans="1:7">
      <c s="19" r="A30" t="s">
        <v>1400</v>
      </c>
      <c s="59" r="B30" t="s">
        <v>1401</v>
      </c>
      <c s="59" r="C30" t="s">
        <v>1402</v>
      </c>
      <c s="19" r="D30" t="s">
        <v>949</v>
      </c>
      <c s="19" r="E30" t="s">
        <v>1345</v>
      </c>
      <c s="19" r="F30" t="s">
        <v>29</v>
      </c>
      <c s="76" r="G30" t="n"/>
    </row>
    <row customHeight="1" s="134" r="31" ht="15.75" spans="1:7">
      <c s="59" r="B31" t="s">
        <v>1403</v>
      </c>
      <c s="59" r="C31" t="s">
        <v>1404</v>
      </c>
      <c s="19" r="D31" t="s">
        <v>949</v>
      </c>
      <c s="19" r="E31" t="s">
        <v>1345</v>
      </c>
      <c s="19" r="F31" t="s">
        <v>29</v>
      </c>
      <c s="76" r="G31" t="n"/>
    </row>
    <row customHeight="1" s="134" r="32" ht="15.75" spans="1:7">
      <c s="63" r="A32" t="n"/>
      <c s="63" r="B32" t="n"/>
      <c s="63" r="C32" t="n"/>
      <c s="63" r="D32" t="n"/>
      <c s="63" r="E32" t="n"/>
      <c s="63" r="F32" t="n"/>
      <c s="63" r="G32" t="n"/>
    </row>
    <row customHeight="1" s="134" r="33" ht="15.75" spans="1:7">
      <c s="56" r="B33" t="n"/>
      <c s="56" r="C33" t="n"/>
      <c s="56" r="D33" t="n"/>
      <c s="56" r="E33" t="n"/>
      <c s="56" r="F33" t="n"/>
    </row>
    <row customHeight="1" s="134" r="34" ht="15.75" spans="1:7">
      <c s="79" r="A34" t="n"/>
      <c s="21" r="B34" t="n"/>
      <c s="22" r="C34" t="s">
        <v>49</v>
      </c>
      <c s="22" r="D34" t="s">
        <v>1405</v>
      </c>
      <c s="22" r="E34" t="s">
        <v>1406</v>
      </c>
      <c s="22" r="F34" t="s">
        <v>1407</v>
      </c>
      <c s="73" r="G34" t="n"/>
    </row>
    <row customHeight="1" s="134" r="35" ht="15.75" spans="1:7">
      <c s="79" r="A35" t="n"/>
      <c s="23" r="B35" t="s">
        <v>68</v>
      </c>
      <c s="118" r="C35">
        <f>F35/D35</f>
        <v/>
      </c>
      <c s="19" r="D35">
        <f>COUNTIF(D3:D31,"Sí")</f>
        <v/>
      </c>
      <c s="19" r="E35">
        <f>COUNTIF(E3:E31,"No")</f>
        <v/>
      </c>
      <c s="19" r="F35">
        <f>COUNTIF(F3:F31,"Sí")</f>
        <v/>
      </c>
      <c s="73" r="G35" t="n"/>
    </row>
    <row customHeight="1" s="134" r="36" ht="15.75" spans="1:7">
      <c s="119" r="A36" t="n"/>
      <c s="63" r="B36" t="n"/>
      <c s="63" r="C36" t="n"/>
      <c s="63" r="D36" t="n"/>
      <c s="63" r="E36" t="n"/>
      <c s="63" r="F36" t="n"/>
    </row>
  </sheetData>
  <mergeCells count="5">
    <mergeCell ref="A1:G1"/>
    <mergeCell ref="A3:A8"/>
    <mergeCell ref="A9:A23"/>
    <mergeCell ref="A24:A29"/>
    <mergeCell ref="A30:A31"/>
  </mergeCells>
  <dataValidations count="3">
    <dataValidation allowBlank="0" operator="between" prompt="Click and enter a value from the list of items" showDropDown="0" showErrorMessage="0" showInputMessage="1" sqref="D3:D19 D24:D28 D30:D31" type="list">
      <formula1>"Sí,No,-"</formula1>
      <formula2>0</formula2>
    </dataValidation>
    <dataValidation allowBlank="0" operator="between" showDropDown="0" showErrorMessage="0" showInputMessage="0" sqref="D20:D23 D29 F3:F31" type="list">
      <formula1>"Sí,No,-"</formula1>
      <formula2>0</formula2>
    </dataValidation>
    <dataValidation allowBlank="0" operator="between" showDropDown="0" showErrorMessage="0" showInputMessage="0" sqref="E3:E31" type="list">
      <formula1>"Sí,No,NA,-"</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6.xml><?xml version="1.0" encoding="utf-8"?>
<worksheet xmlns="http://schemas.openxmlformats.org/spreadsheetml/2006/main">
  <sheetPr filterMode="0">
    <outlinePr summaryBelow="1" summaryRight="1"/>
    <pageSetUpPr fitToPage="0"/>
  </sheetPr>
  <dimension ref="A1:G22"/>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4.3112244897959"/>
    <col customWidth="1" max="2" min="2" width="13.6326530612245"/>
    <col customWidth="1" max="3" min="3" width="77.62244897959179"/>
    <col customWidth="1" max="4" min="4" width="9.31632653061224"/>
    <col customWidth="1" max="5" min="5" width="10.6632653061225"/>
    <col customWidth="1" max="6" min="6" width="12.2857142857143"/>
    <col customWidth="1" max="7" min="7" width="38.8775510204082"/>
    <col customWidth="1" max="1025" min="8" width="13.6326530612245"/>
  </cols>
  <sheetData>
    <row customHeight="1" s="134" r="1" ht="15.75" spans="1:7">
      <c s="117" r="A1" t="s">
        <v>1408</v>
      </c>
    </row>
    <row customHeight="1" s="134" r="2" ht="15.75" spans="1:7">
      <c s="15" r="A2" t="s">
        <v>1337</v>
      </c>
      <c s="15" r="B2" t="s">
        <v>1338</v>
      </c>
      <c s="15" r="C2" t="s">
        <v>48</v>
      </c>
      <c s="15" r="D2" t="s">
        <v>1339</v>
      </c>
      <c s="15" r="E2" t="s">
        <v>1340</v>
      </c>
      <c s="15" r="F2" t="s">
        <v>1341</v>
      </c>
      <c s="15" r="G2" t="s">
        <v>48</v>
      </c>
    </row>
    <row customHeight="1" s="134" r="3" ht="15.75" spans="1:7">
      <c s="19" r="A3" t="s">
        <v>1342</v>
      </c>
      <c s="59" r="B3" t="s">
        <v>1343</v>
      </c>
      <c s="59" r="C3" t="s">
        <v>1344</v>
      </c>
      <c s="19" r="D3" t="s">
        <v>949</v>
      </c>
      <c s="19" r="E3" t="s">
        <v>1345</v>
      </c>
      <c s="19" r="F3" t="s">
        <v>29</v>
      </c>
      <c s="76" r="G3" t="n"/>
    </row>
    <row customHeight="1" s="134" r="4" ht="15.75" spans="1:7">
      <c s="59" r="B4" t="s">
        <v>1346</v>
      </c>
      <c s="59" r="C4" t="s">
        <v>1347</v>
      </c>
      <c s="19" r="D4" t="s">
        <v>949</v>
      </c>
      <c s="19" r="E4" t="s">
        <v>1345</v>
      </c>
      <c s="19" r="F4" t="s">
        <v>29</v>
      </c>
      <c s="76" r="G4" t="n"/>
    </row>
    <row customHeight="1" s="134" r="5" ht="15.75" spans="1:7">
      <c s="59" r="B5" t="s">
        <v>1409</v>
      </c>
      <c s="59" r="C5" t="s">
        <v>1410</v>
      </c>
      <c s="19" r="D5" t="s">
        <v>949</v>
      </c>
      <c s="19" r="E5" t="s">
        <v>1345</v>
      </c>
      <c s="19" r="F5" t="s">
        <v>29</v>
      </c>
      <c s="76" r="G5" t="n"/>
    </row>
    <row customHeight="1" s="134" r="6" ht="15.75" spans="1:7">
      <c s="19" r="A6" t="s">
        <v>1356</v>
      </c>
      <c s="59" r="B6" t="s">
        <v>1411</v>
      </c>
      <c s="59" r="C6" t="s">
        <v>1412</v>
      </c>
      <c s="19" r="D6" t="s">
        <v>949</v>
      </c>
      <c s="19" r="E6" t="s">
        <v>1345</v>
      </c>
      <c s="19" r="F6" t="s">
        <v>29</v>
      </c>
      <c s="76" r="G6" t="n"/>
    </row>
    <row customHeight="1" s="134" r="7" ht="15.75" spans="1:7">
      <c s="59" r="B7" t="s">
        <v>1413</v>
      </c>
      <c s="59" r="C7" t="s">
        <v>1414</v>
      </c>
      <c s="19" r="D7" t="s">
        <v>949</v>
      </c>
      <c s="19" r="E7" t="s">
        <v>29</v>
      </c>
      <c s="19" r="F7" t="s">
        <v>29</v>
      </c>
      <c s="76" r="G7" t="n"/>
    </row>
    <row customHeight="1" s="134" r="8" ht="15.75" spans="1:7">
      <c s="59" r="B8" t="s">
        <v>1415</v>
      </c>
      <c s="59" r="C8" t="s">
        <v>1416</v>
      </c>
      <c s="19" r="D8" t="s">
        <v>949</v>
      </c>
      <c s="19" r="E8" t="s">
        <v>29</v>
      </c>
      <c s="19" r="F8" t="s">
        <v>29</v>
      </c>
      <c s="76" r="G8" t="n"/>
    </row>
    <row customHeight="1" s="134" r="9" ht="15.75" spans="1:7">
      <c s="59" r="B9" t="s">
        <v>1417</v>
      </c>
      <c s="59" r="C9" t="s">
        <v>1418</v>
      </c>
      <c s="19" r="D9" t="s">
        <v>949</v>
      </c>
      <c s="19" r="E9" t="s">
        <v>29</v>
      </c>
      <c s="19" r="F9" t="s">
        <v>29</v>
      </c>
      <c s="76" r="G9" t="n"/>
    </row>
    <row customHeight="1" s="134" r="10" ht="15.75" spans="1:7">
      <c s="59" r="B10" t="s">
        <v>1419</v>
      </c>
      <c s="59" r="C10" t="s">
        <v>1420</v>
      </c>
      <c s="19" r="D10" t="s">
        <v>949</v>
      </c>
      <c s="19" r="E10" t="s">
        <v>29</v>
      </c>
      <c s="19" r="F10" t="s">
        <v>29</v>
      </c>
      <c s="76" r="G10" t="n"/>
    </row>
    <row customHeight="1" s="134" r="11" ht="15.75" spans="1:7">
      <c s="19" r="A11" t="s">
        <v>1387</v>
      </c>
      <c s="59" r="B11" t="s">
        <v>1388</v>
      </c>
      <c s="59" r="C11" t="s">
        <v>1389</v>
      </c>
      <c s="19" r="D11" t="s">
        <v>949</v>
      </c>
      <c s="19" r="E11" t="s">
        <v>1345</v>
      </c>
      <c s="19" r="F11" t="s">
        <v>29</v>
      </c>
      <c s="76" r="G11" t="n"/>
    </row>
    <row customHeight="1" s="134" r="12" ht="15.75" spans="1:7">
      <c s="59" r="B12" t="s">
        <v>1390</v>
      </c>
      <c s="59" r="C12" t="s">
        <v>1391</v>
      </c>
      <c s="19" r="D12" t="s">
        <v>949</v>
      </c>
      <c s="19" r="E12" t="s">
        <v>1345</v>
      </c>
      <c s="19" r="F12" t="s">
        <v>29</v>
      </c>
      <c s="76" r="G12" t="n"/>
    </row>
    <row customHeight="1" s="134" r="13" ht="15.75" spans="1:7">
      <c s="59" r="B13" t="s">
        <v>1392</v>
      </c>
      <c s="59" r="C13" t="s">
        <v>1393</v>
      </c>
      <c s="19" r="D13" t="s">
        <v>949</v>
      </c>
      <c s="19" r="E13" t="s">
        <v>1345</v>
      </c>
      <c s="19" r="F13" t="s">
        <v>29</v>
      </c>
      <c s="76" r="G13" t="n"/>
    </row>
    <row customHeight="1" s="134" r="14" ht="15.75" spans="1:7">
      <c s="59" r="B14" t="s">
        <v>1394</v>
      </c>
      <c s="59" r="C14" t="s">
        <v>1395</v>
      </c>
      <c s="19" r="D14" t="s">
        <v>949</v>
      </c>
      <c s="19" r="E14" t="s">
        <v>1345</v>
      </c>
      <c s="19" r="F14" t="s">
        <v>29</v>
      </c>
      <c s="76" r="G14" t="n"/>
    </row>
    <row customHeight="1" s="134" r="15" ht="15.75" spans="1:7">
      <c s="59" r="B15" t="s">
        <v>1396</v>
      </c>
      <c s="59" r="C15" t="s">
        <v>1397</v>
      </c>
      <c s="19" r="D15" t="s">
        <v>949</v>
      </c>
      <c s="19" r="E15" t="s">
        <v>1345</v>
      </c>
      <c s="19" r="F15" t="s">
        <v>29</v>
      </c>
      <c s="76" r="G15" t="n"/>
    </row>
    <row customHeight="1" s="134" r="16" ht="15.75" spans="1:7">
      <c s="59" r="B16" t="s">
        <v>1398</v>
      </c>
      <c s="120" r="C16" t="s">
        <v>1399</v>
      </c>
      <c s="19" r="D16" t="s">
        <v>952</v>
      </c>
      <c s="19" r="E16" t="s">
        <v>1345</v>
      </c>
      <c s="19" r="F16" t="s">
        <v>952</v>
      </c>
      <c s="76" r="G16" t="n"/>
    </row>
    <row customHeight="1" s="134" r="17" ht="15.75" spans="1:7">
      <c s="19" r="A17" t="s">
        <v>1400</v>
      </c>
      <c s="59" r="B17" t="s">
        <v>1401</v>
      </c>
      <c s="59" r="C17" t="s">
        <v>1402</v>
      </c>
      <c s="19" r="D17" t="s">
        <v>949</v>
      </c>
      <c s="19" r="E17" t="s">
        <v>1345</v>
      </c>
      <c s="19" r="F17" t="s">
        <v>29</v>
      </c>
      <c s="76" r="G17" t="n"/>
    </row>
    <row customHeight="1" s="134" r="18" ht="15.75" spans="1:7">
      <c s="59" r="B18" t="s">
        <v>1403</v>
      </c>
      <c s="59" r="C18" t="s">
        <v>1404</v>
      </c>
      <c s="19" r="D18" t="s">
        <v>949</v>
      </c>
      <c s="19" r="E18" t="s">
        <v>1345</v>
      </c>
      <c s="19" r="F18" t="s">
        <v>29</v>
      </c>
      <c s="76" r="G18" t="n"/>
    </row>
    <row customHeight="1" s="134" r="19" ht="15.75" spans="1:7">
      <c s="63" r="A19" t="n"/>
      <c s="20" r="B19" t="n"/>
      <c s="20" r="C19" t="n"/>
      <c s="20" r="D19" t="n"/>
      <c s="20" r="E19" t="n"/>
      <c s="20" r="F19" t="n"/>
      <c s="63" r="G19" t="n"/>
    </row>
    <row customHeight="1" s="134" r="20" ht="15.75" spans="1:7">
      <c s="66" r="A20" t="n"/>
      <c s="21" r="B20" t="n"/>
      <c s="22" r="C20" t="s">
        <v>49</v>
      </c>
      <c s="22" r="D20" t="s">
        <v>1405</v>
      </c>
      <c s="22" r="E20" t="s">
        <v>1406</v>
      </c>
      <c s="22" r="F20" t="s">
        <v>1407</v>
      </c>
      <c s="73" r="G20" t="n"/>
    </row>
    <row customHeight="1" s="134" r="21" ht="15.75" spans="1:7">
      <c s="66" r="A21" t="n"/>
      <c s="23" r="B21" t="s">
        <v>68</v>
      </c>
      <c s="118" r="C21">
        <f>F21/D21</f>
        <v/>
      </c>
      <c s="19" r="D21">
        <f>COUNTIF(D3:D18,"Sí")</f>
        <v/>
      </c>
      <c s="19" r="E21">
        <f>COUNTIF(E3:E18,"No")</f>
        <v/>
      </c>
      <c s="19" r="F21">
        <f>COUNTIF(F3:F18,"Sí")</f>
        <v/>
      </c>
      <c s="73" r="G21" t="n"/>
    </row>
    <row customHeight="1" s="134" r="22" ht="15.75" spans="1:7">
      <c s="63" r="B22" t="n"/>
      <c s="63" r="C22" t="n"/>
      <c s="63" r="D22" t="n"/>
      <c s="63" r="E22" t="n"/>
      <c s="63" r="F22" t="n"/>
    </row>
  </sheetData>
  <mergeCells count="5">
    <mergeCell ref="A1:G1"/>
    <mergeCell ref="A3:A5"/>
    <mergeCell ref="A6:A10"/>
    <mergeCell ref="A11:A16"/>
    <mergeCell ref="A17:A18"/>
  </mergeCells>
  <dataValidations count="3">
    <dataValidation allowBlank="0" operator="between" prompt="Click and enter a value from the list of items" showDropDown="0" showErrorMessage="0" showInputMessage="1" sqref="D3:D18" type="list">
      <formula1>"Sí,No,-"</formula1>
      <formula2>0</formula2>
    </dataValidation>
    <dataValidation allowBlank="0" operator="between" showDropDown="0" showErrorMessage="0" showInputMessage="0" sqref="F3:F18" type="list">
      <formula1>"Sí,No,-"</formula1>
      <formula2>0</formula2>
    </dataValidation>
    <dataValidation allowBlank="0" operator="between" showDropDown="0" showErrorMessage="0" showInputMessage="0" sqref="E3:E18" type="list">
      <formula1>"Sí,No,NA,-"</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7.xml><?xml version="1.0" encoding="utf-8"?>
<worksheet xmlns="http://schemas.openxmlformats.org/spreadsheetml/2006/main">
  <sheetPr filterMode="0">
    <outlinePr summaryBelow="1" summaryRight="1"/>
    <pageSetUpPr fitToPage="0"/>
  </sheetPr>
  <dimension ref="A1:F3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8.505102040816331"/>
    <col customWidth="1" max="2" min="2" width="21.3265306122449"/>
    <col customWidth="1" max="3" min="3" width="75.7295918367347"/>
    <col customWidth="1" max="4" min="4" width="9.31632653061224"/>
    <col customWidth="1" max="5" min="5" width="12.5561224489796"/>
    <col customWidth="1" max="6" min="6" width="37.5255102040816"/>
    <col customWidth="1" max="1025" min="7" width="13.6326530612245"/>
  </cols>
  <sheetData>
    <row customHeight="1" s="134" r="1" ht="15.75" spans="1:6">
      <c s="117" r="A1" t="s">
        <v>1421</v>
      </c>
    </row>
    <row customHeight="1" s="134" r="2" ht="15.75" spans="1:6">
      <c s="15" r="A2" t="s">
        <v>1337</v>
      </c>
      <c s="15" r="B2" t="s">
        <v>1338</v>
      </c>
      <c s="15" r="C2" t="s">
        <v>48</v>
      </c>
      <c s="15" r="D2" t="s">
        <v>1339</v>
      </c>
      <c s="15" r="E2" t="s">
        <v>1341</v>
      </c>
      <c s="15" r="F2" t="s">
        <v>48</v>
      </c>
    </row>
    <row customHeight="1" s="134" r="3" ht="15.75" spans="1:6">
      <c s="19" r="A3" t="s">
        <v>1342</v>
      </c>
      <c s="59" r="B3" t="s">
        <v>1343</v>
      </c>
      <c s="59" r="C3" t="s">
        <v>1344</v>
      </c>
      <c s="19" r="D3" t="s">
        <v>949</v>
      </c>
      <c s="19" r="E3" t="s">
        <v>29</v>
      </c>
      <c s="76" r="F3" t="n"/>
    </row>
    <row customHeight="1" s="134" r="4" ht="15.75" spans="1:6">
      <c s="59" r="B4" t="s">
        <v>1422</v>
      </c>
      <c s="59" r="C4" t="s">
        <v>1423</v>
      </c>
      <c s="19" r="D4" t="s">
        <v>949</v>
      </c>
      <c s="19" r="E4" t="s">
        <v>29</v>
      </c>
      <c s="76" r="F4" t="n"/>
    </row>
    <row customHeight="1" s="134" r="5" ht="15.75" spans="1:6">
      <c s="59" r="B5" t="s">
        <v>1346</v>
      </c>
      <c s="59" r="C5" t="s">
        <v>1347</v>
      </c>
      <c s="19" r="D5" t="s">
        <v>949</v>
      </c>
      <c s="19" r="E5" t="s">
        <v>29</v>
      </c>
      <c s="76" r="F5" t="n"/>
    </row>
    <row customHeight="1" s="134" r="6" ht="15.75" spans="1:6">
      <c s="59" r="B6" t="s">
        <v>1424</v>
      </c>
      <c s="59" r="C6" t="s">
        <v>1425</v>
      </c>
      <c s="19" r="D6" t="s">
        <v>949</v>
      </c>
      <c s="19" r="E6" t="s">
        <v>29</v>
      </c>
      <c s="76" r="F6" t="n"/>
    </row>
    <row customHeight="1" s="134" r="7" ht="15.75" spans="1:6">
      <c s="59" r="B7" t="s">
        <v>1426</v>
      </c>
      <c s="59" r="C7" t="s">
        <v>1427</v>
      </c>
      <c s="19" r="D7" t="s">
        <v>949</v>
      </c>
      <c s="19" r="E7" t="s">
        <v>29</v>
      </c>
      <c s="76" r="F7" t="n"/>
    </row>
    <row customHeight="1" s="134" r="8" ht="15.75" spans="1:6">
      <c s="59" r="B8" t="s">
        <v>1428</v>
      </c>
      <c s="59" r="C8" t="s">
        <v>1429</v>
      </c>
      <c s="19" r="D8" t="s">
        <v>949</v>
      </c>
      <c s="19" r="E8" t="s">
        <v>29</v>
      </c>
      <c s="76" r="F8" t="n"/>
    </row>
    <row customHeight="1" s="134" r="9" ht="15.75" spans="1:6">
      <c s="59" r="B9" t="s">
        <v>1430</v>
      </c>
      <c s="59" r="C9" t="s">
        <v>1431</v>
      </c>
      <c s="19" r="D9" t="s">
        <v>949</v>
      </c>
      <c s="19" r="E9" t="s">
        <v>29</v>
      </c>
      <c s="76" r="F9" t="n"/>
    </row>
    <row customHeight="1" s="134" r="10" ht="15.75" spans="1:6">
      <c s="19" r="A10" t="s">
        <v>1356</v>
      </c>
      <c s="59" r="B10" t="s">
        <v>1432</v>
      </c>
      <c s="59" r="C10" t="s">
        <v>1433</v>
      </c>
      <c s="19" r="D10" t="s">
        <v>949</v>
      </c>
      <c s="19" r="E10" t="s">
        <v>29</v>
      </c>
      <c s="76" r="F10" t="n"/>
    </row>
    <row customHeight="1" s="134" r="11" ht="15.75" spans="1:6">
      <c s="59" r="B11" t="s">
        <v>1434</v>
      </c>
      <c s="59" r="C11" t="s">
        <v>1435</v>
      </c>
      <c s="19" r="D11" t="s">
        <v>949</v>
      </c>
      <c s="19" r="E11" t="s">
        <v>29</v>
      </c>
      <c s="76" r="F11" t="n"/>
    </row>
    <row customHeight="1" s="134" r="12" ht="15.75" spans="1:6">
      <c s="59" r="B12" t="s">
        <v>1436</v>
      </c>
      <c s="59" r="C12" t="s">
        <v>1437</v>
      </c>
      <c s="19" r="D12" t="s">
        <v>949</v>
      </c>
      <c s="19" r="E12" t="s">
        <v>29</v>
      </c>
      <c s="76" r="F12" t="n"/>
    </row>
    <row customHeight="1" s="134" r="13" ht="15.75" spans="1:6">
      <c s="59" r="B13" t="s">
        <v>1438</v>
      </c>
      <c s="59" r="C13" t="s">
        <v>1439</v>
      </c>
      <c s="19" r="D13" t="s">
        <v>949</v>
      </c>
      <c s="19" r="E13" t="s">
        <v>29</v>
      </c>
      <c s="76" r="F13" t="n"/>
    </row>
    <row customHeight="1" s="134" r="14" ht="15.75" spans="1:6">
      <c s="59" r="B14" t="s">
        <v>1440</v>
      </c>
      <c s="59" r="C14" t="s">
        <v>1441</v>
      </c>
      <c s="19" r="D14" t="s">
        <v>949</v>
      </c>
      <c s="19" r="E14" t="s">
        <v>29</v>
      </c>
      <c s="76" r="F14" t="n"/>
    </row>
    <row customHeight="1" s="134" r="15" ht="15.75" spans="1:6">
      <c s="59" r="B15" t="s">
        <v>1442</v>
      </c>
      <c s="59" r="C15" t="s">
        <v>1443</v>
      </c>
      <c s="19" r="D15" t="s">
        <v>949</v>
      </c>
      <c s="19" r="E15" t="s">
        <v>29</v>
      </c>
      <c s="76" r="F15" t="n"/>
    </row>
    <row customHeight="1" s="134" r="16" ht="15.75" spans="1:6">
      <c s="59" r="B16" t="s">
        <v>1444</v>
      </c>
      <c s="59" r="C16" t="s">
        <v>1445</v>
      </c>
      <c s="19" r="D16" t="s">
        <v>949</v>
      </c>
      <c s="19" r="E16" t="s">
        <v>29</v>
      </c>
      <c s="76" r="F16" t="n"/>
    </row>
    <row customHeight="1" s="134" r="17" ht="15.75" spans="1:6">
      <c s="59" r="B17" t="s">
        <v>1446</v>
      </c>
      <c s="59" r="C17" t="s">
        <v>1447</v>
      </c>
      <c s="19" r="D17" t="s">
        <v>949</v>
      </c>
      <c s="19" r="E17" t="s">
        <v>29</v>
      </c>
      <c s="76" r="F17" t="n"/>
    </row>
    <row customHeight="1" s="134" r="18" ht="15.75" spans="1:6">
      <c s="59" r="B18" t="s">
        <v>1448</v>
      </c>
      <c s="59" r="C18" t="s">
        <v>1449</v>
      </c>
      <c s="19" r="D18" t="s">
        <v>949</v>
      </c>
      <c s="19" r="E18" t="s">
        <v>29</v>
      </c>
      <c s="76" r="F18" t="n"/>
    </row>
    <row customHeight="1" s="134" r="19" ht="15.75" spans="1:6">
      <c s="59" r="B19" t="s">
        <v>1450</v>
      </c>
      <c s="59" r="C19" t="s">
        <v>1451</v>
      </c>
      <c s="19" r="D19" t="s">
        <v>949</v>
      </c>
      <c s="19" r="E19" t="s">
        <v>29</v>
      </c>
      <c s="76" r="F19" t="n"/>
    </row>
    <row customHeight="1" s="134" r="20" ht="15.75" spans="1:6">
      <c s="59" r="B20" t="s">
        <v>1452</v>
      </c>
      <c s="59" r="C20" t="s">
        <v>1453</v>
      </c>
      <c s="19" r="D20" t="s">
        <v>949</v>
      </c>
      <c s="19" r="E20" t="s">
        <v>29</v>
      </c>
      <c s="76" r="F20" t="n"/>
    </row>
    <row customHeight="1" s="134" r="21" ht="15.75" spans="1:6">
      <c s="59" r="B21" t="s">
        <v>1454</v>
      </c>
      <c s="59" r="C21" t="s">
        <v>1455</v>
      </c>
      <c s="19" r="D21" t="s">
        <v>949</v>
      </c>
      <c s="19" r="E21" t="s">
        <v>29</v>
      </c>
      <c s="76" r="F21" t="n"/>
    </row>
    <row customHeight="1" s="134" r="22" ht="15.75" spans="1:6">
      <c s="59" r="B22" t="s">
        <v>1456</v>
      </c>
      <c s="59" r="C22" t="s">
        <v>1457</v>
      </c>
      <c s="19" r="D22" t="s">
        <v>949</v>
      </c>
      <c s="19" r="E22" t="s">
        <v>29</v>
      </c>
      <c s="76" r="F22" t="n"/>
    </row>
    <row customHeight="1" s="134" r="23" ht="15.75" spans="1:6">
      <c s="59" r="B23" t="s">
        <v>1458</v>
      </c>
      <c s="59" r="C23" t="s">
        <v>1459</v>
      </c>
      <c s="19" r="D23" t="s">
        <v>949</v>
      </c>
      <c s="19" r="E23" t="s">
        <v>29</v>
      </c>
      <c s="76" r="F23" t="n"/>
    </row>
    <row customHeight="1" s="134" r="24" ht="15.75" spans="1:6">
      <c s="59" r="B24" t="s">
        <v>1460</v>
      </c>
      <c s="59" r="C24" t="s">
        <v>1461</v>
      </c>
      <c s="19" r="D24" t="s">
        <v>949</v>
      </c>
      <c s="19" r="E24" t="s">
        <v>29</v>
      </c>
      <c s="76" r="F24" t="n"/>
    </row>
    <row customHeight="1" s="134" r="25" ht="15.75" spans="1:6">
      <c s="59" r="B25" t="s">
        <v>1462</v>
      </c>
      <c s="59" r="C25" t="s">
        <v>1463</v>
      </c>
      <c s="19" r="D25" t="s">
        <v>949</v>
      </c>
      <c s="19" r="E25" t="s">
        <v>29</v>
      </c>
      <c s="76" r="F25" t="n"/>
    </row>
    <row customHeight="1" s="134" r="26" ht="15.75" spans="1:6">
      <c s="59" r="B26" t="s">
        <v>1464</v>
      </c>
      <c s="59" r="C26" t="s">
        <v>1465</v>
      </c>
      <c s="19" r="D26" t="s">
        <v>949</v>
      </c>
      <c s="19" r="E26" t="s">
        <v>29</v>
      </c>
      <c s="76" r="F26" t="n"/>
    </row>
    <row customHeight="1" s="134" r="27" ht="15.75" spans="1:6">
      <c s="19" r="A27" t="s">
        <v>1387</v>
      </c>
      <c s="59" r="B27" t="s">
        <v>1388</v>
      </c>
      <c s="59" r="C27" t="s">
        <v>1389</v>
      </c>
      <c s="19" r="D27" t="s">
        <v>949</v>
      </c>
      <c s="19" r="E27" t="s">
        <v>29</v>
      </c>
      <c s="76" r="F27" t="n"/>
    </row>
    <row customHeight="1" s="134" r="28" ht="15.75" spans="1:6">
      <c s="59" r="B28" t="s">
        <v>1390</v>
      </c>
      <c s="59" r="C28" t="s">
        <v>1391</v>
      </c>
      <c s="19" r="D28" t="s">
        <v>949</v>
      </c>
      <c s="19" r="E28" t="s">
        <v>29</v>
      </c>
      <c s="76" r="F28" t="n"/>
    </row>
    <row customHeight="1" s="134" r="29" ht="15.75" spans="1:6">
      <c s="59" r="B29" t="s">
        <v>1392</v>
      </c>
      <c s="59" r="C29" t="s">
        <v>1393</v>
      </c>
      <c s="19" r="D29" t="s">
        <v>949</v>
      </c>
      <c s="19" r="E29" t="s">
        <v>29</v>
      </c>
      <c s="76" r="F29" t="n"/>
    </row>
    <row customHeight="1" s="134" r="30" ht="15.75" spans="1:6">
      <c s="59" r="B30" t="s">
        <v>1394</v>
      </c>
      <c s="59" r="C30" t="s">
        <v>1395</v>
      </c>
      <c s="19" r="D30" t="s">
        <v>949</v>
      </c>
      <c s="19" r="E30" t="s">
        <v>29</v>
      </c>
      <c s="76" r="F30" t="n"/>
    </row>
    <row customHeight="1" s="134" r="31" ht="15.75" spans="1:6">
      <c s="59" r="B31" t="s">
        <v>1396</v>
      </c>
      <c s="59" r="C31" t="s">
        <v>1397</v>
      </c>
      <c s="19" r="D31" t="s">
        <v>949</v>
      </c>
      <c s="19" r="E31" t="s">
        <v>29</v>
      </c>
      <c s="76" r="F31" t="n"/>
    </row>
    <row customHeight="1" s="134" r="32" ht="15.75" spans="1:6">
      <c s="59" r="B32" t="s">
        <v>1398</v>
      </c>
      <c s="120" r="C32" t="s">
        <v>1399</v>
      </c>
      <c s="19" r="D32" t="s">
        <v>952</v>
      </c>
      <c s="19" r="E32" t="s">
        <v>952</v>
      </c>
      <c s="76" r="F32" t="n"/>
    </row>
    <row customHeight="1" s="134" r="33" ht="15.75" spans="1:6">
      <c s="19" r="A33" t="s">
        <v>1400</v>
      </c>
      <c s="59" r="B33" t="s">
        <v>1401</v>
      </c>
      <c s="59" r="C33" t="s">
        <v>1402</v>
      </c>
      <c s="19" r="D33" t="s">
        <v>949</v>
      </c>
      <c s="19" r="E33" t="s">
        <v>29</v>
      </c>
      <c s="76" r="F33" t="n"/>
    </row>
    <row customHeight="1" s="134" r="34" ht="15.75" spans="1:6">
      <c s="59" r="B34" t="s">
        <v>1403</v>
      </c>
      <c s="59" r="C34" t="s">
        <v>1404</v>
      </c>
      <c s="19" r="D34" t="s">
        <v>949</v>
      </c>
      <c s="19" r="E34" t="s">
        <v>29</v>
      </c>
      <c s="76" r="F34" t="n"/>
    </row>
    <row customHeight="1" s="134" r="35" ht="15.75" spans="1:6">
      <c s="120" r="B35" t="s">
        <v>1466</v>
      </c>
      <c s="120" r="C35" t="s">
        <v>1467</v>
      </c>
      <c s="19" r="D35" t="s">
        <v>949</v>
      </c>
      <c s="19" r="E35" t="s">
        <v>29</v>
      </c>
      <c s="76" r="F35" t="n"/>
    </row>
    <row customHeight="1" s="134" r="36" ht="15.75" spans="1:6">
      <c s="63" r="A36" t="n"/>
      <c s="20" r="B36" t="n"/>
      <c s="20" r="C36" t="n"/>
      <c s="20" r="D36" t="n"/>
      <c s="20" r="E36" t="n"/>
      <c s="63" r="F36" t="n"/>
    </row>
    <row customHeight="1" s="134" r="37" ht="15.75" spans="1:6">
      <c s="66" r="A37" t="n"/>
      <c s="21" r="B37" t="n"/>
      <c s="22" r="C37" t="s">
        <v>49</v>
      </c>
      <c s="22" r="D37" t="s">
        <v>1405</v>
      </c>
      <c s="22" r="E37" t="s">
        <v>1407</v>
      </c>
      <c s="73" r="F37" t="n"/>
    </row>
    <row customHeight="1" s="134" r="38" ht="15.75" spans="1:6">
      <c s="66" r="A38" t="n"/>
      <c s="23" r="B38" t="s">
        <v>68</v>
      </c>
      <c s="118" r="C38">
        <f>E38/D38</f>
        <v/>
      </c>
      <c s="76" r="D38">
        <f>COUNTIF(D3:D35,"Sí")</f>
        <v/>
      </c>
      <c s="76" r="E38">
        <f>COUNTIF(E3:E35,"Sí")</f>
        <v/>
      </c>
      <c s="73" r="F38" t="n"/>
    </row>
    <row customHeight="1" s="134" r="39" ht="15.75" spans="1:6">
      <c s="63" r="B39" t="n"/>
      <c s="63" r="C39" t="n"/>
      <c s="63" r="D39" t="n"/>
      <c s="63" r="E39" t="n"/>
    </row>
  </sheetData>
  <mergeCells count="5">
    <mergeCell ref="A1:F1"/>
    <mergeCell ref="A3:A9"/>
    <mergeCell ref="A10:A26"/>
    <mergeCell ref="A27:A32"/>
    <mergeCell ref="A33:A35"/>
  </mergeCells>
  <dataValidations count="2">
    <dataValidation allowBlank="0" operator="between" prompt="Click and enter a value from the list of items" showDropDown="0" showErrorMessage="0" showInputMessage="1" sqref="D3:D31 D33:D35 E3:E31 E33:E35" type="list">
      <formula1>"Sí,No,-"</formula1>
      <formula2>0</formula2>
    </dataValidation>
    <dataValidation allowBlank="0" operator="between" showDropDown="0" showErrorMessage="0" showInputMessage="0" sqref="D32 E32"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8.xml><?xml version="1.0" encoding="utf-8"?>
<worksheet xmlns="http://schemas.openxmlformats.org/spreadsheetml/2006/main">
  <sheetPr filterMode="0">
    <tabColor rgb="FFFFFF00"/>
    <outlinePr summaryBelow="1" summaryRight="1"/>
    <pageSetUpPr fitToPage="0"/>
  </sheetPr>
  <dimension ref="A1:R97"/>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7.8214285714286"/>
    <col customWidth="1" max="2" min="2" width="30.6428571428571"/>
    <col customWidth="1" max="3" min="3" width="35.3673469387755"/>
    <col customWidth="1" max="4" min="4" width="19.4387755102041"/>
    <col customWidth="1" max="5" min="5" width="35.0969387755102"/>
    <col customWidth="1" max="6" min="6" width="17.0102040816327"/>
    <col customWidth="1" max="7" min="7" width="25.7857142857143"/>
    <col customWidth="1" max="8" min="8" width="31.3163265306122"/>
    <col customWidth="1" max="9" min="9" width="30.3724489795918"/>
    <col customWidth="1" max="1025" min="10" width="13.6326530612245"/>
  </cols>
  <sheetData>
    <row customHeight="1" s="134" r="1" ht="15.75" spans="1:18">
      <c s="121" r="A1" t="s">
        <v>1468</v>
      </c>
      <c s="121" r="B1" t="s">
        <v>1469</v>
      </c>
      <c s="121" r="C1" t="s">
        <v>1470</v>
      </c>
      <c s="121" r="D1" t="s">
        <v>1471</v>
      </c>
      <c s="121" r="E1" t="s">
        <v>1472</v>
      </c>
      <c s="121" r="F1" t="s">
        <v>1473</v>
      </c>
      <c s="121" r="G1" t="s">
        <v>1474</v>
      </c>
      <c s="121" r="H1" t="s">
        <v>1475</v>
      </c>
      <c s="121" r="I1" t="s">
        <v>1476</v>
      </c>
      <c s="121" r="J1" t="s">
        <v>1477</v>
      </c>
      <c s="122" r="K1" t="s">
        <v>1254</v>
      </c>
      <c s="121" r="L1" t="s">
        <v>1478</v>
      </c>
      <c s="121" r="M1" t="s">
        <v>35</v>
      </c>
      <c s="121" r="N1" t="s">
        <v>1479</v>
      </c>
      <c s="121" r="O1" t="s">
        <v>1480</v>
      </c>
      <c s="121" r="P1" t="s">
        <v>34</v>
      </c>
      <c s="121" r="Q1" t="s">
        <v>1481</v>
      </c>
      <c s="121" r="R1" t="s">
        <v>1482</v>
      </c>
    </row>
    <row customHeight="1" s="134" r="2" ht="15.75" spans="1:18">
      <c s="83" r="A2" t="s">
        <v>1483</v>
      </c>
      <c s="83" r="B2" t="s">
        <v>1484</v>
      </c>
      <c s="83" r="C2" t="s">
        <v>1485</v>
      </c>
      <c s="83" r="D2" t="s">
        <v>1486</v>
      </c>
      <c s="83" r="E2" t="s">
        <v>1487</v>
      </c>
      <c s="83" r="F2" t="s">
        <v>1488</v>
      </c>
      <c s="83" r="G2" t="s">
        <v>1489</v>
      </c>
      <c s="83" r="H2" t="s">
        <v>1225</v>
      </c>
      <c s="123" r="I2" t="s">
        <v>1490</v>
      </c>
      <c s="83" r="J2" t="s">
        <v>1491</v>
      </c>
      <c s="83" r="K2" t="s">
        <v>1492</v>
      </c>
      <c s="83" r="L2" t="n">
        <v>1</v>
      </c>
      <c s="83" r="M2" t="s">
        <v>1493</v>
      </c>
      <c s="83" r="N2" t="s">
        <v>26</v>
      </c>
      <c s="83" r="O2" t="s">
        <v>1494</v>
      </c>
      <c s="83" r="P2" t="s">
        <v>1495</v>
      </c>
      <c s="83" r="Q2" t="s">
        <v>1496</v>
      </c>
      <c s="83" r="R2" t="s">
        <v>1497</v>
      </c>
    </row>
    <row customHeight="1" s="134" r="3" ht="15.75" spans="1:18">
      <c s="83" r="A3" t="s">
        <v>5</v>
      </c>
      <c s="83" r="B3" t="s">
        <v>1498</v>
      </c>
      <c s="83" r="C3" t="s">
        <v>1499</v>
      </c>
      <c s="83" r="D3" t="s">
        <v>1500</v>
      </c>
      <c s="83" r="E3" t="s">
        <v>1501</v>
      </c>
      <c s="83" r="F3" t="s">
        <v>1502</v>
      </c>
      <c s="83" r="G3" t="s">
        <v>1503</v>
      </c>
      <c s="83" r="H3" t="s">
        <v>1504</v>
      </c>
      <c s="123" r="I3" t="s">
        <v>1505</v>
      </c>
      <c s="83" r="J3" t="s">
        <v>1266</v>
      </c>
      <c s="83" r="K3" t="s">
        <v>1506</v>
      </c>
      <c s="83" r="L3" t="n">
        <v>2</v>
      </c>
      <c s="83" r="M3" t="s">
        <v>1507</v>
      </c>
      <c s="83" r="N3" t="s">
        <v>1508</v>
      </c>
      <c s="83" r="O3" t="s">
        <v>1509</v>
      </c>
      <c s="83" r="P3" t="s">
        <v>1510</v>
      </c>
      <c s="83" r="Q3" t="s">
        <v>1511</v>
      </c>
    </row>
    <row customHeight="1" s="134" r="4" ht="15.75" spans="1:18">
      <c s="83" r="A4" t="s">
        <v>1512</v>
      </c>
      <c s="83" r="B4" t="s">
        <v>1513</v>
      </c>
      <c s="83" r="C4" t="s">
        <v>1514</v>
      </c>
      <c s="83" r="D4" t="s">
        <v>1515</v>
      </c>
      <c s="83" r="E4" t="s">
        <v>1516</v>
      </c>
      <c s="83" r="F4" t="s">
        <v>1517</v>
      </c>
      <c s="83" r="G4" t="s">
        <v>1518</v>
      </c>
      <c s="83" r="H4" t="s">
        <v>1500</v>
      </c>
      <c s="123" r="I4" t="s">
        <v>1519</v>
      </c>
      <c s="83" r="J4" t="s">
        <v>1520</v>
      </c>
      <c s="83" r="K4" t="s">
        <v>1521</v>
      </c>
      <c s="83" r="L4" t="n">
        <v>3</v>
      </c>
      <c s="83" r="M4" t="s">
        <v>1522</v>
      </c>
      <c s="83" r="N4" t="s">
        <v>443</v>
      </c>
      <c s="83" r="O4" t="s">
        <v>1523</v>
      </c>
      <c s="83" r="P4" t="s">
        <v>1524</v>
      </c>
      <c s="83" r="Q4" t="s">
        <v>1525</v>
      </c>
    </row>
    <row customHeight="1" s="134" r="5" ht="15.75" spans="1:18">
      <c s="83" r="A5" t="s">
        <v>1526</v>
      </c>
      <c s="83" r="B5" t="s">
        <v>1527</v>
      </c>
      <c s="83" r="C5" t="s">
        <v>1528</v>
      </c>
      <c s="83" r="D5" t="s">
        <v>1529</v>
      </c>
      <c s="83" r="E5" t="s">
        <v>1530</v>
      </c>
      <c s="83" r="F5" t="s">
        <v>1531</v>
      </c>
      <c s="83" r="G5" t="s">
        <v>1532</v>
      </c>
      <c s="83" r="H5" t="s">
        <v>1533</v>
      </c>
      <c s="123" r="I5" t="s">
        <v>1532</v>
      </c>
      <c s="83" r="J5" t="n"/>
      <c s="83" r="K5" t="s">
        <v>1534</v>
      </c>
      <c s="83" r="L5" t="n">
        <v>4</v>
      </c>
      <c s="83" r="M5" t="s">
        <v>1535</v>
      </c>
      <c s="83" r="N5" t="s">
        <v>1536</v>
      </c>
      <c s="83" r="O5" t="s">
        <v>1537</v>
      </c>
      <c s="83" r="P5" t="s">
        <v>1538</v>
      </c>
      <c s="83" r="Q5" t="s">
        <v>1539</v>
      </c>
    </row>
    <row customHeight="1" s="134" r="6" ht="15.75" spans="1:18">
      <c s="83" r="A6" t="s">
        <v>1540</v>
      </c>
      <c s="83" r="B6" t="s">
        <v>1484</v>
      </c>
      <c s="83" r="C6" t="s">
        <v>1541</v>
      </c>
      <c s="83" r="D6" t="s">
        <v>1533</v>
      </c>
      <c s="83" r="E6" t="s">
        <v>1542</v>
      </c>
      <c s="83" r="F6" t="s">
        <v>1543</v>
      </c>
      <c s="83" r="G6" t="s">
        <v>1544</v>
      </c>
      <c s="83" r="H6" t="s">
        <v>1545</v>
      </c>
      <c s="123" r="I6" t="s">
        <v>1546</v>
      </c>
      <c s="83" r="J6" t="n"/>
      <c s="83" r="K6" t="s">
        <v>1532</v>
      </c>
      <c s="83" r="L6" t="n">
        <v>5</v>
      </c>
      <c s="83" r="M6" t="s">
        <v>1532</v>
      </c>
      <c s="83" r="N6" t="s">
        <v>90</v>
      </c>
      <c s="83" r="O6" t="s">
        <v>1547</v>
      </c>
      <c s="83" r="P6" t="s">
        <v>1548</v>
      </c>
      <c s="83" r="Q6" t="s">
        <v>1549</v>
      </c>
    </row>
    <row customHeight="1" s="134" r="7" ht="15.75" spans="1:18">
      <c s="83" r="A7" t="s">
        <v>1550</v>
      </c>
      <c s="83" r="B7" t="s">
        <v>1551</v>
      </c>
      <c s="83" r="C7" t="s">
        <v>1552</v>
      </c>
      <c s="83" r="D7" t="n"/>
      <c s="83" r="E7" t="s">
        <v>1553</v>
      </c>
      <c s="83" r="G7" t="s">
        <v>1554</v>
      </c>
      <c s="83" r="H7" t="n"/>
      <c s="123" r="I7" t="s">
        <v>1555</v>
      </c>
      <c s="83" r="L7" t="s">
        <v>1532</v>
      </c>
      <c s="83" r="M7" t="s">
        <v>1556</v>
      </c>
      <c s="83" r="N7" t="s">
        <v>1557</v>
      </c>
      <c s="83" r="O7" t="s">
        <v>1558</v>
      </c>
      <c s="83" r="P7" t="s">
        <v>1559</v>
      </c>
      <c s="83" r="Q7" t="s">
        <v>1560</v>
      </c>
    </row>
    <row customHeight="1" s="134" r="8" ht="15.75" spans="1:18">
      <c s="83" r="A8" t="s">
        <v>1561</v>
      </c>
      <c s="83" r="B8" t="s">
        <v>1562</v>
      </c>
      <c s="83" r="C8" t="s">
        <v>1563</v>
      </c>
      <c s="83" r="E8" t="s">
        <v>1564</v>
      </c>
      <c s="83" r="G8" t="s">
        <v>1565</v>
      </c>
      <c s="123" r="I8" t="s">
        <v>1566</v>
      </c>
      <c s="83" r="N8" t="s">
        <v>1567</v>
      </c>
      <c s="83" r="O8" t="s">
        <v>1568</v>
      </c>
      <c s="83" r="P8" t="s">
        <v>1569</v>
      </c>
      <c s="30" r="Q8" t="s">
        <v>1570</v>
      </c>
    </row>
    <row customHeight="1" s="134" r="9" ht="15.75" spans="1:18">
      <c s="83" r="A9" t="s">
        <v>1571</v>
      </c>
      <c s="83" r="B9" t="s">
        <v>1572</v>
      </c>
      <c s="83" r="C9" t="s">
        <v>1573</v>
      </c>
      <c s="83" r="E9" t="s">
        <v>1574</v>
      </c>
      <c s="83" r="G9" t="s">
        <v>1575</v>
      </c>
      <c s="123" r="I9" t="s">
        <v>1576</v>
      </c>
      <c s="83" r="N9" t="s">
        <v>1577</v>
      </c>
      <c s="83" r="O9" t="s">
        <v>1578</v>
      </c>
      <c s="83" r="P9" t="s">
        <v>1579</v>
      </c>
      <c s="83" r="Q9" t="s">
        <v>1580</v>
      </c>
    </row>
    <row customHeight="1" s="134" r="10" ht="15.75" spans="1:18">
      <c s="83" r="A10" t="s">
        <v>1581</v>
      </c>
      <c s="83" r="B10" t="s">
        <v>1582</v>
      </c>
      <c s="83" r="C10" t="s">
        <v>1583</v>
      </c>
      <c s="83" r="E10" t="s">
        <v>1584</v>
      </c>
      <c s="83" r="G10" t="s">
        <v>1585</v>
      </c>
      <c s="123" r="I10" t="s">
        <v>1586</v>
      </c>
      <c s="83" r="N10" t="s">
        <v>1587</v>
      </c>
      <c s="83" r="O10" t="s">
        <v>1588</v>
      </c>
      <c s="83" r="P10" t="s">
        <v>1589</v>
      </c>
    </row>
    <row customHeight="1" s="134" r="11" ht="15.75" spans="1:18">
      <c s="83" r="A11" t="s">
        <v>1590</v>
      </c>
      <c s="83" r="B11" t="s">
        <v>1533</v>
      </c>
      <c s="83" r="C11" t="s">
        <v>1591</v>
      </c>
      <c s="83" r="E11" t="s">
        <v>1592</v>
      </c>
      <c s="83" r="G11" t="s">
        <v>1593</v>
      </c>
      <c s="123" r="I11" t="s">
        <v>1594</v>
      </c>
      <c s="83" r="N11" t="s">
        <v>101</v>
      </c>
      <c s="83" r="O11" t="s">
        <v>1595</v>
      </c>
      <c s="83" r="P11" t="s">
        <v>1596</v>
      </c>
    </row>
    <row customHeight="1" s="134" r="12" ht="15.75" spans="1:18">
      <c s="83" r="A12" t="n"/>
      <c s="83" r="B12" t="s">
        <v>1597</v>
      </c>
      <c s="83" r="C12" t="s">
        <v>1598</v>
      </c>
      <c s="83" r="E12" t="s">
        <v>1599</v>
      </c>
      <c s="123" r="I12" t="s">
        <v>176</v>
      </c>
      <c s="83" r="N12" t="s">
        <v>1600</v>
      </c>
      <c s="83" r="O12" t="s">
        <v>1601</v>
      </c>
      <c s="83" r="P12" t="s">
        <v>1602</v>
      </c>
    </row>
    <row customHeight="1" s="134" r="13" ht="15.75" spans="1:18">
      <c s="83" r="B13" t="s">
        <v>1603</v>
      </c>
      <c s="83" r="C13" t="s">
        <v>1604</v>
      </c>
      <c s="83" r="E13" t="s">
        <v>1605</v>
      </c>
      <c s="123" r="I13" t="s">
        <v>1606</v>
      </c>
      <c s="83" r="N13" t="s">
        <v>1607</v>
      </c>
      <c s="83" r="O13" t="s">
        <v>1608</v>
      </c>
      <c s="83" r="P13" t="s">
        <v>1609</v>
      </c>
    </row>
    <row customHeight="1" s="134" r="14" ht="15.75" spans="1:18">
      <c s="83" r="C14" t="s">
        <v>1512</v>
      </c>
      <c s="83" r="E14" t="s">
        <v>1610</v>
      </c>
      <c s="123" r="I14" t="s">
        <v>1611</v>
      </c>
      <c s="83" r="N14" t="s">
        <v>57</v>
      </c>
      <c s="83" r="P14" t="s">
        <v>1612</v>
      </c>
    </row>
    <row customHeight="1" s="134" r="15" ht="15.75" spans="1:18">
      <c s="83" r="C15" t="s">
        <v>1613</v>
      </c>
      <c s="83" r="E15" t="s">
        <v>1614</v>
      </c>
      <c s="123" r="I15" t="s">
        <v>1615</v>
      </c>
      <c s="83" r="N15" t="s">
        <v>1616</v>
      </c>
      <c s="83" r="P15" t="s">
        <v>1617</v>
      </c>
    </row>
    <row customHeight="1" s="134" r="16" ht="15.75" spans="1:18">
      <c s="83" r="C16" t="s">
        <v>1618</v>
      </c>
      <c s="123" r="I16" t="n"/>
      <c s="83" r="N16" t="s">
        <v>1619</v>
      </c>
      <c s="83" r="P16" t="s">
        <v>1620</v>
      </c>
      <c s="30" r="Q16" t="n"/>
    </row>
    <row customHeight="1" s="134" r="17" ht="15.75" spans="1:18">
      <c s="83" r="C17" t="s">
        <v>1621</v>
      </c>
      <c s="123" r="I17" t="n"/>
      <c s="83" r="P17" t="s">
        <v>1622</v>
      </c>
      <c s="30" r="Q17" t="n"/>
    </row>
    <row customHeight="1" s="134" r="18" ht="15.75" spans="1:18">
      <c s="83" r="C18" t="s">
        <v>1623</v>
      </c>
      <c s="83" r="P18" t="s">
        <v>1624</v>
      </c>
      <c s="30" r="Q18" t="n"/>
    </row>
    <row customHeight="1" s="134" r="19" ht="15.75" spans="1:18">
      <c s="83" r="C19" t="s">
        <v>1625</v>
      </c>
      <c s="83" r="P19" t="s">
        <v>1626</v>
      </c>
      <c s="30" r="Q19" t="n"/>
    </row>
    <row customHeight="1" s="134" r="20" ht="15.75" spans="1:18">
      <c s="83" r="C20" t="s">
        <v>1533</v>
      </c>
      <c s="83" r="P20" t="s">
        <v>1627</v>
      </c>
      <c s="83" r="Q20" t="n"/>
    </row>
    <row customHeight="1" s="134" r="21" ht="15.75" spans="1:18">
      <c s="83" r="C21" t="s">
        <v>1628</v>
      </c>
      <c s="83" r="P21" t="s">
        <v>1629</v>
      </c>
    </row>
    <row customHeight="1" s="134" r="22" ht="15.75" spans="1:18">
      <c s="83" r="C22" t="s">
        <v>1540</v>
      </c>
      <c s="83" r="P22" t="s">
        <v>1630</v>
      </c>
    </row>
    <row customHeight="1" s="134" r="23" ht="15.75" spans="1:18">
      <c s="83" r="C23" t="s">
        <v>1631</v>
      </c>
      <c s="83" r="P23" t="s">
        <v>1632</v>
      </c>
    </row>
    <row customHeight="1" s="134" r="24" ht="15.75" spans="1:18">
      <c s="83" r="C24" t="s">
        <v>1633</v>
      </c>
      <c s="83" r="P24" t="s">
        <v>1634</v>
      </c>
    </row>
    <row customHeight="1" s="134" r="25" ht="15.75" spans="1:18">
      <c s="83" r="C25" t="s">
        <v>1635</v>
      </c>
      <c s="83" r="P25" t="s">
        <v>1636</v>
      </c>
    </row>
    <row customHeight="1" s="134" r="26" ht="15.75" spans="1:18">
      <c s="83" r="C26" t="s">
        <v>1637</v>
      </c>
      <c s="83" r="P26" t="s">
        <v>1638</v>
      </c>
    </row>
    <row customHeight="1" s="134" r="27" ht="15.75" spans="1:18">
      <c s="83" r="C27" t="s">
        <v>1639</v>
      </c>
      <c s="83" r="P27" t="s">
        <v>1640</v>
      </c>
    </row>
    <row customHeight="1" s="134" r="28" ht="15.75" spans="1:18">
      <c s="83" r="C28" t="s">
        <v>1616</v>
      </c>
      <c s="83" r="P28" t="s">
        <v>1641</v>
      </c>
    </row>
    <row customHeight="1" s="134" r="29" ht="15.75" spans="1:18">
      <c s="83" r="C29" t="s">
        <v>1642</v>
      </c>
      <c s="83" r="P29" t="s">
        <v>1643</v>
      </c>
    </row>
    <row customHeight="1" s="134" r="30" ht="15.75" spans="1:18">
      <c s="83" r="C30" t="s">
        <v>1644</v>
      </c>
      <c s="83" r="P30" t="s">
        <v>1645</v>
      </c>
    </row>
    <row customHeight="1" s="134" r="31" ht="15.75" spans="1:18">
      <c s="83" r="C31" t="s">
        <v>1646</v>
      </c>
      <c s="83" r="P31" t="s">
        <v>1647</v>
      </c>
    </row>
    <row customHeight="1" s="134" r="32" ht="15.75" spans="1:18">
      <c s="83" r="C32" t="s">
        <v>1648</v>
      </c>
      <c s="83" r="P32" t="s">
        <v>1649</v>
      </c>
    </row>
    <row customHeight="1" s="134" r="33" ht="15.75" spans="1:18">
      <c s="83" r="C33" t="s">
        <v>1650</v>
      </c>
      <c s="83" r="P33" t="s">
        <v>1651</v>
      </c>
    </row>
    <row customHeight="1" s="134" r="34" ht="15.75" spans="1:18">
      <c s="83" r="C34" t="s">
        <v>1652</v>
      </c>
      <c s="83" r="P34" t="s">
        <v>1653</v>
      </c>
    </row>
    <row customHeight="1" s="134" r="35" ht="15.75" spans="1:18">
      <c s="83" r="C35" t="s">
        <v>1654</v>
      </c>
      <c s="83" r="P35" t="s">
        <v>1655</v>
      </c>
    </row>
    <row customHeight="1" s="134" r="36" ht="15.75" spans="1:18">
      <c s="83" r="C36" t="s">
        <v>1656</v>
      </c>
      <c s="83" r="P36" t="s">
        <v>1657</v>
      </c>
    </row>
    <row customHeight="1" s="134" r="37" ht="15.75" spans="1:18">
      <c s="83" r="C37" t="s">
        <v>1658</v>
      </c>
      <c s="83" r="P37" t="s">
        <v>1659</v>
      </c>
    </row>
    <row customHeight="1" s="134" r="38" ht="15.75" spans="1:18">
      <c s="83" r="C38" t="n"/>
      <c s="83" r="P38" t="s">
        <v>1660</v>
      </c>
    </row>
    <row customHeight="1" s="134" r="39" ht="15.75" spans="1:18">
      <c s="83" r="C39" t="n"/>
      <c s="83" r="P39" t="s">
        <v>1661</v>
      </c>
    </row>
    <row customHeight="1" s="134" r="40" ht="15.75" spans="1:18">
      <c s="83" r="C40" t="n"/>
      <c s="83" r="P40" t="s">
        <v>1662</v>
      </c>
    </row>
    <row customHeight="1" s="134" r="41" ht="15.75" spans="1:18">
      <c s="83" r="C41" t="n"/>
      <c s="83" r="P41" t="s">
        <v>1663</v>
      </c>
    </row>
    <row customHeight="1" s="134" r="42" ht="15.75" spans="1:18">
      <c s="83" r="C42" t="n"/>
      <c s="83" r="P42" t="s">
        <v>1664</v>
      </c>
    </row>
    <row customHeight="1" s="134" r="43" ht="15.75" spans="1:18">
      <c s="83" r="C43" t="n"/>
      <c s="83" r="P43" t="s">
        <v>1665</v>
      </c>
    </row>
    <row customHeight="1" s="134" r="44" ht="15.75" spans="1:18">
      <c s="83" r="C44" t="n"/>
      <c s="83" r="P44" t="s">
        <v>1666</v>
      </c>
    </row>
    <row customHeight="1" s="134" r="45" ht="15.75" spans="1:18">
      <c s="83" r="C45" t="n"/>
      <c s="83" r="P45" t="s">
        <v>1667</v>
      </c>
    </row>
    <row customHeight="1" s="134" r="46" ht="15.75" spans="1:18">
      <c s="83" r="C46" t="n"/>
      <c s="83" r="P46" t="s">
        <v>1668</v>
      </c>
    </row>
    <row customHeight="1" s="134" r="47" ht="15.75" spans="1:18">
      <c s="83" r="C47" t="n"/>
      <c s="83" r="P47" t="s">
        <v>1669</v>
      </c>
    </row>
    <row customHeight="1" s="134" r="48" ht="15.75" spans="1:18">
      <c s="83" r="C48" t="n"/>
      <c s="83" r="P48" t="s">
        <v>1670</v>
      </c>
    </row>
    <row customHeight="1" s="134" r="49" ht="15.75" spans="1:18">
      <c s="83" r="C49" t="n"/>
      <c s="83" r="P49" t="s">
        <v>1671</v>
      </c>
    </row>
    <row customHeight="1" s="134" r="50" ht="15.75" spans="1:18">
      <c s="83" r="C50" t="n"/>
      <c s="83" r="P50" t="s">
        <v>1672</v>
      </c>
    </row>
    <row customHeight="1" s="134" r="51" ht="15.75" spans="1:18">
      <c s="83" r="C51" t="n"/>
      <c s="83" r="P51" t="s">
        <v>1673</v>
      </c>
    </row>
    <row customHeight="1" s="134" r="52" ht="15.75" spans="1:18">
      <c s="83" r="C52" t="n"/>
      <c s="83" r="P52" t="s">
        <v>1674</v>
      </c>
    </row>
    <row customHeight="1" s="134" r="53" ht="15.75" spans="1:18">
      <c s="83" r="C53" t="n"/>
      <c s="83" r="P53" t="s">
        <v>1675</v>
      </c>
    </row>
    <row customHeight="1" s="134" r="54" ht="15.75" spans="1:18">
      <c s="83" r="C54" t="n"/>
      <c s="83" r="P54" t="s">
        <v>1676</v>
      </c>
    </row>
    <row customHeight="1" s="134" r="55" ht="15.75" spans="1:18">
      <c s="83" r="C55" t="n"/>
      <c s="83" r="P55" t="s">
        <v>1677</v>
      </c>
    </row>
    <row customHeight="1" s="134" r="56" ht="15.75" spans="1:18">
      <c s="83" r="C56" t="n"/>
      <c s="83" r="P56" t="s">
        <v>1678</v>
      </c>
    </row>
    <row customHeight="1" s="134" r="57" ht="15.75" spans="1:18">
      <c s="83" r="C57" t="n"/>
      <c s="83" r="P57" t="s">
        <v>1679</v>
      </c>
    </row>
    <row customHeight="1" s="134" r="58" ht="15.75" spans="1:18">
      <c s="83" r="C58" t="n"/>
      <c s="83" r="P58" t="s">
        <v>1680</v>
      </c>
    </row>
    <row customHeight="1" s="134" r="59" ht="15.75" spans="1:18">
      <c s="83" r="C59" t="n"/>
      <c s="83" r="P59" t="s">
        <v>1681</v>
      </c>
    </row>
    <row customHeight="1" s="134" r="60" ht="15.75" spans="1:18">
      <c s="83" r="C60" t="n"/>
      <c s="83" r="P60" t="s">
        <v>1682</v>
      </c>
    </row>
    <row customHeight="1" s="134" r="61" ht="15.75" spans="1:18">
      <c s="83" r="C61" t="n"/>
      <c s="83" r="P61" t="s">
        <v>1683</v>
      </c>
    </row>
    <row customHeight="1" s="134" r="62" ht="15.75" spans="1:18">
      <c s="83" r="C62" t="n"/>
      <c s="83" r="P62" t="s">
        <v>1684</v>
      </c>
    </row>
    <row customHeight="1" s="134" r="63" ht="15.75" spans="1:18">
      <c s="83" r="C63" t="n"/>
      <c s="83" r="P63" t="s">
        <v>1685</v>
      </c>
    </row>
    <row customHeight="1" s="134" r="64" ht="15.75" spans="1:18">
      <c s="83" r="C64" t="n"/>
      <c s="83" r="P64" t="s">
        <v>1686</v>
      </c>
    </row>
    <row customHeight="1" s="134" r="65" ht="15.75" spans="1:18">
      <c s="83" r="C65" t="n"/>
      <c s="83" r="P65" t="s">
        <v>1687</v>
      </c>
    </row>
    <row customHeight="1" s="134" r="66" ht="15.75" spans="1:18">
      <c s="83" r="C66" t="n"/>
      <c s="83" r="P66" t="s">
        <v>1688</v>
      </c>
    </row>
    <row customHeight="1" s="134" r="67" ht="15.75" spans="1:18">
      <c s="83" r="C67" t="n"/>
      <c s="83" r="P67" t="s">
        <v>1689</v>
      </c>
    </row>
    <row customHeight="1" s="134" r="68" ht="15.75" spans="1:18">
      <c s="83" r="C68" t="n"/>
      <c s="83" r="P68" t="s">
        <v>1690</v>
      </c>
    </row>
    <row customHeight="1" s="134" r="69" ht="15.75" spans="1:18">
      <c s="83" r="C69" t="n"/>
      <c s="83" r="P69" t="s">
        <v>1691</v>
      </c>
    </row>
    <row customHeight="1" s="134" r="70" ht="15.75" spans="1:18">
      <c s="83" r="C70" t="n"/>
      <c s="83" r="P70" t="s">
        <v>1692</v>
      </c>
    </row>
    <row customHeight="1" s="134" r="71" ht="15.75" spans="1:18">
      <c s="83" r="C71" t="n"/>
      <c s="83" r="P71" t="s">
        <v>1693</v>
      </c>
    </row>
    <row customHeight="1" s="134" r="72" ht="15.75" spans="1:18">
      <c s="83" r="C72" t="n"/>
      <c s="83" r="P72" t="s">
        <v>1694</v>
      </c>
    </row>
    <row customHeight="1" s="134" r="73" ht="15.75" spans="1:18">
      <c s="83" r="C73" t="n"/>
      <c s="83" r="P73" t="s">
        <v>1695</v>
      </c>
    </row>
    <row customHeight="1" s="134" r="74" ht="15.75" spans="1:18">
      <c s="83" r="C74" t="n"/>
      <c s="83" r="P74" t="s">
        <v>1696</v>
      </c>
    </row>
    <row customHeight="1" s="134" r="75" ht="15.75" spans="1:18">
      <c s="83" r="C75" t="n"/>
      <c s="83" r="P75" t="s">
        <v>1697</v>
      </c>
    </row>
    <row customHeight="1" s="134" r="76" ht="15.75" spans="1:18">
      <c s="83" r="C76" t="n"/>
      <c s="83" r="P76" t="s">
        <v>1698</v>
      </c>
    </row>
    <row customHeight="1" s="134" r="77" ht="15.75" spans="1:18">
      <c s="83" r="C77" t="n"/>
      <c s="83" r="P77" t="s">
        <v>1699</v>
      </c>
    </row>
    <row customHeight="1" s="134" r="78" ht="15.75" spans="1:18">
      <c s="83" r="C78" t="n"/>
      <c s="83" r="P78" t="s">
        <v>1700</v>
      </c>
    </row>
    <row customHeight="1" s="134" r="79" ht="15.75" spans="1:18">
      <c s="83" r="C79" t="n"/>
      <c s="83" r="P79" t="s">
        <v>1701</v>
      </c>
    </row>
    <row customHeight="1" s="134" r="80" ht="15.75" spans="1:18">
      <c s="83" r="C80" t="n"/>
      <c s="83" r="P80" t="s">
        <v>1702</v>
      </c>
    </row>
    <row customHeight="1" s="134" r="81" ht="15.75" spans="1:18">
      <c s="83" r="C81" t="n"/>
      <c s="83" r="P81" t="s">
        <v>1703</v>
      </c>
    </row>
    <row customHeight="1" s="134" r="82" ht="15.75" spans="1:18">
      <c s="83" r="C82" t="n"/>
      <c s="83" r="P82" t="s">
        <v>1704</v>
      </c>
    </row>
    <row customHeight="1" s="134" r="83" ht="15.75" spans="1:18">
      <c s="83" r="C83" t="n"/>
      <c s="83" r="P83" t="s">
        <v>1705</v>
      </c>
    </row>
    <row customHeight="1" s="134" r="84" ht="15.75" spans="1:18">
      <c s="83" r="C84" t="n"/>
      <c s="83" r="P84" t="s">
        <v>1706</v>
      </c>
    </row>
    <row customHeight="1" s="134" r="85" ht="15.75" spans="1:18">
      <c s="83" r="C85" t="n"/>
      <c s="83" r="P85" t="s">
        <v>1707</v>
      </c>
    </row>
    <row customHeight="1" s="134" r="86" ht="15.75" spans="1:18">
      <c s="83" r="C86" t="n"/>
      <c s="83" r="P86" t="s">
        <v>1708</v>
      </c>
    </row>
    <row customHeight="1" s="134" r="87" ht="15.75" spans="1:18">
      <c s="83" r="C87" t="n"/>
      <c s="83" r="P87" t="s">
        <v>1709</v>
      </c>
    </row>
    <row customHeight="1" s="134" r="88" ht="15.75" spans="1:18">
      <c s="83" r="C88" t="n"/>
      <c s="83" r="P88" t="s">
        <v>1710</v>
      </c>
    </row>
    <row customHeight="1" s="134" r="89" ht="15.75" spans="1:18">
      <c s="83" r="C89" t="n"/>
      <c s="83" r="P89" t="s">
        <v>1711</v>
      </c>
    </row>
    <row customHeight="1" s="134" r="90" ht="15.75" spans="1:18">
      <c s="83" r="C90" t="n"/>
      <c s="83" r="P90" t="s">
        <v>1712</v>
      </c>
    </row>
    <row customHeight="1" s="134" r="91" ht="15.75" spans="1:18">
      <c s="83" r="C91" t="n"/>
      <c s="83" r="P91" t="s">
        <v>1713</v>
      </c>
    </row>
    <row customHeight="1" s="134" r="92" ht="15.75" spans="1:18">
      <c s="83" r="C92" t="n"/>
      <c s="83" r="P92" t="s">
        <v>1714</v>
      </c>
    </row>
    <row customHeight="1" s="134" r="93" ht="15.75" spans="1:18">
      <c s="83" r="C93" t="n"/>
      <c s="83" r="P93" t="s">
        <v>1715</v>
      </c>
    </row>
    <row customHeight="1" s="134" r="94" ht="15.75" spans="1:18">
      <c s="83" r="C94" t="n"/>
      <c s="83" r="P94" t="s">
        <v>1716</v>
      </c>
    </row>
    <row customHeight="1" s="134" r="95" ht="15.75" spans="1:18">
      <c s="83" r="C95" t="n"/>
      <c s="83" r="P95" t="s">
        <v>1717</v>
      </c>
    </row>
    <row customHeight="1" s="134" r="96" ht="15.75" spans="1:18">
      <c s="83" r="C96" t="n"/>
      <c s="83" r="P96" t="s">
        <v>1718</v>
      </c>
    </row>
    <row customHeight="1" s="134" r="97" ht="15.75" spans="1:18">
      <c s="83" r="C97" t="n"/>
      <c s="83" r="P97" t="s">
        <v>1719</v>
      </c>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9.xml><?xml version="1.0" encoding="utf-8"?>
<worksheet xmlns="http://schemas.openxmlformats.org/spreadsheetml/2006/main">
  <sheetPr filterMode="0">
    <tabColor rgb="FFFFFF00"/>
    <outlinePr summaryBelow="1" summaryRight="1"/>
    <pageSetUpPr fitToPage="0"/>
  </sheetPr>
  <dimension ref="A1:AR31"/>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B3" activeCellId="0" pane="topLeft" sqref="B3"/>
    </sheetView>
  </sheetViews>
  <sheetFormatPr baseColWidth="8" defaultRowHeight="15.75" outlineLevelCol="0"/>
  <cols>
    <col customWidth="1" max="1" min="1" width="31.7244897959184"/>
    <col customWidth="1" max="2" min="2" width="19.4387755102041"/>
    <col customWidth="1" max="3" min="3" width="31.7244897959184"/>
    <col customWidth="1" max="4" min="4" width="35.6377551020408"/>
    <col customWidth="1" max="5" min="5" width="20.1122448979592"/>
    <col customWidth="1" max="6" min="6" width="33.4795918367347"/>
    <col customWidth="1" max="7" min="7" width="27.4030612244898"/>
    <col customWidth="1" max="8" min="8" width="13.6326530612245"/>
    <col customWidth="1" max="9" min="9" width="48.1938775510204"/>
    <col customWidth="1" max="10" min="10" width="12.4183673469388"/>
    <col customWidth="1" max="11" min="11" width="25.1071428571429"/>
    <col customWidth="1" max="12" min="12" width="31.7244897959184"/>
    <col customWidth="1" max="13" min="13" width="26.0510204081633"/>
    <col customWidth="1" max="14" min="14" width="36.4489795918367"/>
    <col customWidth="1" max="15" min="15" width="58.4489795918367"/>
    <col customWidth="1" max="16" min="16" width="49.9489795918367"/>
    <col customWidth="1" max="17" min="17" width="32.1275510204082"/>
    <col customWidth="1" max="18" min="18" width="32.265306122449"/>
    <col customWidth="1" max="19" min="19" width="45.2244897959184"/>
    <col customWidth="1" max="20" min="20" width="13.6326530612245"/>
    <col customWidth="1" max="21" min="21" width="31.8571428571429"/>
    <col customWidth="1" max="22" min="22" width="39.5510204081633"/>
    <col customWidth="1" max="23" min="23" width="10.8010204081633"/>
    <col customWidth="1" max="24" min="24" width="18.2244897959184"/>
    <col customWidth="1" max="25" min="25" width="13.6326530612245"/>
    <col customWidth="1" max="26" min="26" width="19.4387755102041"/>
    <col customWidth="1" max="27" min="27" width="13.6326530612245"/>
    <col customWidth="1" max="28" min="28" width="17.6836734693878"/>
    <col customWidth="1" max="29" min="29" width="26.4591836734694"/>
    <col customWidth="1" max="30" min="30" width="42.3877551020408"/>
    <col customWidth="1" max="31" min="31" width="13.6326530612245"/>
    <col customWidth="1" max="32" min="32" width="28.8877551020408"/>
    <col customWidth="1" max="33" min="33" width="13.6326530612245"/>
    <col customWidth="1" max="34" min="34" width="18.8979591836735"/>
    <col customWidth="1" max="35" min="35" width="48.7295918367347"/>
    <col customWidth="1" max="36" min="36" width="18.2244897959184"/>
    <col customWidth="1" max="37" min="37" width="13.6326530612245"/>
    <col customWidth="1" max="38" min="38" width="20.3826530612245"/>
    <col customWidth="1" max="39" min="39" width="19.9795918367347"/>
    <col customWidth="1" max="41" min="40" width="28.3469387755102"/>
    <col customWidth="1" max="42" min="42" width="30.6428571428571"/>
    <col customWidth="1" max="43" min="43" width="34.9642857142857"/>
    <col customWidth="1" hidden="1" max="44" min="44"/>
    <col customWidth="1" max="1025" min="45" width="13.6326530612245"/>
  </cols>
  <sheetData>
    <row customHeight="1" s="134" r="1" ht="15.75" spans="1:44">
      <c s="124" r="A1" t="n"/>
      <c s="125" r="B1" t="s">
        <v>1720</v>
      </c>
      <c s="124" r="C1" t="n"/>
      <c s="124" r="D1" t="n"/>
      <c s="124" r="E1" t="n"/>
      <c s="126" r="F1" t="s">
        <v>1721</v>
      </c>
      <c s="125" r="G1" t="s">
        <v>1720</v>
      </c>
      <c s="124" r="H1" t="s">
        <v>1722</v>
      </c>
      <c s="126" r="I1" t="s">
        <v>1721</v>
      </c>
      <c s="127" r="J1" t="s">
        <v>1723</v>
      </c>
      <c s="124" r="K1" t="n"/>
      <c s="124" r="L1" t="n"/>
      <c s="124" r="M1" t="n"/>
      <c s="126" r="N1" t="s">
        <v>1721</v>
      </c>
      <c s="126" r="O1" t="s">
        <v>1721</v>
      </c>
      <c s="126" r="P1" t="s">
        <v>1721</v>
      </c>
      <c s="124" r="Q1" t="n"/>
      <c s="124" r="R1" t="n"/>
      <c s="124" r="S1" t="n"/>
      <c s="127" r="T1" t="s">
        <v>1723</v>
      </c>
      <c s="127" r="U1" t="s">
        <v>1723</v>
      </c>
      <c s="126" r="V1" t="s">
        <v>1721</v>
      </c>
      <c s="126" r="W1" t="s">
        <v>1721</v>
      </c>
      <c s="126" r="X1" t="s">
        <v>1721</v>
      </c>
      <c s="126" r="Y1" t="s">
        <v>1721</v>
      </c>
      <c s="124" r="Z1" t="n"/>
      <c s="124" r="AA1" t="n"/>
      <c s="126" r="AB1" t="s">
        <v>1721</v>
      </c>
      <c s="126" r="AC1" t="s">
        <v>1721</v>
      </c>
      <c s="124" r="AD1" t="n"/>
      <c s="124" r="AE1" t="n"/>
      <c s="125" r="AF1" t="s">
        <v>1720</v>
      </c>
      <c s="125" r="AG1" t="s">
        <v>1720</v>
      </c>
      <c s="124" r="AH1" t="n"/>
      <c s="125" r="AI1" t="s">
        <v>1720</v>
      </c>
      <c s="128" r="AJ1" t="n"/>
      <c s="124" r="AK1" t="n"/>
      <c s="125" r="AL1" t="s">
        <v>1720</v>
      </c>
      <c s="125" r="AM1" t="s">
        <v>1720</v>
      </c>
      <c s="128" r="AN1" t="n"/>
      <c s="126" r="AO1" t="s">
        <v>1721</v>
      </c>
      <c s="126" r="AP1" t="s">
        <v>1721</v>
      </c>
      <c s="126" r="AQ1" t="s">
        <v>1721</v>
      </c>
      <c s="125" r="AR1" t="n"/>
    </row>
    <row customHeight="1" s="134" r="2" ht="15.75" spans="1:44">
      <c s="129" r="A2" t="s">
        <v>1724</v>
      </c>
      <c s="129" r="B2" t="s">
        <v>1468</v>
      </c>
      <c s="129" r="C2" t="s">
        <v>1725</v>
      </c>
      <c s="129" r="D2" t="s">
        <v>1470</v>
      </c>
      <c s="128" r="E2" t="s">
        <v>1471</v>
      </c>
      <c s="130" r="F2" t="s">
        <v>1726</v>
      </c>
      <c s="129" r="G2" t="s">
        <v>1727</v>
      </c>
      <c s="128" r="H2" t="s">
        <v>1728</v>
      </c>
      <c s="130" r="I2" t="s">
        <v>1729</v>
      </c>
      <c s="128" r="J2" t="s">
        <v>1730</v>
      </c>
      <c s="128" r="K2" t="s">
        <v>1731</v>
      </c>
      <c s="129" r="L2" t="s">
        <v>1473</v>
      </c>
      <c s="128" r="M2" t="s">
        <v>1474</v>
      </c>
      <c s="130" r="N2" t="s">
        <v>717</v>
      </c>
      <c s="130" r="O2" t="s">
        <v>1732</v>
      </c>
      <c s="130" r="P2" t="s">
        <v>718</v>
      </c>
      <c s="128" r="Q2" t="s">
        <v>1475</v>
      </c>
      <c s="128" r="R2" t="s">
        <v>1733</v>
      </c>
      <c s="128" r="S2" t="s">
        <v>1734</v>
      </c>
      <c s="128" r="T2" t="s">
        <v>1477</v>
      </c>
      <c s="128" r="U2" t="s">
        <v>1735</v>
      </c>
      <c s="130" r="V2" t="s">
        <v>720</v>
      </c>
      <c s="130" r="W2" t="s">
        <v>1736</v>
      </c>
      <c s="130" r="X2" t="s">
        <v>1737</v>
      </c>
      <c s="130" r="Y2" t="s">
        <v>722</v>
      </c>
      <c s="128" r="Z2" t="s">
        <v>1738</v>
      </c>
      <c s="128" r="AA2" t="s">
        <v>1478</v>
      </c>
      <c s="130" r="AB2" t="s">
        <v>1739</v>
      </c>
      <c s="130" r="AC2" t="s">
        <v>1740</v>
      </c>
      <c s="128" r="AD2" t="s">
        <v>1741</v>
      </c>
      <c s="129" r="AE2" t="s">
        <v>1742</v>
      </c>
      <c s="128" r="AF2" t="s">
        <v>1743</v>
      </c>
      <c s="128" r="AG2" t="s">
        <v>1744</v>
      </c>
      <c s="128" r="AH2" t="s">
        <v>35</v>
      </c>
      <c s="128" r="AI2" t="s">
        <v>1745</v>
      </c>
      <c s="128" r="AJ2" t="s">
        <v>1746</v>
      </c>
      <c s="128" r="AK2" t="s">
        <v>1747</v>
      </c>
      <c s="128" r="AL2" t="s">
        <v>1748</v>
      </c>
      <c s="128" r="AM2" t="s">
        <v>1749</v>
      </c>
      <c s="128" r="AN2" t="s">
        <v>1481</v>
      </c>
      <c s="130" r="AO2" t="s">
        <v>723</v>
      </c>
      <c s="130" r="AP2" t="s">
        <v>724</v>
      </c>
      <c s="130" r="AQ2" t="s">
        <v>725</v>
      </c>
      <c s="128" r="AR2" t="n"/>
    </row>
    <row customHeight="1" s="134" r="3" ht="19.45" spans="1:44">
      <c s="87" r="A3" t="s">
        <v>1750</v>
      </c>
      <c s="131" r="B3" t="n"/>
      <c s="87" r="C3" t="n"/>
      <c s="132" r="D3" t="n"/>
      <c s="87" r="E3" t="s">
        <v>1486</v>
      </c>
      <c s="87" r="F3">
        <f>Inicio!$B$6</f>
        <v/>
      </c>
      <c s="87" r="G3" t="n"/>
      <c s="87" r="H3" t="s">
        <v>1751</v>
      </c>
      <c s="87" r="I3">
        <f>INDIRECT("Hallazgos!E"&amp;AR3)</f>
        <v/>
      </c>
      <c s="87" r="J3" t="s">
        <v>1497</v>
      </c>
      <c s="87" r="K3" t="s">
        <v>1752</v>
      </c>
      <c s="87" r="L3" t="s">
        <v>1750</v>
      </c>
      <c s="87" r="M3" t="s">
        <v>1585</v>
      </c>
      <c s="87" r="N3" t="s">
        <v>729</v>
      </c>
      <c s="87" r="O3">
        <f>INDIRECT("Hallazgos!C"&amp;AR3)</f>
        <v/>
      </c>
      <c s="87" r="P3">
        <f>INDIRECT("Hallazgos!D"&amp;AR3)</f>
        <v/>
      </c>
      <c s="87" r="Q3" t="s">
        <v>1225</v>
      </c>
      <c s="87" r="R3" t="s">
        <v>1586</v>
      </c>
      <c s="87" r="S3" t="s">
        <v>738</v>
      </c>
      <c s="87" r="T3" t="s">
        <v>1266</v>
      </c>
      <c s="87" r="U3" t="s">
        <v>1616</v>
      </c>
      <c s="87" r="V3">
        <f>CONCATENATE(INDIRECT("Hallazgos!F"&amp;AR3)," ",INDIRECT("Hallazgos!G"&amp;AR3)) &amp; CHAR(10) &amp; CONCATENATE(INDIRECT("Hallazgos!F"&amp;AR3+1)," ",INDIRECT("Hallazgos!G"&amp;AR3+1)) &amp; CHAR(10) &amp; CONCATENATE(INDIRECT("Hallazgos!F"&amp;AR3+2)," ",INDIRECT("Hallazgos!G"&amp;AR3+2)) &amp; CHAR(10) &amp; CONCATENATE(INDIRECT("Hallazgos!F"&amp;AR3+3)," ",INDIRECT("Hallazgos!G"&amp;AR3+3)) &amp; CHAR(10) &amp; CONCATENATE(INDIRECT("Hallazgos!F"&amp;AR3+4)," ",INDIRECT("Hallazgos!G"&amp;AR3+4)) &amp; CHAR(10) &amp; CONCATENATE(INDIRECT("Hallazgos!F"&amp;AR3+5)," ",INDIRECT("Hallazgos!G"&amp;AR3+5)) &amp; CHAR(10) &amp; CONCATENATE(INDIRECT("Hallazgos!F"&amp;AR3+5)," ",INDIRECT("Hallazgos!G"&amp;AR3+6)) &amp; CHAR(10) &amp; CONCATENATE(INDIRECT("Hallazgos!F"&amp;AR3+7)," ",INDIRECT("Hallazgos!G"&amp;AR3+7)) &amp; CHAR(10) &amp; CONCATENATE(INDIRECT("Hallazgos!F"&amp;AR3+8)," ",INDIRECT("Hallazgos!G"&amp;AR3+8)) &amp; CHAR(10) &amp; INDIRECT("Hallazgos!F"&amp;AR3+9)</f>
        <v/>
      </c>
      <c s="133" r="W3">
        <f>INDIRECT("Hallazgos!H"&amp;AR3)</f>
        <v/>
      </c>
      <c s="87" r="X3">
        <f>IF(W3&lt;4,"Baja",IF(AND(W3&gt;=4,W3&lt;7),"Media","Alta"))</f>
        <v/>
      </c>
      <c s="87" r="Y3">
        <f>INDIRECT("Hallazgos!I"&amp;AR3)</f>
        <v/>
      </c>
      <c s="87" r="Z3" t="s">
        <v>1521</v>
      </c>
      <c s="87" r="AA3" t="s">
        <v>1753</v>
      </c>
      <c s="87" r="AB3">
        <f>IF(Z3="100% Vulnerado Anteriormente",100/100 *AA3,IF(Z3="75% Fácil de vulnerar",75/100*AA3,IF(Z3="50% Posible de vulnerar",50/100*AA3,IF(Z3="25% Difícil de vulnerar",25/100*AA3,0))))</f>
        <v/>
      </c>
      <c s="87" r="AC3">
        <f>IF(AB3&lt;2,"x &lt; 2 - Tolerable",IF(AND(AB3&gt;=2,AB3&lt;3),"2 &lt;=x &lt; 3 - Moderado","x&gt;= 3 - Critico"))</f>
        <v/>
      </c>
      <c s="87" r="AD3">
        <f>INDIRECT("Hallazgos!O"&amp;AR3)</f>
        <v/>
      </c>
      <c s="87" r="AE3" t="n"/>
      <c s="87" r="AF3" t="n"/>
      <c s="87" r="AG3" t="n"/>
      <c s="87" r="AH3" t="s">
        <v>1493</v>
      </c>
      <c s="87" r="AI3" t="n"/>
      <c s="87" r="AJ3" t="n"/>
      <c s="87" r="AK3" t="s">
        <v>1754</v>
      </c>
      <c s="87" r="AL3" t="n"/>
      <c s="87" r="AM3" t="n"/>
      <c s="87" r="AN3" t="n"/>
      <c s="87" r="AO3">
        <f>INDIRECT("Hallazgos!J"&amp;AR3)</f>
        <v/>
      </c>
      <c s="87" r="AP3">
        <f>INDIRECT("Hallazgos!K"&amp;AR3)</f>
        <v/>
      </c>
      <c s="87" r="AQ3">
        <f>INDIRECT("Hallazgos!L"&amp;AR3)</f>
        <v/>
      </c>
      <c s="83" r="AR3" t="n">
        <v>3</v>
      </c>
    </row>
    <row customHeight="1" s="134" r="4" ht="15.75" spans="1:44">
      <c s="87" r="A4">
        <f>A3</f>
        <v/>
      </c>
      <c s="87" r="B4">
        <f>B3</f>
        <v/>
      </c>
      <c s="87" r="C4">
        <f>C3</f>
        <v/>
      </c>
      <c s="87" r="D4">
        <f>D3</f>
        <v/>
      </c>
      <c s="87" r="E4" t="s">
        <v>1486</v>
      </c>
      <c s="87" r="F4">
        <f>Inicio!$B$6</f>
        <v/>
      </c>
      <c s="87" r="G4">
        <f>G3</f>
        <v/>
      </c>
      <c s="87" r="H4" t="s">
        <v>1751</v>
      </c>
      <c s="87" r="I4">
        <f>INDIRECT("Hallazgos!E"&amp;AR4)</f>
        <v/>
      </c>
      <c s="87" r="J4" t="s">
        <v>1497</v>
      </c>
      <c s="87" r="K4" t="s">
        <v>1752</v>
      </c>
      <c s="87" r="L4">
        <f>L3</f>
        <v/>
      </c>
      <c s="87" r="M4" t="s">
        <v>1585</v>
      </c>
      <c s="87" r="N4" t="s">
        <v>751</v>
      </c>
      <c s="87" r="O4">
        <f>INDIRECT("Hallazgos!C"&amp;AR4)</f>
        <v/>
      </c>
      <c s="87" r="P4">
        <f>INDIRECT("Hallazgos!D"&amp;AR4)</f>
        <v/>
      </c>
      <c s="87" r="Q4" t="s">
        <v>1225</v>
      </c>
      <c s="87" r="R4" t="s">
        <v>1586</v>
      </c>
      <c s="87" r="S4" t="s">
        <v>741</v>
      </c>
      <c s="87" r="T4" t="s">
        <v>1266</v>
      </c>
      <c s="87" r="U4" t="s">
        <v>1616</v>
      </c>
      <c s="87" r="V4">
        <f>CONCATENATE(INDIRECT("Hallazgos!F"&amp;AR4)," ",INDIRECT("Hallazgos!G"&amp;AR4)) &amp; CHAR(10) &amp; CONCATENATE(INDIRECT("Hallazgos!F"&amp;AR4+1)," ",INDIRECT("Hallazgos!G"&amp;AR4+1)) &amp; CHAR(10) &amp; CONCATENATE(INDIRECT("Hallazgos!F"&amp;AR4+2)," ",INDIRECT("Hallazgos!G"&amp;AR4+2)) &amp; CHAR(10) &amp; CONCATENATE(INDIRECT("Hallazgos!F"&amp;AR4+3)," ",INDIRECT("Hallazgos!G"&amp;AR4+3)) &amp; CHAR(10) &amp; CONCATENATE(INDIRECT("Hallazgos!F"&amp;AR4+4)," ",INDIRECT("Hallazgos!G"&amp;AR4+4)) &amp; CHAR(10) &amp; CONCATENATE(INDIRECT("Hallazgos!F"&amp;AR4+5)," ",INDIRECT("Hallazgos!G"&amp;AR4+5)) &amp; CHAR(10) &amp; CONCATENATE(INDIRECT("Hallazgos!F"&amp;AR4+5)," ",INDIRECT("Hallazgos!G"&amp;AR4+6)) &amp; CHAR(10) &amp; CONCATENATE(INDIRECT("Hallazgos!F"&amp;AR4+7)," ",INDIRECT("Hallazgos!G"&amp;AR4+7)) &amp; CHAR(10) &amp; CONCATENATE(INDIRECT("Hallazgos!F"&amp;AR4+8)," ",INDIRECT("Hallazgos!G"&amp;AR4+8)) &amp; CHAR(10) &amp; INDIRECT("Hallazgos!F"&amp;AR4+9)</f>
        <v/>
      </c>
      <c s="133" r="W4">
        <f>INDIRECT("Hallazgos!H"&amp;AR4)</f>
        <v/>
      </c>
      <c s="87" r="X4">
        <f>IF(W4&lt;4,"Baja",IF(AND(W4&gt;=4,W4&lt;7),"Media","Alta"))</f>
        <v/>
      </c>
      <c s="87" r="Y4">
        <f>INDIRECT("Hallazgos!I"&amp;AR4)</f>
        <v/>
      </c>
      <c s="87" r="Z4" t="s">
        <v>1506</v>
      </c>
      <c s="87" r="AA4" t="s">
        <v>1753</v>
      </c>
      <c s="87" r="AB4">
        <f>IF(Z4="100% Vulnerado Anteriormente",100/100 *AA4,IF(Z4="75% Fácil de vulnerar",75/100*AA4,IF(Z4="50% Posible de vulnerar",50/100*AA4,IF(Z4="25% Difícil de vulnerar",25/100*AA4,0))))</f>
        <v/>
      </c>
      <c s="87" r="AC4">
        <f>IF(AB4&lt;2,"x &lt; 2 - Tolerable",IF(AND(AB4&gt;=2,AB4&lt;3),"2 &lt;=x &lt; 3 - Moderado","x&gt;= 3 - Critico"))</f>
        <v/>
      </c>
      <c s="87" r="AD4">
        <f>INDIRECT("Hallazgos!O"&amp;AR4)</f>
        <v/>
      </c>
      <c s="87" r="AE4" t="n"/>
      <c s="87" r="AF4" t="n"/>
      <c s="87" r="AG4" t="n"/>
      <c s="87" r="AH4" t="s">
        <v>1493</v>
      </c>
      <c s="87" r="AI4" t="n"/>
      <c s="87" r="AJ4">
        <f>AJ3</f>
        <v/>
      </c>
      <c s="87" r="AK4">
        <f>AK3</f>
        <v/>
      </c>
      <c s="87" r="AL4" t="n"/>
      <c s="87" r="AM4" t="n"/>
      <c s="87" r="AN4" t="n"/>
      <c s="87" r="AO4">
        <f>INDIRECT("Hallazgos!J"&amp;AR4)</f>
        <v/>
      </c>
      <c s="87" r="AP4">
        <f>INDIRECT("Hallazgos!K"&amp;AR4)</f>
        <v/>
      </c>
      <c s="87" r="AQ4">
        <f>INDIRECT("Hallazgos!L"&amp;AR4)</f>
        <v/>
      </c>
      <c s="83" r="AR4">
        <f>AR3+10</f>
        <v/>
      </c>
    </row>
    <row customHeight="1" s="134" r="5" ht="15.75" spans="1:44">
      <c s="87" r="A5">
        <f>A4</f>
        <v/>
      </c>
      <c s="87" r="B5">
        <f>B4</f>
        <v/>
      </c>
      <c s="87" r="C5">
        <f>C4</f>
        <v/>
      </c>
      <c s="87" r="D5">
        <f>D4</f>
        <v/>
      </c>
      <c s="87" r="E5" t="s">
        <v>1486</v>
      </c>
      <c s="87" r="F5">
        <f>Inicio!$B$6</f>
        <v/>
      </c>
      <c s="87" r="G5">
        <f>G4</f>
        <v/>
      </c>
      <c s="87" r="H5" t="s">
        <v>1755</v>
      </c>
      <c s="87" r="I5">
        <f>INDIRECT("Hallazgos!E"&amp;AR5)</f>
        <v/>
      </c>
      <c s="87" r="J5" t="s">
        <v>1497</v>
      </c>
      <c s="87" r="K5" t="s">
        <v>1752</v>
      </c>
      <c s="87" r="L5">
        <f>L4</f>
        <v/>
      </c>
      <c s="87" r="M5" t="s">
        <v>1585</v>
      </c>
      <c s="87" r="N5" t="s">
        <v>761</v>
      </c>
      <c s="87" r="O5">
        <f>INDIRECT("Hallazgos!C"&amp;AR5)</f>
        <v/>
      </c>
      <c s="87" r="P5">
        <f>INDIRECT("Hallazgos!D"&amp;AR5)</f>
        <v/>
      </c>
      <c s="87" r="Q5" t="s">
        <v>1225</v>
      </c>
      <c s="87" r="R5" t="s">
        <v>1756</v>
      </c>
      <c s="87" r="S5" t="s">
        <v>744</v>
      </c>
      <c s="87" r="T5" t="s">
        <v>1266</v>
      </c>
      <c s="87" r="U5" t="s">
        <v>1616</v>
      </c>
      <c s="87" r="V5">
        <f>CONCATENATE(INDIRECT("Hallazgos!F"&amp;AR5)," ",INDIRECT("Hallazgos!G"&amp;AR5)) &amp; CHAR(10) &amp; CONCATENATE(INDIRECT("Hallazgos!F"&amp;AR5+1)," ",INDIRECT("Hallazgos!G"&amp;AR5+1)) &amp; CHAR(10) &amp; CONCATENATE(INDIRECT("Hallazgos!F"&amp;AR5+2)," ",INDIRECT("Hallazgos!G"&amp;AR5+2)) &amp; CHAR(10) &amp; CONCATENATE(INDIRECT("Hallazgos!F"&amp;AR5+3)," ",INDIRECT("Hallazgos!G"&amp;AR5+3)) &amp; CHAR(10) &amp; CONCATENATE(INDIRECT("Hallazgos!F"&amp;AR5+4)," ",INDIRECT("Hallazgos!G"&amp;AR5+4)) &amp; CHAR(10) &amp; CONCATENATE(INDIRECT("Hallazgos!F"&amp;AR5+5)," ",INDIRECT("Hallazgos!G"&amp;AR5+5)) &amp; CHAR(10) &amp; CONCATENATE(INDIRECT("Hallazgos!F"&amp;AR5+5)," ",INDIRECT("Hallazgos!G"&amp;AR5+6)) &amp; CHAR(10) &amp; CONCATENATE(INDIRECT("Hallazgos!F"&amp;AR5+7)," ",INDIRECT("Hallazgos!G"&amp;AR5+7)) &amp; CHAR(10) &amp; CONCATENATE(INDIRECT("Hallazgos!F"&amp;AR5+8)," ",INDIRECT("Hallazgos!G"&amp;AR5+8)) &amp; CHAR(10) &amp; INDIRECT("Hallazgos!F"&amp;AR5+9)</f>
        <v/>
      </c>
      <c s="133" r="W5">
        <f>INDIRECT("Hallazgos!H"&amp;AR5)</f>
        <v/>
      </c>
      <c s="87" r="X5">
        <f>IF(W5&lt;4,"Baja",IF(AND(W5&gt;=4,W5&lt;7),"Media","Alta"))</f>
        <v/>
      </c>
      <c s="87" r="Y5">
        <f>INDIRECT("Hallazgos!I"&amp;AR5)</f>
        <v/>
      </c>
      <c s="87" r="Z5" t="s">
        <v>1521</v>
      </c>
      <c s="87" r="AA5" t="s">
        <v>1753</v>
      </c>
      <c s="87" r="AB5">
        <f>IF(Z5="100% Vulnerado Anteriormente",100/100 *AA5,IF(Z5="75% Fácil de vulnerar",75/100*AA5,IF(Z5="50% Posible de vulnerar",50/100*AA5,IF(Z5="25% Difícil de vulnerar",25/100*AA5,0))))</f>
        <v/>
      </c>
      <c s="87" r="AC5">
        <f>IF(AB5&lt;2,"x &lt; 2 - Tolerable",IF(AND(AB5&gt;=2,AB5&lt;3),"2 &lt;=x &lt; 3 - Moderado","x&gt;= 3 - Critico"))</f>
        <v/>
      </c>
      <c s="87" r="AD5">
        <f>INDIRECT("Hallazgos!O"&amp;AR5)</f>
        <v/>
      </c>
      <c s="87" r="AE5" t="n"/>
      <c s="87" r="AF5" t="n"/>
      <c s="87" r="AG5" t="n"/>
      <c s="87" r="AH5" t="s">
        <v>1493</v>
      </c>
      <c s="87" r="AI5" t="n"/>
      <c s="87" r="AJ5">
        <f>AJ4</f>
        <v/>
      </c>
      <c s="87" r="AK5">
        <f>AK4</f>
        <v/>
      </c>
      <c s="87" r="AL5" t="n"/>
      <c s="87" r="AM5" t="n"/>
      <c s="87" r="AN5" t="n"/>
      <c s="87" r="AO5">
        <f>INDIRECT("Hallazgos!J"&amp;AR5)</f>
        <v/>
      </c>
      <c s="87" r="AP5">
        <f>INDIRECT("Hallazgos!K"&amp;AR5)</f>
        <v/>
      </c>
      <c s="87" r="AQ5">
        <f>INDIRECT("Hallazgos!L"&amp;AR5)</f>
        <v/>
      </c>
      <c s="83" r="AR5">
        <f>AR4+10</f>
        <v/>
      </c>
    </row>
    <row customHeight="1" s="134" r="6" ht="15.75" spans="1:44">
      <c s="87" r="A6">
        <f>A5</f>
        <v/>
      </c>
      <c s="87" r="B6">
        <f>B5</f>
        <v/>
      </c>
      <c s="87" r="C6">
        <f>C5</f>
        <v/>
      </c>
      <c s="87" r="D6">
        <f>D5</f>
        <v/>
      </c>
      <c s="87" r="E6" t="n"/>
      <c s="87" r="F6">
        <f>Inicio!$B$6</f>
        <v/>
      </c>
      <c s="87" r="G6">
        <f>G5</f>
        <v/>
      </c>
      <c s="87" r="H6" t="n"/>
      <c s="87" r="I6">
        <f>INDIRECT("Hallazgos!E"&amp;AR6)</f>
        <v/>
      </c>
      <c s="87" r="J6">
        <f>J5</f>
        <v/>
      </c>
      <c s="87" r="K6">
        <f>Inicio!$B$9</f>
        <v/>
      </c>
      <c s="87" r="L6">
        <f>L5</f>
        <v/>
      </c>
      <c s="87" r="M6" t="n"/>
      <c s="87" r="N6">
        <f>INDIRECT("Hallazgos!B"&amp;AR6)</f>
        <v/>
      </c>
      <c s="87" r="O6">
        <f>INDIRECT("Hallazgos!C"&amp;AR6)</f>
        <v/>
      </c>
      <c s="87" r="P6">
        <f>INDIRECT("Hallazgos!D"&amp;AR6)</f>
        <v/>
      </c>
      <c s="87" r="Q6" t="n"/>
      <c s="87" r="R6" t="n"/>
      <c s="87" r="S6">
        <f>INDIRECT("Hallazgos!N"&amp;AR6)</f>
        <v/>
      </c>
      <c s="87" r="T6" t="n"/>
      <c s="87" r="U6">
        <f>U5</f>
        <v/>
      </c>
      <c s="87" r="V6">
        <f>CONCATENATE(INDIRECT("Hallazgos!F"&amp;AR6)," ",INDIRECT("Hallazgos!G"&amp;AR6)) &amp; CHAR(10) &amp; CONCATENATE(INDIRECT("Hallazgos!F"&amp;AR6+1)," ",INDIRECT("Hallazgos!G"&amp;AR6+1)) &amp; CHAR(10) &amp; CONCATENATE(INDIRECT("Hallazgos!F"&amp;AR6+2)," ",INDIRECT("Hallazgos!G"&amp;AR6+2)) &amp; CHAR(10) &amp; CONCATENATE(INDIRECT("Hallazgos!F"&amp;AR6+3)," ",INDIRECT("Hallazgos!G"&amp;AR6+3)) &amp; CHAR(10) &amp; CONCATENATE(INDIRECT("Hallazgos!F"&amp;AR6+4)," ",INDIRECT("Hallazgos!G"&amp;AR6+4)) &amp; CHAR(10) &amp; CONCATENATE(INDIRECT("Hallazgos!F"&amp;AR6+5)," ",INDIRECT("Hallazgos!G"&amp;AR6+5)) &amp; CHAR(10) &amp; CONCATENATE(INDIRECT("Hallazgos!F"&amp;AR6+5)," ",INDIRECT("Hallazgos!G"&amp;AR6+6)) &amp; CHAR(10) &amp; CONCATENATE(INDIRECT("Hallazgos!F"&amp;AR6+7)," ",INDIRECT("Hallazgos!G"&amp;AR6+7)) &amp; CHAR(10) &amp; CONCATENATE(INDIRECT("Hallazgos!F"&amp;AR6+8)," ",INDIRECT("Hallazgos!G"&amp;AR6+8)) &amp; CHAR(10) &amp; INDIRECT("Hallazgos!F"&amp;AR6+9)</f>
        <v/>
      </c>
      <c s="133" r="W6">
        <f>INDIRECT("Hallazgos!H"&amp;AR6)</f>
        <v/>
      </c>
      <c s="87" r="X6">
        <f>IF(W6&lt;4,"Baja",IF(AND(W6&gt;=4,W6&lt;7),"Media","Alta"))</f>
        <v/>
      </c>
      <c s="87" r="Y6">
        <f>INDIRECT("Hallazgos!I"&amp;AR6)</f>
        <v/>
      </c>
      <c s="87" r="Z6" t="n"/>
      <c s="87" r="AA6" t="n"/>
      <c s="87" r="AB6">
        <f>IF(Z6="100% Vulnerado Anteriormente",100/100 *AA6,IF(Z6="75% Fácil de vulnerar",75/100*AA6,IF(Z6="50% Posible de vulnerar",50/100*AA6,IF(Z6="25% Difícil de vulnerar",25/100*AA6,0))))</f>
        <v/>
      </c>
      <c s="87" r="AC6">
        <f>IF(AB6&lt;2,"x &lt; 2 - Tolerable",IF(AND(AB6&gt;=2,AB6&lt;3),"2 &lt;=x &lt; 3 - Moderado","x&gt;= 3 - Critico"))</f>
        <v/>
      </c>
      <c s="87" r="AD6">
        <f>INDIRECT("Hallazgos!O"&amp;AR6)</f>
        <v/>
      </c>
      <c s="87" r="AE6" t="n"/>
      <c s="87" r="AF6" t="n"/>
      <c s="87" r="AG6" t="n"/>
      <c s="87" r="AH6" t="s">
        <v>1493</v>
      </c>
      <c s="87" r="AI6" t="n"/>
      <c s="87" r="AJ6">
        <f>AJ5</f>
        <v/>
      </c>
      <c s="87" r="AK6">
        <f>AK5</f>
        <v/>
      </c>
      <c s="87" r="AL6" t="n"/>
      <c s="87" r="AM6" t="n"/>
      <c s="87" r="AN6" t="n"/>
      <c s="87" r="AO6">
        <f>INDIRECT("Hallazgos!J"&amp;AR6)</f>
        <v/>
      </c>
      <c s="87" r="AP6">
        <f>INDIRECT("Hallazgos!K"&amp;AR6)</f>
        <v/>
      </c>
      <c s="87" r="AQ6">
        <f>INDIRECT("Hallazgos!L"&amp;AR6)</f>
        <v/>
      </c>
      <c s="83" r="AR6">
        <f>AR5+10</f>
        <v/>
      </c>
    </row>
    <row customHeight="1" s="134" r="7" ht="15.75" spans="1:44">
      <c s="87" r="A7">
        <f>A6</f>
        <v/>
      </c>
      <c s="87" r="B7">
        <f>B6</f>
        <v/>
      </c>
      <c s="87" r="C7">
        <f>C6</f>
        <v/>
      </c>
      <c s="87" r="D7">
        <f>D6</f>
        <v/>
      </c>
      <c s="87" r="E7" t="n"/>
      <c s="87" r="F7">
        <f>Inicio!$B$6</f>
        <v/>
      </c>
      <c s="87" r="G7">
        <f>G6</f>
        <v/>
      </c>
      <c s="87" r="H7" t="n"/>
      <c s="87" r="I7">
        <f>INDIRECT("Hallazgos!E"&amp;AR7)</f>
        <v/>
      </c>
      <c s="87" r="J7">
        <f>J6</f>
        <v/>
      </c>
      <c s="87" r="K7">
        <f>Inicio!$B$9</f>
        <v/>
      </c>
      <c s="87" r="L7">
        <f>L6</f>
        <v/>
      </c>
      <c s="87" r="M7" t="n"/>
      <c s="87" r="N7">
        <f>INDIRECT("Hallazgos!B"&amp;AR7)</f>
        <v/>
      </c>
      <c s="87" r="O7">
        <f>INDIRECT("Hallazgos!C"&amp;AR7)</f>
        <v/>
      </c>
      <c s="87" r="P7">
        <f>INDIRECT("Hallazgos!D"&amp;AR7)</f>
        <v/>
      </c>
      <c s="87" r="Q7" t="n"/>
      <c s="87" r="R7" t="n"/>
      <c s="87" r="S7">
        <f>INDIRECT("Hallazgos!N"&amp;AR7)</f>
        <v/>
      </c>
      <c s="87" r="T7" t="n"/>
      <c s="87" r="U7">
        <f>U6</f>
        <v/>
      </c>
      <c s="87" r="V7">
        <f>CONCATENATE(INDIRECT("Hallazgos!F"&amp;AR7)," ",INDIRECT("Hallazgos!G"&amp;AR7)) &amp; CHAR(10) &amp; CONCATENATE(INDIRECT("Hallazgos!F"&amp;AR7+1)," ",INDIRECT("Hallazgos!G"&amp;AR7+1)) &amp; CHAR(10) &amp; CONCATENATE(INDIRECT("Hallazgos!F"&amp;AR7+2)," ",INDIRECT("Hallazgos!G"&amp;AR7+2)) &amp; CHAR(10) &amp; CONCATENATE(INDIRECT("Hallazgos!F"&amp;AR7+3)," ",INDIRECT("Hallazgos!G"&amp;AR7+3)) &amp; CHAR(10) &amp; CONCATENATE(INDIRECT("Hallazgos!F"&amp;AR7+4)," ",INDIRECT("Hallazgos!G"&amp;AR7+4)) &amp; CHAR(10) &amp; CONCATENATE(INDIRECT("Hallazgos!F"&amp;AR7+5)," ",INDIRECT("Hallazgos!G"&amp;AR7+5)) &amp; CHAR(10) &amp; CONCATENATE(INDIRECT("Hallazgos!F"&amp;AR7+5)," ",INDIRECT("Hallazgos!G"&amp;AR7+6)) &amp; CHAR(10) &amp; CONCATENATE(INDIRECT("Hallazgos!F"&amp;AR7+7)," ",INDIRECT("Hallazgos!G"&amp;AR7+7)) &amp; CHAR(10) &amp; CONCATENATE(INDIRECT("Hallazgos!F"&amp;AR7+8)," ",INDIRECT("Hallazgos!G"&amp;AR7+8)) &amp; CHAR(10) &amp; INDIRECT("Hallazgos!F"&amp;AR7+9)</f>
        <v/>
      </c>
      <c s="133" r="W7">
        <f>INDIRECT("Hallazgos!H"&amp;AR7)</f>
        <v/>
      </c>
      <c s="87" r="X7">
        <f>IF(W7&lt;4,"Baja",IF(AND(W7&gt;=4,W7&lt;7),"Media","Alta"))</f>
        <v/>
      </c>
      <c s="87" r="Y7">
        <f>INDIRECT("Hallazgos!I"&amp;AR7)</f>
        <v/>
      </c>
      <c s="87" r="Z7" t="n"/>
      <c s="87" r="AA7" t="n"/>
      <c s="87" r="AB7">
        <f>IF(Z7="100% Vulnerado Anteriormente",100/100 *AA7,IF(Z7="75% Fácil de vulnerar",75/100*AA7,IF(Z7="50% Posible de vulnerar",50/100*AA7,IF(Z7="25% Difícil de vulnerar",25/100*AA7,0))))</f>
        <v/>
      </c>
      <c s="87" r="AC7">
        <f>IF(AB7&lt;2,"x &lt; 2 - Tolerable",IF(AND(AB7&gt;=2,AB7&lt;3),"2 &lt;=x &lt; 3 - Moderado","x&gt;= 3 - Critico"))</f>
        <v/>
      </c>
      <c s="87" r="AD7">
        <f>INDIRECT("Hallazgos!O"&amp;AR7)</f>
        <v/>
      </c>
      <c s="87" r="AE7" t="n"/>
      <c s="87" r="AF7" t="n"/>
      <c s="87" r="AG7" t="n"/>
      <c s="87" r="AH7" t="s">
        <v>1493</v>
      </c>
      <c s="87" r="AI7" t="n"/>
      <c s="87" r="AJ7">
        <f>AJ6</f>
        <v/>
      </c>
      <c s="87" r="AK7">
        <f>AK6</f>
        <v/>
      </c>
      <c s="87" r="AL7" t="n"/>
      <c s="87" r="AM7" t="n"/>
      <c s="87" r="AN7" t="n"/>
      <c s="87" r="AO7">
        <f>INDIRECT("Hallazgos!J"&amp;AR7)</f>
        <v/>
      </c>
      <c s="87" r="AP7">
        <f>INDIRECT("Hallazgos!K"&amp;AR7)</f>
        <v/>
      </c>
      <c s="87" r="AQ7">
        <f>INDIRECT("Hallazgos!L"&amp;AR7)</f>
        <v/>
      </c>
      <c s="83" r="AR7">
        <f>AR6+10</f>
        <v/>
      </c>
    </row>
    <row customHeight="1" s="134" r="8" ht="15.75" spans="1:44">
      <c s="87" r="A8">
        <f>A7</f>
        <v/>
      </c>
      <c s="87" r="B8">
        <f>B7</f>
        <v/>
      </c>
      <c s="87" r="C8">
        <f>C7</f>
        <v/>
      </c>
      <c s="87" r="D8">
        <f>D7</f>
        <v/>
      </c>
      <c s="87" r="E8" t="n"/>
      <c s="87" r="F8">
        <f>Inicio!$B$6</f>
        <v/>
      </c>
      <c s="87" r="G8">
        <f>G7</f>
        <v/>
      </c>
      <c s="87" r="H8" t="n"/>
      <c s="87" r="I8">
        <f>INDIRECT("Hallazgos!E"&amp;AR8)</f>
        <v/>
      </c>
      <c s="87" r="J8">
        <f>J7</f>
        <v/>
      </c>
      <c s="87" r="K8">
        <f>Inicio!$B$9</f>
        <v/>
      </c>
      <c s="87" r="L8">
        <f>L7</f>
        <v/>
      </c>
      <c s="87" r="M8" t="n"/>
      <c s="87" r="N8">
        <f>INDIRECT("Hallazgos!B"&amp;AR8)</f>
        <v/>
      </c>
      <c s="87" r="O8">
        <f>INDIRECT("Hallazgos!C"&amp;AR8)</f>
        <v/>
      </c>
      <c s="87" r="P8">
        <f>INDIRECT("Hallazgos!D"&amp;AR8)</f>
        <v/>
      </c>
      <c s="87" r="Q8" t="n"/>
      <c s="87" r="R8" t="n"/>
      <c s="87" r="S8">
        <f>INDIRECT("Hallazgos!N"&amp;AR8)</f>
        <v/>
      </c>
      <c s="87" r="T8" t="n"/>
      <c s="87" r="U8">
        <f>U7</f>
        <v/>
      </c>
      <c s="87" r="V8">
        <f>CONCATENATE(INDIRECT("Hallazgos!F"&amp;AR8)," ",INDIRECT("Hallazgos!G"&amp;AR8)) &amp; CHAR(10) &amp; CONCATENATE(INDIRECT("Hallazgos!F"&amp;AR8+1)," ",INDIRECT("Hallazgos!G"&amp;AR8+1)) &amp; CHAR(10) &amp; CONCATENATE(INDIRECT("Hallazgos!F"&amp;AR8+2)," ",INDIRECT("Hallazgos!G"&amp;AR8+2)) &amp; CHAR(10) &amp; CONCATENATE(INDIRECT("Hallazgos!F"&amp;AR8+3)," ",INDIRECT("Hallazgos!G"&amp;AR8+3)) &amp; CHAR(10) &amp; CONCATENATE(INDIRECT("Hallazgos!F"&amp;AR8+4)," ",INDIRECT("Hallazgos!G"&amp;AR8+4)) &amp; CHAR(10) &amp; CONCATENATE(INDIRECT("Hallazgos!F"&amp;AR8+5)," ",INDIRECT("Hallazgos!G"&amp;AR8+5)) &amp; CHAR(10) &amp; CONCATENATE(INDIRECT("Hallazgos!F"&amp;AR8+5)," ",INDIRECT("Hallazgos!G"&amp;AR8+6)) &amp; CHAR(10) &amp; CONCATENATE(INDIRECT("Hallazgos!F"&amp;AR8+7)," ",INDIRECT("Hallazgos!G"&amp;AR8+7)) &amp; CHAR(10) &amp; CONCATENATE(INDIRECT("Hallazgos!F"&amp;AR8+8)," ",INDIRECT("Hallazgos!G"&amp;AR8+8)) &amp; CHAR(10) &amp; INDIRECT("Hallazgos!F"&amp;AR8+9)</f>
        <v/>
      </c>
      <c s="133" r="W8">
        <f>INDIRECT("Hallazgos!H"&amp;AR8)</f>
        <v/>
      </c>
      <c s="87" r="X8">
        <f>IF(W8&lt;4,"Baja",IF(AND(W8&gt;=4,W8&lt;7),"Media","Alta"))</f>
        <v/>
      </c>
      <c s="87" r="Y8">
        <f>INDIRECT("Hallazgos!I"&amp;AR8)</f>
        <v/>
      </c>
      <c s="87" r="Z8" t="n"/>
      <c s="87" r="AA8" t="n"/>
      <c s="87" r="AB8">
        <f>IF(Z8="100% Vulnerado Anteriormente",100/100 *AA8,IF(Z8="75% Fácil de vulnerar",75/100*AA8,IF(Z8="50% Posible de vulnerar",50/100*AA8,IF(Z8="25% Difícil de vulnerar",25/100*AA8,0))))</f>
        <v/>
      </c>
      <c s="87" r="AC8">
        <f>IF(AB8&lt;2,"x &lt; 2 - Tolerable",IF(AND(AB8&gt;=2,AB8&lt;3),"2 &lt;=x &lt; 3 - Moderado","x&gt;= 3 - Critico"))</f>
        <v/>
      </c>
      <c s="87" r="AD8">
        <f>INDIRECT("Hallazgos!O"&amp;AR8)</f>
        <v/>
      </c>
      <c s="87" r="AE8" t="n"/>
      <c s="87" r="AF8" t="n"/>
      <c s="87" r="AG8" t="n"/>
      <c s="87" r="AH8" t="s">
        <v>1493</v>
      </c>
      <c s="87" r="AI8" t="n"/>
      <c s="87" r="AJ8">
        <f>AJ7</f>
        <v/>
      </c>
      <c s="87" r="AK8">
        <f>AK7</f>
        <v/>
      </c>
      <c s="87" r="AL8" t="n"/>
      <c s="87" r="AM8" t="n"/>
      <c s="87" r="AN8" t="n"/>
      <c s="87" r="AO8">
        <f>INDIRECT("Hallazgos!J"&amp;AR8)</f>
        <v/>
      </c>
      <c s="87" r="AP8">
        <f>INDIRECT("Hallazgos!K"&amp;AR8)</f>
        <v/>
      </c>
      <c s="87" r="AQ8">
        <f>INDIRECT("Hallazgos!L"&amp;AR8)</f>
        <v/>
      </c>
      <c s="83" r="AR8">
        <f>AR7+10</f>
        <v/>
      </c>
    </row>
    <row customHeight="1" s="134" r="9" ht="15.75" spans="1:44">
      <c s="87" r="A9">
        <f>A8</f>
        <v/>
      </c>
      <c s="87" r="B9">
        <f>B8</f>
        <v/>
      </c>
      <c s="87" r="C9">
        <f>C8</f>
        <v/>
      </c>
      <c s="87" r="D9">
        <f>D8</f>
        <v/>
      </c>
      <c s="87" r="E9" t="n"/>
      <c s="87" r="F9">
        <f>Inicio!$B$6</f>
        <v/>
      </c>
      <c s="87" r="G9">
        <f>G8</f>
        <v/>
      </c>
      <c s="87" r="H9" t="n"/>
      <c s="87" r="I9">
        <f>INDIRECT("Hallazgos!E"&amp;AR9)</f>
        <v/>
      </c>
      <c s="87" r="J9">
        <f>J8</f>
        <v/>
      </c>
      <c s="87" r="K9">
        <f>Inicio!$B$9</f>
        <v/>
      </c>
      <c s="87" r="L9">
        <f>L8</f>
        <v/>
      </c>
      <c s="87" r="M9" t="n"/>
      <c s="87" r="N9">
        <f>INDIRECT("Hallazgos!B"&amp;AR9)</f>
        <v/>
      </c>
      <c s="87" r="O9">
        <f>INDIRECT("Hallazgos!C"&amp;AR9)</f>
        <v/>
      </c>
      <c s="87" r="P9">
        <f>INDIRECT("Hallazgos!D"&amp;AR9)</f>
        <v/>
      </c>
      <c s="87" r="Q9" t="n"/>
      <c s="87" r="R9" t="n"/>
      <c s="87" r="S9">
        <f>INDIRECT("Hallazgos!N"&amp;AR9)</f>
        <v/>
      </c>
      <c s="87" r="T9" t="n"/>
      <c s="87" r="U9">
        <f>U8</f>
        <v/>
      </c>
      <c s="87" r="V9">
        <f>CONCATENATE(INDIRECT("Hallazgos!F"&amp;AR9)," ",INDIRECT("Hallazgos!G"&amp;AR9)) &amp; CHAR(10) &amp; CONCATENATE(INDIRECT("Hallazgos!F"&amp;AR9+1)," ",INDIRECT("Hallazgos!G"&amp;AR9+1)) &amp; CHAR(10) &amp; CONCATENATE(INDIRECT("Hallazgos!F"&amp;AR9+2)," ",INDIRECT("Hallazgos!G"&amp;AR9+2)) &amp; CHAR(10) &amp; CONCATENATE(INDIRECT("Hallazgos!F"&amp;AR9+3)," ",INDIRECT("Hallazgos!G"&amp;AR9+3)) &amp; CHAR(10) &amp; CONCATENATE(INDIRECT("Hallazgos!F"&amp;AR9+4)," ",INDIRECT("Hallazgos!G"&amp;AR9+4)) &amp; CHAR(10) &amp; CONCATENATE(INDIRECT("Hallazgos!F"&amp;AR9+5)," ",INDIRECT("Hallazgos!G"&amp;AR9+5)) &amp; CHAR(10) &amp; CONCATENATE(INDIRECT("Hallazgos!F"&amp;AR9+5)," ",INDIRECT("Hallazgos!G"&amp;AR9+6)) &amp; CHAR(10) &amp; CONCATENATE(INDIRECT("Hallazgos!F"&amp;AR9+7)," ",INDIRECT("Hallazgos!G"&amp;AR9+7)) &amp; CHAR(10) &amp; CONCATENATE(INDIRECT("Hallazgos!F"&amp;AR9+8)," ",INDIRECT("Hallazgos!G"&amp;AR9+8)) &amp; CHAR(10) &amp; INDIRECT("Hallazgos!F"&amp;AR9+9)</f>
        <v/>
      </c>
      <c s="133" r="W9">
        <f>INDIRECT("Hallazgos!H"&amp;AR9)</f>
        <v/>
      </c>
      <c s="87" r="X9">
        <f>IF(W9&lt;4,"Baja",IF(AND(W9&gt;=4,W9&lt;7),"Media","Alta"))</f>
        <v/>
      </c>
      <c s="87" r="Y9">
        <f>INDIRECT("Hallazgos!I"&amp;AR9)</f>
        <v/>
      </c>
      <c s="87" r="Z9" t="n"/>
      <c s="87" r="AA9" t="n"/>
      <c s="87" r="AB9">
        <f>IF(Z9="100% Vulnerado Anteriormente",100/100 *AA9,IF(Z9="75% Fácil de vulnerar",75/100*AA9,IF(Z9="50% Posible de vulnerar",50/100*AA9,IF(Z9="25% Difícil de vulnerar",25/100*AA9,0))))</f>
        <v/>
      </c>
      <c s="87" r="AC9">
        <f>IF(AB9&lt;2,"x &lt; 2 - Tolerable",IF(AND(AB9&gt;=2,AB9&lt;3),"2 &lt;=x &lt; 3 - Moderado","x&gt;= 3 - Critico"))</f>
        <v/>
      </c>
      <c s="87" r="AD9">
        <f>INDIRECT("Hallazgos!O"&amp;AR9)</f>
        <v/>
      </c>
      <c s="87" r="AE9" t="n"/>
      <c s="87" r="AF9" t="n"/>
      <c s="87" r="AG9" t="n"/>
      <c s="87" r="AH9" t="s">
        <v>1493</v>
      </c>
      <c s="87" r="AI9" t="n"/>
      <c s="87" r="AJ9">
        <f>AJ8</f>
        <v/>
      </c>
      <c s="87" r="AK9">
        <f>AK8</f>
        <v/>
      </c>
      <c s="87" r="AL9" t="n"/>
      <c s="87" r="AM9" t="n"/>
      <c s="87" r="AN9" t="n"/>
      <c s="87" r="AO9">
        <f>INDIRECT("Hallazgos!J"&amp;AR9)</f>
        <v/>
      </c>
      <c s="87" r="AP9">
        <f>INDIRECT("Hallazgos!K"&amp;AR9)</f>
        <v/>
      </c>
      <c s="87" r="AQ9">
        <f>INDIRECT("Hallazgos!L"&amp;AR9)</f>
        <v/>
      </c>
      <c s="83" r="AR9">
        <f>AR8+10</f>
        <v/>
      </c>
    </row>
    <row customHeight="1" s="134" r="10" ht="15.75" spans="1:44">
      <c s="87" r="A10">
        <f>A9</f>
        <v/>
      </c>
      <c s="87" r="B10">
        <f>B9</f>
        <v/>
      </c>
      <c s="87" r="C10">
        <f>C9</f>
        <v/>
      </c>
      <c s="87" r="D10">
        <f>D9</f>
        <v/>
      </c>
      <c s="87" r="E10" t="n"/>
      <c s="87" r="F10">
        <f>Inicio!$B$6</f>
        <v/>
      </c>
      <c s="87" r="G10">
        <f>G9</f>
        <v/>
      </c>
      <c s="87" r="H10" t="n"/>
      <c s="87" r="I10">
        <f>INDIRECT("Hallazgos!E"&amp;AR10)</f>
        <v/>
      </c>
      <c s="87" r="J10">
        <f>J9</f>
        <v/>
      </c>
      <c s="87" r="K10">
        <f>Inicio!$B$9</f>
        <v/>
      </c>
      <c s="87" r="L10">
        <f>L9</f>
        <v/>
      </c>
      <c s="87" r="M10" t="n"/>
      <c s="87" r="N10">
        <f>INDIRECT("Hallazgos!B"&amp;AR10)</f>
        <v/>
      </c>
      <c s="87" r="O10">
        <f>INDIRECT("Hallazgos!C"&amp;AR10)</f>
        <v/>
      </c>
      <c s="87" r="P10">
        <f>INDIRECT("Hallazgos!D"&amp;AR10)</f>
        <v/>
      </c>
      <c s="87" r="Q10" t="n"/>
      <c s="87" r="R10" t="n"/>
      <c s="87" r="S10">
        <f>INDIRECT("Hallazgos!N"&amp;AR10)</f>
        <v/>
      </c>
      <c s="87" r="T10" t="n"/>
      <c s="87" r="U10">
        <f>U9</f>
        <v/>
      </c>
      <c s="87" r="V10">
        <f>CONCATENATE(INDIRECT("Hallazgos!F"&amp;AR10)," ",INDIRECT("Hallazgos!G"&amp;AR10)) &amp; CHAR(10) &amp; CONCATENATE(INDIRECT("Hallazgos!F"&amp;AR10+1)," ",INDIRECT("Hallazgos!G"&amp;AR10+1)) &amp; CHAR(10) &amp; CONCATENATE(INDIRECT("Hallazgos!F"&amp;AR10+2)," ",INDIRECT("Hallazgos!G"&amp;AR10+2)) &amp; CHAR(10) &amp; CONCATENATE(INDIRECT("Hallazgos!F"&amp;AR10+3)," ",INDIRECT("Hallazgos!G"&amp;AR10+3)) &amp; CHAR(10) &amp; CONCATENATE(INDIRECT("Hallazgos!F"&amp;AR10+4)," ",INDIRECT("Hallazgos!G"&amp;AR10+4)) &amp; CHAR(10) &amp; CONCATENATE(INDIRECT("Hallazgos!F"&amp;AR10+5)," ",INDIRECT("Hallazgos!G"&amp;AR10+5)) &amp; CHAR(10) &amp; CONCATENATE(INDIRECT("Hallazgos!F"&amp;AR10+5)," ",INDIRECT("Hallazgos!G"&amp;AR10+6)) &amp; CHAR(10) &amp; CONCATENATE(INDIRECT("Hallazgos!F"&amp;AR10+7)," ",INDIRECT("Hallazgos!G"&amp;AR10+7)) &amp; CHAR(10) &amp; CONCATENATE(INDIRECT("Hallazgos!F"&amp;AR10+8)," ",INDIRECT("Hallazgos!G"&amp;AR10+8)) &amp; CHAR(10) &amp; INDIRECT("Hallazgos!F"&amp;AR10+9)</f>
        <v/>
      </c>
      <c s="133" r="W10">
        <f>INDIRECT("Hallazgos!H"&amp;AR10)</f>
        <v/>
      </c>
      <c s="87" r="X10">
        <f>IF(W10&lt;4,"Baja",IF(AND(W10&gt;=4,W10&lt;7),"Media","Alta"))</f>
        <v/>
      </c>
      <c s="87" r="Y10">
        <f>INDIRECT("Hallazgos!I"&amp;AR10)</f>
        <v/>
      </c>
      <c s="87" r="Z10" t="n"/>
      <c s="87" r="AA10" t="n"/>
      <c s="87" r="AB10">
        <f>IF(Z10="100% Vulnerado Anteriormente",100/100 *AA10,IF(Z10="75% Fácil de vulnerar",75/100*AA10,IF(Z10="50% Posible de vulnerar",50/100*AA10,IF(Z10="25% Difícil de vulnerar",25/100*AA10,0))))</f>
        <v/>
      </c>
      <c s="87" r="AC10">
        <f>IF(AB10&lt;2,"x &lt; 2 - Tolerable",IF(AND(AB10&gt;=2,AB10&lt;3),"2 &lt;=x &lt; 3 - Moderado","x&gt;= 3 - Critico"))</f>
        <v/>
      </c>
      <c s="87" r="AD10">
        <f>INDIRECT("Hallazgos!O"&amp;AR10)</f>
        <v/>
      </c>
      <c s="87" r="AE10" t="n"/>
      <c s="87" r="AF10" t="n"/>
      <c s="87" r="AG10" t="n"/>
      <c s="87" r="AH10" t="s">
        <v>1493</v>
      </c>
      <c s="87" r="AI10" t="n"/>
      <c s="87" r="AJ10">
        <f>AJ9</f>
        <v/>
      </c>
      <c s="87" r="AK10">
        <f>AK9</f>
        <v/>
      </c>
      <c s="87" r="AL10" t="n"/>
      <c s="87" r="AM10" t="n"/>
      <c s="87" r="AN10" t="n"/>
      <c s="87" r="AO10">
        <f>INDIRECT("Hallazgos!J"&amp;AR10)</f>
        <v/>
      </c>
      <c s="87" r="AP10">
        <f>INDIRECT("Hallazgos!K"&amp;AR10)</f>
        <v/>
      </c>
      <c s="87" r="AQ10">
        <f>INDIRECT("Hallazgos!L"&amp;AR10)</f>
        <v/>
      </c>
      <c s="83" r="AR10">
        <f>AR9+10</f>
        <v/>
      </c>
    </row>
    <row customHeight="1" s="134" r="11" ht="15.75" spans="1:44">
      <c s="87" r="A11">
        <f>A10</f>
        <v/>
      </c>
      <c s="87" r="B11">
        <f>B10</f>
        <v/>
      </c>
      <c s="87" r="C11">
        <f>C10</f>
        <v/>
      </c>
      <c s="87" r="D11">
        <f>D10</f>
        <v/>
      </c>
      <c s="87" r="E11" t="n"/>
      <c s="87" r="F11">
        <f>Inicio!$B$6</f>
        <v/>
      </c>
      <c s="87" r="G11">
        <f>G10</f>
        <v/>
      </c>
      <c s="87" r="H11" t="n"/>
      <c s="87" r="I11">
        <f>INDIRECT("Hallazgos!E"&amp;AR11)</f>
        <v/>
      </c>
      <c s="87" r="J11">
        <f>J10</f>
        <v/>
      </c>
      <c s="87" r="K11">
        <f>Inicio!$B$9</f>
        <v/>
      </c>
      <c s="87" r="L11">
        <f>L10</f>
        <v/>
      </c>
      <c s="87" r="M11" t="n"/>
      <c s="87" r="N11">
        <f>INDIRECT("Hallazgos!B"&amp;AR11)</f>
        <v/>
      </c>
      <c s="87" r="O11">
        <f>INDIRECT("Hallazgos!C"&amp;AR11)</f>
        <v/>
      </c>
      <c s="87" r="P11">
        <f>INDIRECT("Hallazgos!D"&amp;AR11)</f>
        <v/>
      </c>
      <c s="87" r="Q11" t="n"/>
      <c s="87" r="R11" t="n"/>
      <c s="87" r="S11">
        <f>INDIRECT("Hallazgos!N"&amp;AR11)</f>
        <v/>
      </c>
      <c s="87" r="T11" t="n"/>
      <c s="87" r="U11">
        <f>U10</f>
        <v/>
      </c>
      <c s="87" r="V11">
        <f>CONCATENATE(INDIRECT("Hallazgos!F"&amp;AR11)," ",INDIRECT("Hallazgos!G"&amp;AR11)) &amp; CHAR(10) &amp; CONCATENATE(INDIRECT("Hallazgos!F"&amp;AR11+1)," ",INDIRECT("Hallazgos!G"&amp;AR11+1)) &amp; CHAR(10) &amp; CONCATENATE(INDIRECT("Hallazgos!F"&amp;AR11+2)," ",INDIRECT("Hallazgos!G"&amp;AR11+2)) &amp; CHAR(10) &amp; CONCATENATE(INDIRECT("Hallazgos!F"&amp;AR11+3)," ",INDIRECT("Hallazgos!G"&amp;AR11+3)) &amp; CHAR(10) &amp; CONCATENATE(INDIRECT("Hallazgos!F"&amp;AR11+4)," ",INDIRECT("Hallazgos!G"&amp;AR11+4)) &amp; CHAR(10) &amp; CONCATENATE(INDIRECT("Hallazgos!F"&amp;AR11+5)," ",INDIRECT("Hallazgos!G"&amp;AR11+5)) &amp; CHAR(10) &amp; CONCATENATE(INDIRECT("Hallazgos!F"&amp;AR11+5)," ",INDIRECT("Hallazgos!G"&amp;AR11+6)) &amp; CHAR(10) &amp; CONCATENATE(INDIRECT("Hallazgos!F"&amp;AR11+7)," ",INDIRECT("Hallazgos!G"&amp;AR11+7)) &amp; CHAR(10) &amp; CONCATENATE(INDIRECT("Hallazgos!F"&amp;AR11+8)," ",INDIRECT("Hallazgos!G"&amp;AR11+8)) &amp; CHAR(10) &amp; INDIRECT("Hallazgos!F"&amp;AR11+9)</f>
        <v/>
      </c>
      <c s="133" r="W11">
        <f>INDIRECT("Hallazgos!H"&amp;AR11)</f>
        <v/>
      </c>
      <c s="87" r="X11">
        <f>IF(W11&lt;4,"Baja",IF(AND(W11&gt;=4,W11&lt;7),"Media","Alta"))</f>
        <v/>
      </c>
      <c s="87" r="Y11">
        <f>INDIRECT("Hallazgos!I"&amp;AR11)</f>
        <v/>
      </c>
      <c s="87" r="Z11" t="n"/>
      <c s="87" r="AA11" t="n"/>
      <c s="87" r="AB11">
        <f>IF(Z11="100% Vulnerado Anteriormente",100/100 *AA11,IF(Z11="75% Fácil de vulnerar",75/100*AA11,IF(Z11="50% Posible de vulnerar",50/100*AA11,IF(Z11="25% Difícil de vulnerar",25/100*AA11,0))))</f>
        <v/>
      </c>
      <c s="87" r="AC11">
        <f>IF(AB11&lt;2,"x &lt; 2 - Tolerable",IF(AND(AB11&gt;=2,AB11&lt;3),"2 &lt;=x &lt; 3 - Moderado","x&gt;= 3 - Critico"))</f>
        <v/>
      </c>
      <c s="87" r="AD11">
        <f>INDIRECT("Hallazgos!O"&amp;AR11)</f>
        <v/>
      </c>
      <c s="87" r="AE11" t="n"/>
      <c s="87" r="AF11" t="n"/>
      <c s="87" r="AG11" t="n"/>
      <c s="87" r="AH11" t="s">
        <v>1493</v>
      </c>
      <c s="87" r="AI11" t="n"/>
      <c s="87" r="AJ11">
        <f>AJ10</f>
        <v/>
      </c>
      <c s="87" r="AK11">
        <f>AK10</f>
        <v/>
      </c>
      <c s="87" r="AL11" t="n"/>
      <c s="87" r="AM11" t="n"/>
      <c s="87" r="AN11" t="n"/>
      <c s="87" r="AO11">
        <f>INDIRECT("Hallazgos!J"&amp;AR11)</f>
        <v/>
      </c>
      <c s="87" r="AP11">
        <f>INDIRECT("Hallazgos!K"&amp;AR11)</f>
        <v/>
      </c>
      <c s="87" r="AQ11">
        <f>INDIRECT("Hallazgos!L"&amp;AR11)</f>
        <v/>
      </c>
      <c s="83" r="AR11">
        <f>AR10+10</f>
        <v/>
      </c>
    </row>
    <row customHeight="1" s="134" r="12" ht="15.75" spans="1:44">
      <c s="87" r="A12">
        <f>A11</f>
        <v/>
      </c>
      <c s="87" r="B12">
        <f>B11</f>
        <v/>
      </c>
      <c s="87" r="C12">
        <f>C11</f>
        <v/>
      </c>
      <c s="87" r="D12">
        <f>D11</f>
        <v/>
      </c>
      <c s="87" r="E12" t="n"/>
      <c s="87" r="F12">
        <f>Inicio!$B$6</f>
        <v/>
      </c>
      <c s="87" r="G12">
        <f>G11</f>
        <v/>
      </c>
      <c s="87" r="H12" t="n"/>
      <c s="87" r="I12">
        <f>INDIRECT("Hallazgos!E"&amp;AR12)</f>
        <v/>
      </c>
      <c s="87" r="J12">
        <f>J11</f>
        <v/>
      </c>
      <c s="87" r="K12">
        <f>Inicio!$B$9</f>
        <v/>
      </c>
      <c s="87" r="L12">
        <f>L11</f>
        <v/>
      </c>
      <c s="87" r="M12" t="n"/>
      <c s="87" r="N12">
        <f>INDIRECT("Hallazgos!B"&amp;AR12)</f>
        <v/>
      </c>
      <c s="87" r="O12">
        <f>INDIRECT("Hallazgos!C"&amp;AR12)</f>
        <v/>
      </c>
      <c s="87" r="P12">
        <f>INDIRECT("Hallazgos!D"&amp;AR12)</f>
        <v/>
      </c>
      <c s="87" r="Q12" t="n"/>
      <c s="87" r="R12" t="n"/>
      <c s="87" r="S12">
        <f>INDIRECT("Hallazgos!N"&amp;AR12)</f>
        <v/>
      </c>
      <c s="87" r="T12" t="n"/>
      <c s="87" r="U12">
        <f>U11</f>
        <v/>
      </c>
      <c s="87" r="V12">
        <f>CONCATENATE(INDIRECT("Hallazgos!F"&amp;AR12)," ",INDIRECT("Hallazgos!G"&amp;AR12)) &amp; CHAR(10) &amp; CONCATENATE(INDIRECT("Hallazgos!F"&amp;AR12+1)," ",INDIRECT("Hallazgos!G"&amp;AR12+1)) &amp; CHAR(10) &amp; CONCATENATE(INDIRECT("Hallazgos!F"&amp;AR12+2)," ",INDIRECT("Hallazgos!G"&amp;AR12+2)) &amp; CHAR(10) &amp; CONCATENATE(INDIRECT("Hallazgos!F"&amp;AR12+3)," ",INDIRECT("Hallazgos!G"&amp;AR12+3)) &amp; CHAR(10) &amp; CONCATENATE(INDIRECT("Hallazgos!F"&amp;AR12+4)," ",INDIRECT("Hallazgos!G"&amp;AR12+4)) &amp; CHAR(10) &amp; CONCATENATE(INDIRECT("Hallazgos!F"&amp;AR12+5)," ",INDIRECT("Hallazgos!G"&amp;AR12+5)) &amp; CHAR(10) &amp; CONCATENATE(INDIRECT("Hallazgos!F"&amp;AR12+5)," ",INDIRECT("Hallazgos!G"&amp;AR12+6)) &amp; CHAR(10) &amp; CONCATENATE(INDIRECT("Hallazgos!F"&amp;AR12+7)," ",INDIRECT("Hallazgos!G"&amp;AR12+7)) &amp; CHAR(10) &amp; CONCATENATE(INDIRECT("Hallazgos!F"&amp;AR12+8)," ",INDIRECT("Hallazgos!G"&amp;AR12+8)) &amp; CHAR(10) &amp; INDIRECT("Hallazgos!F"&amp;AR12+9)</f>
        <v/>
      </c>
      <c s="133" r="W12">
        <f>INDIRECT("Hallazgos!H"&amp;AR12)</f>
        <v/>
      </c>
      <c s="87" r="X12">
        <f>IF(W12&lt;4,"Baja",IF(AND(W12&gt;=4,W12&lt;7),"Media","Alta"))</f>
        <v/>
      </c>
      <c s="87" r="Y12">
        <f>INDIRECT("Hallazgos!I"&amp;AR12)</f>
        <v/>
      </c>
      <c s="87" r="Z12" t="n"/>
      <c s="87" r="AA12" t="n"/>
      <c s="87" r="AB12">
        <f>IF(Z12="100% Vulnerado Anteriormente",100/100 *AA12,IF(Z12="75% Fácil de vulnerar",75/100*AA12,IF(Z12="50% Posible de vulnerar",50/100*AA12,IF(Z12="25% Difícil de vulnerar",25/100*AA12,0))))</f>
        <v/>
      </c>
      <c s="87" r="AC12">
        <f>IF(AB12&lt;2,"x &lt; 2 - Tolerable",IF(AND(AB12&gt;=2,AB12&lt;3),"2 &lt;=x &lt; 3 - Moderado","x&gt;= 3 - Critico"))</f>
        <v/>
      </c>
      <c s="87" r="AD12">
        <f>INDIRECT("Hallazgos!O"&amp;AR12)</f>
        <v/>
      </c>
      <c s="87" r="AE12" t="n"/>
      <c s="87" r="AF12" t="n"/>
      <c s="87" r="AG12" t="n"/>
      <c s="87" r="AH12" t="s">
        <v>1493</v>
      </c>
      <c s="87" r="AI12" t="n"/>
      <c s="87" r="AJ12">
        <f>AJ11</f>
        <v/>
      </c>
      <c s="87" r="AK12">
        <f>AK11</f>
        <v/>
      </c>
      <c s="87" r="AL12" t="n"/>
      <c s="87" r="AM12" t="n"/>
      <c s="87" r="AN12" t="n"/>
      <c s="87" r="AO12">
        <f>INDIRECT("Hallazgos!J"&amp;AR12)</f>
        <v/>
      </c>
      <c s="87" r="AP12">
        <f>INDIRECT("Hallazgos!K"&amp;AR12)</f>
        <v/>
      </c>
      <c s="87" r="AQ12">
        <f>INDIRECT("Hallazgos!L"&amp;AR12)</f>
        <v/>
      </c>
      <c s="83" r="AR12">
        <f>AR11+10</f>
        <v/>
      </c>
    </row>
    <row customHeight="1" s="134" r="13" ht="15.75" spans="1:44">
      <c s="87" r="A13">
        <f>A12</f>
        <v/>
      </c>
      <c s="87" r="B13">
        <f>B12</f>
        <v/>
      </c>
      <c s="87" r="C13">
        <f>C12</f>
        <v/>
      </c>
      <c s="87" r="D13">
        <f>D12</f>
        <v/>
      </c>
      <c s="87" r="E13" t="n"/>
      <c s="87" r="F13">
        <f>Inicio!$B$6</f>
        <v/>
      </c>
      <c s="87" r="G13">
        <f>G12</f>
        <v/>
      </c>
      <c s="87" r="H13" t="n"/>
      <c s="87" r="I13">
        <f>INDIRECT("Hallazgos!E"&amp;AR13)</f>
        <v/>
      </c>
      <c s="87" r="J13">
        <f>J12</f>
        <v/>
      </c>
      <c s="87" r="K13">
        <f>Inicio!$B$9</f>
        <v/>
      </c>
      <c s="87" r="L13">
        <f>L12</f>
        <v/>
      </c>
      <c s="87" r="M13" t="n"/>
      <c s="87" r="N13">
        <f>INDIRECT("Hallazgos!B"&amp;AR13)</f>
        <v/>
      </c>
      <c s="87" r="O13">
        <f>INDIRECT("Hallazgos!C"&amp;AR13)</f>
        <v/>
      </c>
      <c s="87" r="P13">
        <f>INDIRECT("Hallazgos!D"&amp;AR13)</f>
        <v/>
      </c>
      <c s="87" r="Q13" t="n"/>
      <c s="87" r="R13" t="n"/>
      <c s="87" r="S13">
        <f>INDIRECT("Hallazgos!N"&amp;AR13)</f>
        <v/>
      </c>
      <c s="87" r="T13" t="n"/>
      <c s="87" r="U13">
        <f>U12</f>
        <v/>
      </c>
      <c s="87" r="V13">
        <f>CONCATENATE(INDIRECT("Hallazgos!F"&amp;AR13)," ",INDIRECT("Hallazgos!G"&amp;AR13)) &amp; CHAR(10) &amp; CONCATENATE(INDIRECT("Hallazgos!F"&amp;AR13+1)," ",INDIRECT("Hallazgos!G"&amp;AR13+1)) &amp; CHAR(10) &amp; CONCATENATE(INDIRECT("Hallazgos!F"&amp;AR13+2)," ",INDIRECT("Hallazgos!G"&amp;AR13+2)) &amp; CHAR(10) &amp; CONCATENATE(INDIRECT("Hallazgos!F"&amp;AR13+3)," ",INDIRECT("Hallazgos!G"&amp;AR13+3)) &amp; CHAR(10) &amp; CONCATENATE(INDIRECT("Hallazgos!F"&amp;AR13+4)," ",INDIRECT("Hallazgos!G"&amp;AR13+4)) &amp; CHAR(10) &amp; CONCATENATE(INDIRECT("Hallazgos!F"&amp;AR13+5)," ",INDIRECT("Hallazgos!G"&amp;AR13+5)) &amp; CHAR(10) &amp; CONCATENATE(INDIRECT("Hallazgos!F"&amp;AR13+5)," ",INDIRECT("Hallazgos!G"&amp;AR13+6)) &amp; CHAR(10) &amp; CONCATENATE(INDIRECT("Hallazgos!F"&amp;AR13+7)," ",INDIRECT("Hallazgos!G"&amp;AR13+7)) &amp; CHAR(10) &amp; CONCATENATE(INDIRECT("Hallazgos!F"&amp;AR13+8)," ",INDIRECT("Hallazgos!G"&amp;AR13+8)) &amp; CHAR(10) &amp; INDIRECT("Hallazgos!F"&amp;AR13+9)</f>
        <v/>
      </c>
      <c s="133" r="W13">
        <f>INDIRECT("Hallazgos!H"&amp;AR13)</f>
        <v/>
      </c>
      <c s="87" r="X13">
        <f>IF(W13&lt;4,"Baja",IF(AND(W13&gt;=4,W13&lt;7),"Media","Alta"))</f>
        <v/>
      </c>
      <c s="87" r="Y13">
        <f>INDIRECT("Hallazgos!I"&amp;AR13)</f>
        <v/>
      </c>
      <c s="87" r="Z13" t="n"/>
      <c s="87" r="AA13" t="n"/>
      <c s="87" r="AB13">
        <f>IF(Z13="100% Vulnerado Anteriormente",100/100 *AA13,IF(Z13="75% Fácil de vulnerar",75/100*AA13,IF(Z13="50% Posible de vulnerar",50/100*AA13,IF(Z13="25% Difícil de vulnerar",25/100*AA13,0))))</f>
        <v/>
      </c>
      <c s="87" r="AC13">
        <f>IF(AB13&lt;2,"x &lt; 2 - Tolerable",IF(AND(AB13&gt;=2,AB13&lt;3),"2 &lt;=x &lt; 3 - Moderado","x&gt;= 3 - Critico"))</f>
        <v/>
      </c>
      <c s="87" r="AD13">
        <f>INDIRECT("Hallazgos!O"&amp;AR13)</f>
        <v/>
      </c>
      <c s="87" r="AE13" t="n"/>
      <c s="87" r="AF13" t="n"/>
      <c s="87" r="AG13" t="n"/>
      <c s="87" r="AH13" t="s">
        <v>1493</v>
      </c>
      <c s="87" r="AI13" t="n"/>
      <c s="87" r="AJ13">
        <f>AJ12</f>
        <v/>
      </c>
      <c s="87" r="AK13">
        <f>AK12</f>
        <v/>
      </c>
      <c s="87" r="AL13" t="n"/>
      <c s="87" r="AM13" t="n"/>
      <c s="87" r="AN13" t="n"/>
      <c s="87" r="AO13">
        <f>INDIRECT("Hallazgos!J"&amp;AR13)</f>
        <v/>
      </c>
      <c s="87" r="AP13">
        <f>INDIRECT("Hallazgos!K"&amp;AR13)</f>
        <v/>
      </c>
      <c s="87" r="AQ13">
        <f>INDIRECT("Hallazgos!L"&amp;AR13)</f>
        <v/>
      </c>
      <c s="83" r="AR13">
        <f>AR12+10</f>
        <v/>
      </c>
    </row>
    <row customHeight="1" s="134" r="14" ht="15.75" spans="1:44">
      <c s="87" r="A14">
        <f>A13</f>
        <v/>
      </c>
      <c s="87" r="B14">
        <f>B13</f>
        <v/>
      </c>
      <c s="87" r="C14">
        <f>C13</f>
        <v/>
      </c>
      <c s="87" r="D14">
        <f>D13</f>
        <v/>
      </c>
      <c s="87" r="E14" t="n"/>
      <c s="87" r="F14">
        <f>Inicio!$B$6</f>
        <v/>
      </c>
      <c s="87" r="G14">
        <f>G13</f>
        <v/>
      </c>
      <c s="87" r="H14" t="n"/>
      <c s="87" r="I14">
        <f>INDIRECT("Hallazgos!E"&amp;AR14)</f>
        <v/>
      </c>
      <c s="87" r="J14">
        <f>J13</f>
        <v/>
      </c>
      <c s="87" r="K14">
        <f>Inicio!$B$9</f>
        <v/>
      </c>
      <c s="87" r="L14">
        <f>L13</f>
        <v/>
      </c>
      <c s="87" r="M14" t="n"/>
      <c s="87" r="N14">
        <f>INDIRECT("Hallazgos!B"&amp;AR14)</f>
        <v/>
      </c>
      <c s="87" r="O14">
        <f>INDIRECT("Hallazgos!C"&amp;AR14)</f>
        <v/>
      </c>
      <c s="87" r="P14">
        <f>INDIRECT("Hallazgos!D"&amp;AR14)</f>
        <v/>
      </c>
      <c s="87" r="Q14" t="n"/>
      <c s="87" r="R14" t="n"/>
      <c s="87" r="S14">
        <f>INDIRECT("Hallazgos!N"&amp;AR14)</f>
        <v/>
      </c>
      <c s="87" r="T14" t="n"/>
      <c s="87" r="U14">
        <f>U13</f>
        <v/>
      </c>
      <c s="87" r="V14">
        <f>CONCATENATE(INDIRECT("Hallazgos!F"&amp;AR14)," ",INDIRECT("Hallazgos!G"&amp;AR14)) &amp; CHAR(10) &amp; CONCATENATE(INDIRECT("Hallazgos!F"&amp;AR14+1)," ",INDIRECT("Hallazgos!G"&amp;AR14+1)) &amp; CHAR(10) &amp; CONCATENATE(INDIRECT("Hallazgos!F"&amp;AR14+2)," ",INDIRECT("Hallazgos!G"&amp;AR14+2)) &amp; CHAR(10) &amp; CONCATENATE(INDIRECT("Hallazgos!F"&amp;AR14+3)," ",INDIRECT("Hallazgos!G"&amp;AR14+3)) &amp; CHAR(10) &amp; CONCATENATE(INDIRECT("Hallazgos!F"&amp;AR14+4)," ",INDIRECT("Hallazgos!G"&amp;AR14+4)) &amp; CHAR(10) &amp; CONCATENATE(INDIRECT("Hallazgos!F"&amp;AR14+5)," ",INDIRECT("Hallazgos!G"&amp;AR14+5)) &amp; CHAR(10) &amp; CONCATENATE(INDIRECT("Hallazgos!F"&amp;AR14+5)," ",INDIRECT("Hallazgos!G"&amp;AR14+6)) &amp; CHAR(10) &amp; CONCATENATE(INDIRECT("Hallazgos!F"&amp;AR14+7)," ",INDIRECT("Hallazgos!G"&amp;AR14+7)) &amp; CHAR(10) &amp; CONCATENATE(INDIRECT("Hallazgos!F"&amp;AR14+8)," ",INDIRECT("Hallazgos!G"&amp;AR14+8)) &amp; CHAR(10) &amp; INDIRECT("Hallazgos!F"&amp;AR14+9)</f>
        <v/>
      </c>
      <c s="133" r="W14">
        <f>INDIRECT("Hallazgos!H"&amp;AR14)</f>
        <v/>
      </c>
      <c s="87" r="X14">
        <f>IF(W14&lt;4,"Baja",IF(AND(W14&gt;=4,W14&lt;7),"Media","Alta"))</f>
        <v/>
      </c>
      <c s="87" r="Y14">
        <f>INDIRECT("Hallazgos!I"&amp;AR14)</f>
        <v/>
      </c>
      <c s="87" r="Z14" t="n"/>
      <c s="87" r="AA14" t="n"/>
      <c s="87" r="AB14">
        <f>IF(Z14="100% Vulnerado Anteriormente",100/100 *AA14,IF(Z14="75% Fácil de vulnerar",75/100*AA14,IF(Z14="50% Posible de vulnerar",50/100*AA14,IF(Z14="25% Difícil de vulnerar",25/100*AA14,0))))</f>
        <v/>
      </c>
      <c s="87" r="AC14">
        <f>IF(AB14&lt;2,"x &lt; 2 - Tolerable",IF(AND(AB14&gt;=2,AB14&lt;3),"2 &lt;=x &lt; 3 - Moderado","x&gt;= 3 - Critico"))</f>
        <v/>
      </c>
      <c s="87" r="AD14">
        <f>INDIRECT("Hallazgos!O"&amp;AR14)</f>
        <v/>
      </c>
      <c s="87" r="AE14" t="n"/>
      <c s="87" r="AF14" t="n"/>
      <c s="87" r="AG14" t="n"/>
      <c s="87" r="AH14" t="s">
        <v>1493</v>
      </c>
      <c s="87" r="AI14" t="n"/>
      <c s="87" r="AJ14">
        <f>AJ13</f>
        <v/>
      </c>
      <c s="87" r="AK14">
        <f>AK13</f>
        <v/>
      </c>
      <c s="87" r="AL14" t="n"/>
      <c s="87" r="AM14" t="n"/>
      <c s="87" r="AN14" t="n"/>
      <c s="87" r="AO14">
        <f>INDIRECT("Hallazgos!J"&amp;AR14)</f>
        <v/>
      </c>
      <c s="87" r="AP14">
        <f>INDIRECT("Hallazgos!K"&amp;AR14)</f>
        <v/>
      </c>
      <c s="87" r="AQ14">
        <f>INDIRECT("Hallazgos!L"&amp;AR14)</f>
        <v/>
      </c>
      <c s="83" r="AR14">
        <f>AR13+10</f>
        <v/>
      </c>
    </row>
    <row customHeight="1" s="134" r="15" ht="15.75" spans="1:44">
      <c s="87" r="A15">
        <f>A14</f>
        <v/>
      </c>
      <c s="87" r="B15">
        <f>B14</f>
        <v/>
      </c>
      <c s="87" r="C15">
        <f>C14</f>
        <v/>
      </c>
      <c s="87" r="D15">
        <f>D14</f>
        <v/>
      </c>
      <c s="87" r="E15" t="n"/>
      <c s="87" r="F15">
        <f>Inicio!$B$6</f>
        <v/>
      </c>
      <c s="87" r="G15">
        <f>G14</f>
        <v/>
      </c>
      <c s="87" r="H15" t="n"/>
      <c s="87" r="I15">
        <f>INDIRECT("Hallazgos!E"&amp;AR15)</f>
        <v/>
      </c>
      <c s="87" r="J15">
        <f>J14</f>
        <v/>
      </c>
      <c s="87" r="K15">
        <f>Inicio!$B$9</f>
        <v/>
      </c>
      <c s="87" r="L15">
        <f>L14</f>
        <v/>
      </c>
      <c s="87" r="M15" t="n"/>
      <c s="87" r="N15">
        <f>INDIRECT("Hallazgos!B"&amp;AR15)</f>
        <v/>
      </c>
      <c s="87" r="O15">
        <f>INDIRECT("Hallazgos!C"&amp;AR15)</f>
        <v/>
      </c>
      <c s="87" r="P15">
        <f>INDIRECT("Hallazgos!D"&amp;AR15)</f>
        <v/>
      </c>
      <c s="87" r="Q15" t="n"/>
      <c s="87" r="R15" t="n"/>
      <c s="87" r="S15">
        <f>INDIRECT("Hallazgos!N"&amp;AR15)</f>
        <v/>
      </c>
      <c s="87" r="T15" t="n"/>
      <c s="87" r="U15">
        <f>U14</f>
        <v/>
      </c>
      <c s="87" r="V15">
        <f>CONCATENATE(INDIRECT("Hallazgos!F"&amp;AR15)," ",INDIRECT("Hallazgos!G"&amp;AR15)) &amp; CHAR(10) &amp; CONCATENATE(INDIRECT("Hallazgos!F"&amp;AR15+1)," ",INDIRECT("Hallazgos!G"&amp;AR15+1)) &amp; CHAR(10) &amp; CONCATENATE(INDIRECT("Hallazgos!F"&amp;AR15+2)," ",INDIRECT("Hallazgos!G"&amp;AR15+2)) &amp; CHAR(10) &amp; CONCATENATE(INDIRECT("Hallazgos!F"&amp;AR15+3)," ",INDIRECT("Hallazgos!G"&amp;AR15+3)) &amp; CHAR(10) &amp; CONCATENATE(INDIRECT("Hallazgos!F"&amp;AR15+4)," ",INDIRECT("Hallazgos!G"&amp;AR15+4)) &amp; CHAR(10) &amp; CONCATENATE(INDIRECT("Hallazgos!F"&amp;AR15+5)," ",INDIRECT("Hallazgos!G"&amp;AR15+5)) &amp; CHAR(10) &amp; CONCATENATE(INDIRECT("Hallazgos!F"&amp;AR15+5)," ",INDIRECT("Hallazgos!G"&amp;AR15+6)) &amp; CHAR(10) &amp; CONCATENATE(INDIRECT("Hallazgos!F"&amp;AR15+7)," ",INDIRECT("Hallazgos!G"&amp;AR15+7)) &amp; CHAR(10) &amp; CONCATENATE(INDIRECT("Hallazgos!F"&amp;AR15+8)," ",INDIRECT("Hallazgos!G"&amp;AR15+8)) &amp; CHAR(10) &amp; INDIRECT("Hallazgos!F"&amp;AR15+9)</f>
        <v/>
      </c>
      <c s="133" r="W15">
        <f>INDIRECT("Hallazgos!H"&amp;AR15)</f>
        <v/>
      </c>
      <c s="87" r="X15">
        <f>IF(W15&lt;4,"Baja",IF(AND(W15&gt;=4,W15&lt;7),"Media","Alta"))</f>
        <v/>
      </c>
      <c s="87" r="Y15">
        <f>INDIRECT("Hallazgos!I"&amp;AR15)</f>
        <v/>
      </c>
      <c s="87" r="Z15" t="n"/>
      <c s="87" r="AA15" t="n"/>
      <c s="87" r="AB15">
        <f>IF(Z15="100% Vulnerado Anteriormente",100/100 *AA15,IF(Z15="75% Fácil de vulnerar",75/100*AA15,IF(Z15="50% Posible de vulnerar",50/100*AA15,IF(Z15="25% Difícil de vulnerar",25/100*AA15,0))))</f>
        <v/>
      </c>
      <c s="87" r="AC15">
        <f>IF(AB15&lt;2,"x &lt; 2 - Tolerable",IF(AND(AB15&gt;=2,AB15&lt;3),"2 &lt;=x &lt; 3 - Moderado","x&gt;= 3 - Critico"))</f>
        <v/>
      </c>
      <c s="87" r="AD15">
        <f>INDIRECT("Hallazgos!O"&amp;AR15)</f>
        <v/>
      </c>
      <c s="87" r="AE15" t="n"/>
      <c s="87" r="AF15" t="n"/>
      <c s="87" r="AG15" t="n"/>
      <c s="87" r="AH15" t="s">
        <v>1493</v>
      </c>
      <c s="87" r="AI15" t="n"/>
      <c s="87" r="AJ15">
        <f>AJ14</f>
        <v/>
      </c>
      <c s="87" r="AK15">
        <f>AK14</f>
        <v/>
      </c>
      <c s="87" r="AL15" t="n"/>
      <c s="87" r="AM15" t="n"/>
      <c s="87" r="AN15" t="n"/>
      <c s="87" r="AO15">
        <f>INDIRECT("Hallazgos!J"&amp;AR15)</f>
        <v/>
      </c>
      <c s="87" r="AP15">
        <f>INDIRECT("Hallazgos!K"&amp;AR15)</f>
        <v/>
      </c>
      <c s="87" r="AQ15">
        <f>INDIRECT("Hallazgos!L"&amp;AR15)</f>
        <v/>
      </c>
      <c s="83" r="AR15">
        <f>AR14+10</f>
        <v/>
      </c>
    </row>
    <row customHeight="1" s="134" r="16" ht="15.75" spans="1:44">
      <c s="87" r="A16">
        <f>A15</f>
        <v/>
      </c>
      <c s="87" r="B16">
        <f>B15</f>
        <v/>
      </c>
      <c s="87" r="C16">
        <f>C15</f>
        <v/>
      </c>
      <c s="87" r="D16">
        <f>D15</f>
        <v/>
      </c>
      <c s="87" r="E16" t="n"/>
      <c s="87" r="F16">
        <f>Inicio!$B$6</f>
        <v/>
      </c>
      <c s="87" r="G16">
        <f>G15</f>
        <v/>
      </c>
      <c s="87" r="H16" t="n"/>
      <c s="87" r="I16">
        <f>INDIRECT("Hallazgos!E"&amp;AR16)</f>
        <v/>
      </c>
      <c s="87" r="J16">
        <f>J15</f>
        <v/>
      </c>
      <c s="87" r="K16">
        <f>Inicio!$B$9</f>
        <v/>
      </c>
      <c s="87" r="L16">
        <f>L15</f>
        <v/>
      </c>
      <c s="87" r="M16" t="n"/>
      <c s="87" r="N16">
        <f>INDIRECT("Hallazgos!B"&amp;AR16)</f>
        <v/>
      </c>
      <c s="87" r="O16">
        <f>INDIRECT("Hallazgos!C"&amp;AR16)</f>
        <v/>
      </c>
      <c s="87" r="P16">
        <f>INDIRECT("Hallazgos!D"&amp;AR16)</f>
        <v/>
      </c>
      <c s="87" r="Q16" t="n"/>
      <c s="87" r="R16" t="n"/>
      <c s="87" r="S16">
        <f>INDIRECT("Hallazgos!N"&amp;AR16)</f>
        <v/>
      </c>
      <c s="87" r="T16" t="n"/>
      <c s="87" r="U16">
        <f>U15</f>
        <v/>
      </c>
      <c s="87" r="V16">
        <f>CONCATENATE(INDIRECT("Hallazgos!F"&amp;AR16)," ",INDIRECT("Hallazgos!G"&amp;AR16)) &amp; CHAR(10) &amp; CONCATENATE(INDIRECT("Hallazgos!F"&amp;AR16+1)," ",INDIRECT("Hallazgos!G"&amp;AR16+1)) &amp; CHAR(10) &amp; CONCATENATE(INDIRECT("Hallazgos!F"&amp;AR16+2)," ",INDIRECT("Hallazgos!G"&amp;AR16+2)) &amp; CHAR(10) &amp; CONCATENATE(INDIRECT("Hallazgos!F"&amp;AR16+3)," ",INDIRECT("Hallazgos!G"&amp;AR16+3)) &amp; CHAR(10) &amp; CONCATENATE(INDIRECT("Hallazgos!F"&amp;AR16+4)," ",INDIRECT("Hallazgos!G"&amp;AR16+4)) &amp; CHAR(10) &amp; CONCATENATE(INDIRECT("Hallazgos!F"&amp;AR16+5)," ",INDIRECT("Hallazgos!G"&amp;AR16+5)) &amp; CHAR(10) &amp; CONCATENATE(INDIRECT("Hallazgos!F"&amp;AR16+5)," ",INDIRECT("Hallazgos!G"&amp;AR16+6)) &amp; CHAR(10) &amp; CONCATENATE(INDIRECT("Hallazgos!F"&amp;AR16+7)," ",INDIRECT("Hallazgos!G"&amp;AR16+7)) &amp; CHAR(10) &amp; CONCATENATE(INDIRECT("Hallazgos!F"&amp;AR16+8)," ",INDIRECT("Hallazgos!G"&amp;AR16+8)) &amp; CHAR(10) &amp; INDIRECT("Hallazgos!F"&amp;AR16+9)</f>
        <v/>
      </c>
      <c s="133" r="W16">
        <f>INDIRECT("Hallazgos!H"&amp;AR16)</f>
        <v/>
      </c>
      <c s="87" r="X16">
        <f>IF(W16&lt;4,"Baja",IF(AND(W16&gt;=4,W16&lt;7),"Media","Alta"))</f>
        <v/>
      </c>
      <c s="87" r="Y16">
        <f>INDIRECT("Hallazgos!I"&amp;AR16)</f>
        <v/>
      </c>
      <c s="87" r="Z16" t="n"/>
      <c s="87" r="AA16" t="n"/>
      <c s="87" r="AB16">
        <f>IF(Z16="100% Vulnerado Anteriormente",100/100 *AA16,IF(Z16="75% Fácil de vulnerar",75/100*AA16,IF(Z16="50% Posible de vulnerar",50/100*AA16,IF(Z16="25% Difícil de vulnerar",25/100*AA16,0))))</f>
        <v/>
      </c>
      <c s="87" r="AC16">
        <f>IF(AB16&lt;2,"x &lt; 2 - Tolerable",IF(AND(AB16&gt;=2,AB16&lt;3),"2 &lt;=x &lt; 3 - Moderado","x&gt;= 3 - Critico"))</f>
        <v/>
      </c>
      <c s="87" r="AD16">
        <f>INDIRECT("Hallazgos!O"&amp;AR16)</f>
        <v/>
      </c>
      <c s="87" r="AE16" t="n"/>
      <c s="87" r="AF16" t="n"/>
      <c s="87" r="AG16" t="n"/>
      <c s="87" r="AH16" t="s">
        <v>1493</v>
      </c>
      <c s="87" r="AI16" t="n"/>
      <c s="87" r="AJ16">
        <f>AJ15</f>
        <v/>
      </c>
      <c s="87" r="AK16">
        <f>AK15</f>
        <v/>
      </c>
      <c s="87" r="AL16" t="n"/>
      <c s="87" r="AM16" t="n"/>
      <c s="87" r="AN16" t="n"/>
      <c s="87" r="AO16">
        <f>INDIRECT("Hallazgos!J"&amp;AR16)</f>
        <v/>
      </c>
      <c s="87" r="AP16">
        <f>INDIRECT("Hallazgos!K"&amp;AR16)</f>
        <v/>
      </c>
      <c s="87" r="AQ16">
        <f>INDIRECT("Hallazgos!L"&amp;AR16)</f>
        <v/>
      </c>
      <c s="83" r="AR16">
        <f>AR15+10</f>
        <v/>
      </c>
    </row>
    <row customHeight="1" s="134" r="17" ht="15.75" spans="1:44">
      <c s="87" r="A17">
        <f>A16</f>
        <v/>
      </c>
      <c s="87" r="B17">
        <f>B16</f>
        <v/>
      </c>
      <c s="87" r="C17">
        <f>C16</f>
        <v/>
      </c>
      <c s="87" r="D17">
        <f>D16</f>
        <v/>
      </c>
      <c s="87" r="E17" t="n"/>
      <c s="87" r="F17">
        <f>Inicio!$B$6</f>
        <v/>
      </c>
      <c s="87" r="G17">
        <f>G16</f>
        <v/>
      </c>
      <c s="87" r="H17" t="n"/>
      <c s="87" r="I17">
        <f>INDIRECT("Hallazgos!E"&amp;AR17)</f>
        <v/>
      </c>
      <c s="87" r="J17">
        <f>J16</f>
        <v/>
      </c>
      <c s="87" r="K17">
        <f>Inicio!$B$9</f>
        <v/>
      </c>
      <c s="87" r="L17">
        <f>L16</f>
        <v/>
      </c>
      <c s="87" r="M17" t="n"/>
      <c s="87" r="N17">
        <f>INDIRECT("Hallazgos!B"&amp;AR17)</f>
        <v/>
      </c>
      <c s="87" r="O17">
        <f>INDIRECT("Hallazgos!C"&amp;AR17)</f>
        <v/>
      </c>
      <c s="87" r="P17">
        <f>INDIRECT("Hallazgos!D"&amp;AR17)</f>
        <v/>
      </c>
      <c s="87" r="Q17" t="n"/>
      <c s="87" r="R17" t="n"/>
      <c s="87" r="S17">
        <f>INDIRECT("Hallazgos!N"&amp;AR17)</f>
        <v/>
      </c>
      <c s="87" r="T17" t="n"/>
      <c s="87" r="U17">
        <f>U16</f>
        <v/>
      </c>
      <c s="87" r="V17">
        <f>CONCATENATE(INDIRECT("Hallazgos!F"&amp;AR17)," ",INDIRECT("Hallazgos!G"&amp;AR17)) &amp; CHAR(10) &amp; CONCATENATE(INDIRECT("Hallazgos!F"&amp;AR17+1)," ",INDIRECT("Hallazgos!G"&amp;AR17+1)) &amp; CHAR(10) &amp; CONCATENATE(INDIRECT("Hallazgos!F"&amp;AR17+2)," ",INDIRECT("Hallazgos!G"&amp;AR17+2)) &amp; CHAR(10) &amp; CONCATENATE(INDIRECT("Hallazgos!F"&amp;AR17+3)," ",INDIRECT("Hallazgos!G"&amp;AR17+3)) &amp; CHAR(10) &amp; CONCATENATE(INDIRECT("Hallazgos!F"&amp;AR17+4)," ",INDIRECT("Hallazgos!G"&amp;AR17+4)) &amp; CHAR(10) &amp; CONCATENATE(INDIRECT("Hallazgos!F"&amp;AR17+5)," ",INDIRECT("Hallazgos!G"&amp;AR17+5)) &amp; CHAR(10) &amp; CONCATENATE(INDIRECT("Hallazgos!F"&amp;AR17+5)," ",INDIRECT("Hallazgos!G"&amp;AR17+6)) &amp; CHAR(10) &amp; CONCATENATE(INDIRECT("Hallazgos!F"&amp;AR17+7)," ",INDIRECT("Hallazgos!G"&amp;AR17+7)) &amp; CHAR(10) &amp; CONCATENATE(INDIRECT("Hallazgos!F"&amp;AR17+8)," ",INDIRECT("Hallazgos!G"&amp;AR17+8)) &amp; CHAR(10) &amp; INDIRECT("Hallazgos!F"&amp;AR17+9)</f>
        <v/>
      </c>
      <c s="133" r="W17">
        <f>INDIRECT("Hallazgos!H"&amp;AR17)</f>
        <v/>
      </c>
      <c s="87" r="X17">
        <f>IF(W17&lt;4,"Baja",IF(AND(W17&gt;=4,W17&lt;7),"Media","Alta"))</f>
        <v/>
      </c>
      <c s="87" r="Y17">
        <f>INDIRECT("Hallazgos!I"&amp;AR17)</f>
        <v/>
      </c>
      <c s="87" r="Z17" t="n"/>
      <c s="87" r="AA17" t="n"/>
      <c s="87" r="AB17">
        <f>IF(Z17="100% Vulnerado Anteriormente",100/100 *AA17,IF(Z17="75% Fácil de vulnerar",75/100*AA17,IF(Z17="50% Posible de vulnerar",50/100*AA17,IF(Z17="25% Difícil de vulnerar",25/100*AA17,0))))</f>
        <v/>
      </c>
      <c s="87" r="AC17">
        <f>IF(AB17&lt;2,"x &lt; 2 - Tolerable",IF(AND(AB17&gt;=2,AB17&lt;3),"2 &lt;=x &lt; 3 - Moderado","x&gt;= 3 - Critico"))</f>
        <v/>
      </c>
      <c s="87" r="AD17">
        <f>INDIRECT("Hallazgos!O"&amp;AR17)</f>
        <v/>
      </c>
      <c s="87" r="AE17" t="n"/>
      <c s="87" r="AF17" t="n"/>
      <c s="87" r="AG17" t="n"/>
      <c s="87" r="AH17" t="s">
        <v>1493</v>
      </c>
      <c s="87" r="AI17" t="n"/>
      <c s="87" r="AJ17">
        <f>AJ16</f>
        <v/>
      </c>
      <c s="87" r="AK17">
        <f>AK16</f>
        <v/>
      </c>
      <c s="87" r="AL17" t="n"/>
      <c s="87" r="AM17" t="n"/>
      <c s="87" r="AN17" t="n"/>
      <c s="87" r="AO17">
        <f>INDIRECT("Hallazgos!J"&amp;AR17)</f>
        <v/>
      </c>
      <c s="87" r="AP17">
        <f>INDIRECT("Hallazgos!K"&amp;AR17)</f>
        <v/>
      </c>
      <c s="87" r="AQ17">
        <f>INDIRECT("Hallazgos!L"&amp;AR17)</f>
        <v/>
      </c>
      <c s="83" r="AR17">
        <f>AR16+10</f>
        <v/>
      </c>
    </row>
    <row customHeight="1" s="134" r="18" ht="15.75" spans="1:44">
      <c s="87" r="A18">
        <f>A17</f>
        <v/>
      </c>
      <c s="87" r="B18">
        <f>B17</f>
        <v/>
      </c>
      <c s="87" r="C18">
        <f>C17</f>
        <v/>
      </c>
      <c s="87" r="D18">
        <f>D17</f>
        <v/>
      </c>
      <c s="87" r="E18" t="n"/>
      <c s="87" r="F18">
        <f>Inicio!$B$6</f>
        <v/>
      </c>
      <c s="87" r="G18">
        <f>G17</f>
        <v/>
      </c>
      <c s="87" r="H18" t="n"/>
      <c s="87" r="I18">
        <f>INDIRECT("Hallazgos!E"&amp;AR18)</f>
        <v/>
      </c>
      <c s="87" r="J18">
        <f>J17</f>
        <v/>
      </c>
      <c s="87" r="K18">
        <f>Inicio!$B$9</f>
        <v/>
      </c>
      <c s="87" r="L18">
        <f>L17</f>
        <v/>
      </c>
      <c s="87" r="M18" t="n"/>
      <c s="87" r="N18">
        <f>INDIRECT("Hallazgos!B"&amp;AR18)</f>
        <v/>
      </c>
      <c s="87" r="O18">
        <f>INDIRECT("Hallazgos!C"&amp;AR18)</f>
        <v/>
      </c>
      <c s="87" r="P18">
        <f>INDIRECT("Hallazgos!D"&amp;AR18)</f>
        <v/>
      </c>
      <c s="87" r="Q18" t="n"/>
      <c s="87" r="R18" t="n"/>
      <c s="87" r="S18">
        <f>INDIRECT("Hallazgos!N"&amp;AR18)</f>
        <v/>
      </c>
      <c s="87" r="T18" t="n"/>
      <c s="87" r="U18">
        <f>U17</f>
        <v/>
      </c>
      <c s="87" r="V18">
        <f>CONCATENATE(INDIRECT("Hallazgos!F"&amp;AR18)," ",INDIRECT("Hallazgos!G"&amp;AR18)) &amp; CHAR(10) &amp; CONCATENATE(INDIRECT("Hallazgos!F"&amp;AR18+1)," ",INDIRECT("Hallazgos!G"&amp;AR18+1)) &amp; CHAR(10) &amp; CONCATENATE(INDIRECT("Hallazgos!F"&amp;AR18+2)," ",INDIRECT("Hallazgos!G"&amp;AR18+2)) &amp; CHAR(10) &amp; CONCATENATE(INDIRECT("Hallazgos!F"&amp;AR18+3)," ",INDIRECT("Hallazgos!G"&amp;AR18+3)) &amp; CHAR(10) &amp; CONCATENATE(INDIRECT("Hallazgos!F"&amp;AR18+4)," ",INDIRECT("Hallazgos!G"&amp;AR18+4)) &amp; CHAR(10) &amp; CONCATENATE(INDIRECT("Hallazgos!F"&amp;AR18+5)," ",INDIRECT("Hallazgos!G"&amp;AR18+5)) &amp; CHAR(10) &amp; CONCATENATE(INDIRECT("Hallazgos!F"&amp;AR18+5)," ",INDIRECT("Hallazgos!G"&amp;AR18+6)) &amp; CHAR(10) &amp; CONCATENATE(INDIRECT("Hallazgos!F"&amp;AR18+7)," ",INDIRECT("Hallazgos!G"&amp;AR18+7)) &amp; CHAR(10) &amp; CONCATENATE(INDIRECT("Hallazgos!F"&amp;AR18+8)," ",INDIRECT("Hallazgos!G"&amp;AR18+8)) &amp; CHAR(10) &amp; INDIRECT("Hallazgos!F"&amp;AR18+9)</f>
        <v/>
      </c>
      <c s="133" r="W18">
        <f>INDIRECT("Hallazgos!H"&amp;AR18)</f>
        <v/>
      </c>
      <c s="87" r="X18">
        <f>IF(W18&lt;4,"Baja",IF(AND(W18&gt;=4,W18&lt;7),"Media","Alta"))</f>
        <v/>
      </c>
      <c s="87" r="Y18">
        <f>INDIRECT("Hallazgos!I"&amp;AR18)</f>
        <v/>
      </c>
      <c s="87" r="Z18" t="n"/>
      <c s="87" r="AA18" t="n"/>
      <c s="87" r="AB18">
        <f>IF(Z18="100% Vulnerado Anteriormente",100/100 *AA18,IF(Z18="75% Fácil de vulnerar",75/100*AA18,IF(Z18="50% Posible de vulnerar",50/100*AA18,IF(Z18="25% Difícil de vulnerar",25/100*AA18,0))))</f>
        <v/>
      </c>
      <c s="87" r="AC18">
        <f>IF(AB18&lt;2,"x &lt; 2 - Tolerable",IF(AND(AB18&gt;=2,AB18&lt;3),"2 &lt;=x &lt; 3 - Moderado","x&gt;= 3 - Critico"))</f>
        <v/>
      </c>
      <c s="87" r="AD18">
        <f>INDIRECT("Hallazgos!O"&amp;AR18)</f>
        <v/>
      </c>
      <c s="87" r="AE18" t="n"/>
      <c s="87" r="AF18" t="n"/>
      <c s="87" r="AG18" t="n"/>
      <c s="87" r="AH18" t="s">
        <v>1493</v>
      </c>
      <c s="87" r="AI18" t="n"/>
      <c s="87" r="AJ18">
        <f>AJ17</f>
        <v/>
      </c>
      <c s="87" r="AK18">
        <f>AK17</f>
        <v/>
      </c>
      <c s="87" r="AL18" t="n"/>
      <c s="87" r="AM18" t="n"/>
      <c s="87" r="AN18" t="n"/>
      <c s="87" r="AO18">
        <f>INDIRECT("Hallazgos!J"&amp;AR18)</f>
        <v/>
      </c>
      <c s="87" r="AP18">
        <f>INDIRECT("Hallazgos!K"&amp;AR18)</f>
        <v/>
      </c>
      <c s="87" r="AQ18">
        <f>INDIRECT("Hallazgos!L"&amp;AR18)</f>
        <v/>
      </c>
      <c s="83" r="AR18">
        <f>AR17+10</f>
        <v/>
      </c>
    </row>
    <row customHeight="1" s="134" r="19" ht="15.75" spans="1:44">
      <c s="87" r="A19">
        <f>A18</f>
        <v/>
      </c>
      <c s="87" r="B19">
        <f>B18</f>
        <v/>
      </c>
      <c s="87" r="C19">
        <f>C18</f>
        <v/>
      </c>
      <c s="87" r="D19">
        <f>D18</f>
        <v/>
      </c>
      <c s="87" r="E19" t="n"/>
      <c s="87" r="F19">
        <f>Inicio!$B$6</f>
        <v/>
      </c>
      <c s="87" r="G19">
        <f>G18</f>
        <v/>
      </c>
      <c s="87" r="H19" t="n"/>
      <c s="87" r="I19">
        <f>INDIRECT("Hallazgos!E"&amp;AR19)</f>
        <v/>
      </c>
      <c s="87" r="J19">
        <f>J18</f>
        <v/>
      </c>
      <c s="87" r="K19">
        <f>Inicio!$B$9</f>
        <v/>
      </c>
      <c s="87" r="L19">
        <f>L18</f>
        <v/>
      </c>
      <c s="87" r="M19" t="n"/>
      <c s="87" r="N19">
        <f>INDIRECT("Hallazgos!B"&amp;AR19)</f>
        <v/>
      </c>
      <c s="87" r="O19">
        <f>INDIRECT("Hallazgos!C"&amp;AR19)</f>
        <v/>
      </c>
      <c s="87" r="P19">
        <f>INDIRECT("Hallazgos!D"&amp;AR19)</f>
        <v/>
      </c>
      <c s="87" r="Q19" t="n"/>
      <c s="87" r="R19" t="n"/>
      <c s="87" r="S19">
        <f>INDIRECT("Hallazgos!N"&amp;AR19)</f>
        <v/>
      </c>
      <c s="87" r="T19" t="n"/>
      <c s="87" r="U19">
        <f>U18</f>
        <v/>
      </c>
      <c s="87" r="V19">
        <f>CONCATENATE(INDIRECT("Hallazgos!F"&amp;AR19)," ",INDIRECT("Hallazgos!G"&amp;AR19)) &amp; CHAR(10) &amp; CONCATENATE(INDIRECT("Hallazgos!F"&amp;AR19+1)," ",INDIRECT("Hallazgos!G"&amp;AR19+1)) &amp; CHAR(10) &amp; CONCATENATE(INDIRECT("Hallazgos!F"&amp;AR19+2)," ",INDIRECT("Hallazgos!G"&amp;AR19+2)) &amp; CHAR(10) &amp; CONCATENATE(INDIRECT("Hallazgos!F"&amp;AR19+3)," ",INDIRECT("Hallazgos!G"&amp;AR19+3)) &amp; CHAR(10) &amp; CONCATENATE(INDIRECT("Hallazgos!F"&amp;AR19+4)," ",INDIRECT("Hallazgos!G"&amp;AR19+4)) &amp; CHAR(10) &amp; CONCATENATE(INDIRECT("Hallazgos!F"&amp;AR19+5)," ",INDIRECT("Hallazgos!G"&amp;AR19+5)) &amp; CHAR(10) &amp; CONCATENATE(INDIRECT("Hallazgos!F"&amp;AR19+5)," ",INDIRECT("Hallazgos!G"&amp;AR19+6)) &amp; CHAR(10) &amp; CONCATENATE(INDIRECT("Hallazgos!F"&amp;AR19+7)," ",INDIRECT("Hallazgos!G"&amp;AR19+7)) &amp; CHAR(10) &amp; CONCATENATE(INDIRECT("Hallazgos!F"&amp;AR19+8)," ",INDIRECT("Hallazgos!G"&amp;AR19+8)) &amp; CHAR(10) &amp; INDIRECT("Hallazgos!F"&amp;AR19+9)</f>
        <v/>
      </c>
      <c s="133" r="W19">
        <f>INDIRECT("Hallazgos!H"&amp;AR19)</f>
        <v/>
      </c>
      <c s="87" r="X19">
        <f>IF(W19&lt;4,"Baja",IF(AND(W19&gt;=4,W19&lt;7),"Media","Alta"))</f>
        <v/>
      </c>
      <c s="87" r="Y19">
        <f>INDIRECT("Hallazgos!I"&amp;AR19)</f>
        <v/>
      </c>
      <c s="87" r="Z19" t="n"/>
      <c s="87" r="AA19" t="n"/>
      <c s="87" r="AB19">
        <f>IF(Z19="100% Vulnerado Anteriormente",100/100 *AA19,IF(Z19="75% Fácil de vulnerar",75/100*AA19,IF(Z19="50% Posible de vulnerar",50/100*AA19,IF(Z19="25% Difícil de vulnerar",25/100*AA19,0))))</f>
        <v/>
      </c>
      <c s="87" r="AC19">
        <f>IF(AB19&lt;2,"x &lt; 2 - Tolerable",IF(AND(AB19&gt;=2,AB19&lt;3),"2 &lt;=x &lt; 3 - Moderado","x&gt;= 3 - Critico"))</f>
        <v/>
      </c>
      <c s="87" r="AD19">
        <f>INDIRECT("Hallazgos!O"&amp;AR19)</f>
        <v/>
      </c>
      <c s="87" r="AE19" t="n"/>
      <c s="87" r="AF19" t="n"/>
      <c s="87" r="AG19" t="n"/>
      <c s="87" r="AH19" t="s">
        <v>1493</v>
      </c>
      <c s="87" r="AI19" t="n"/>
      <c s="87" r="AJ19">
        <f>AJ18</f>
        <v/>
      </c>
      <c s="87" r="AK19">
        <f>AK18</f>
        <v/>
      </c>
      <c s="87" r="AL19" t="n"/>
      <c s="87" r="AM19" t="n"/>
      <c s="87" r="AN19" t="n"/>
      <c s="87" r="AO19">
        <f>INDIRECT("Hallazgos!J"&amp;AR19)</f>
        <v/>
      </c>
      <c s="87" r="AP19">
        <f>INDIRECT("Hallazgos!K"&amp;AR19)</f>
        <v/>
      </c>
      <c s="87" r="AQ19">
        <f>INDIRECT("Hallazgos!L"&amp;AR19)</f>
        <v/>
      </c>
      <c s="83" r="AR19">
        <f>AR18+10</f>
        <v/>
      </c>
    </row>
    <row customHeight="1" s="134" r="20" ht="15.75" spans="1:44">
      <c s="87" r="A20">
        <f>A19</f>
        <v/>
      </c>
      <c s="87" r="B20">
        <f>B19</f>
        <v/>
      </c>
      <c s="87" r="C20">
        <f>C19</f>
        <v/>
      </c>
      <c s="87" r="D20">
        <f>D19</f>
        <v/>
      </c>
      <c s="87" r="E20" t="n"/>
      <c s="87" r="F20">
        <f>Inicio!$B$6</f>
        <v/>
      </c>
      <c s="87" r="G20">
        <f>G19</f>
        <v/>
      </c>
      <c s="87" r="H20" t="n"/>
      <c s="87" r="I20">
        <f>INDIRECT("Hallazgos!E"&amp;AR20)</f>
        <v/>
      </c>
      <c s="87" r="J20">
        <f>J19</f>
        <v/>
      </c>
      <c s="87" r="K20">
        <f>Inicio!$B$9</f>
        <v/>
      </c>
      <c s="87" r="L20">
        <f>L19</f>
        <v/>
      </c>
      <c s="87" r="M20" t="n"/>
      <c s="87" r="N20">
        <f>INDIRECT("Hallazgos!B"&amp;AR20)</f>
        <v/>
      </c>
      <c s="87" r="O20">
        <f>INDIRECT("Hallazgos!C"&amp;AR20)</f>
        <v/>
      </c>
      <c s="87" r="P20">
        <f>INDIRECT("Hallazgos!D"&amp;AR20)</f>
        <v/>
      </c>
      <c s="87" r="Q20" t="n"/>
      <c s="87" r="R20" t="n"/>
      <c s="87" r="S20">
        <f>INDIRECT("Hallazgos!N"&amp;AR20)</f>
        <v/>
      </c>
      <c s="87" r="T20" t="n"/>
      <c s="87" r="U20">
        <f>U19</f>
        <v/>
      </c>
      <c s="87" r="V20">
        <f>CONCATENATE(INDIRECT("Hallazgos!F"&amp;AR20)," ",INDIRECT("Hallazgos!G"&amp;AR20)) &amp; CHAR(10) &amp; CONCATENATE(INDIRECT("Hallazgos!F"&amp;AR20+1)," ",INDIRECT("Hallazgos!G"&amp;AR20+1)) &amp; CHAR(10) &amp; CONCATENATE(INDIRECT("Hallazgos!F"&amp;AR20+2)," ",INDIRECT("Hallazgos!G"&amp;AR20+2)) &amp; CHAR(10) &amp; CONCATENATE(INDIRECT("Hallazgos!F"&amp;AR20+3)," ",INDIRECT("Hallazgos!G"&amp;AR20+3)) &amp; CHAR(10) &amp; CONCATENATE(INDIRECT("Hallazgos!F"&amp;AR20+4)," ",INDIRECT("Hallazgos!G"&amp;AR20+4)) &amp; CHAR(10) &amp; CONCATENATE(INDIRECT("Hallazgos!F"&amp;AR20+5)," ",INDIRECT("Hallazgos!G"&amp;AR20+5)) &amp; CHAR(10) &amp; CONCATENATE(INDIRECT("Hallazgos!F"&amp;AR20+5)," ",INDIRECT("Hallazgos!G"&amp;AR20+6)) &amp; CHAR(10) &amp; CONCATENATE(INDIRECT("Hallazgos!F"&amp;AR20+7)," ",INDIRECT("Hallazgos!G"&amp;AR20+7)) &amp; CHAR(10) &amp; CONCATENATE(INDIRECT("Hallazgos!F"&amp;AR20+8)," ",INDIRECT("Hallazgos!G"&amp;AR20+8)) &amp; CHAR(10) &amp; INDIRECT("Hallazgos!F"&amp;AR20+9)</f>
        <v/>
      </c>
      <c s="133" r="W20">
        <f>INDIRECT("Hallazgos!H"&amp;AR20)</f>
        <v/>
      </c>
      <c s="87" r="X20">
        <f>IF(W20&lt;4,"Baja",IF(AND(W20&gt;=4,W20&lt;7),"Media","Alta"))</f>
        <v/>
      </c>
      <c s="87" r="Y20">
        <f>INDIRECT("Hallazgos!I"&amp;AR20)</f>
        <v/>
      </c>
      <c s="87" r="Z20" t="n"/>
      <c s="87" r="AA20" t="n"/>
      <c s="87" r="AB20">
        <f>IF(Z20="100% Vulnerado Anteriormente",100/100 *AA20,IF(Z20="75% Fácil de vulnerar",75/100*AA20,IF(Z20="50% Posible de vulnerar",50/100*AA20,IF(Z20="25% Difícil de vulnerar",25/100*AA20,0))))</f>
        <v/>
      </c>
      <c s="87" r="AC20">
        <f>IF(AB20&lt;2,"x &lt; 2 - Tolerable",IF(AND(AB20&gt;=2,AB20&lt;3),"2 &lt;=x &lt; 3 - Moderado","x&gt;= 3 - Critico"))</f>
        <v/>
      </c>
      <c s="87" r="AD20">
        <f>INDIRECT("Hallazgos!O"&amp;AR20)</f>
        <v/>
      </c>
      <c s="87" r="AE20" t="n"/>
      <c s="87" r="AF20" t="n"/>
      <c s="87" r="AG20" t="n"/>
      <c s="87" r="AH20" t="s">
        <v>1493</v>
      </c>
      <c s="87" r="AI20" t="n"/>
      <c s="87" r="AJ20">
        <f>AJ19</f>
        <v/>
      </c>
      <c s="87" r="AK20">
        <f>AK19</f>
        <v/>
      </c>
      <c s="87" r="AL20" t="n"/>
      <c s="87" r="AM20" t="n"/>
      <c s="87" r="AN20" t="n"/>
      <c s="87" r="AO20">
        <f>INDIRECT("Hallazgos!J"&amp;AR20)</f>
        <v/>
      </c>
      <c s="87" r="AP20">
        <f>INDIRECT("Hallazgos!K"&amp;AR20)</f>
        <v/>
      </c>
      <c s="87" r="AQ20">
        <f>INDIRECT("Hallazgos!L"&amp;AR20)</f>
        <v/>
      </c>
      <c s="83" r="AR20">
        <f>AR19+10</f>
        <v/>
      </c>
    </row>
    <row customHeight="1" s="134" r="21" ht="15.75" spans="1:44">
      <c s="87" r="A21">
        <f>A20</f>
        <v/>
      </c>
      <c s="87" r="B21">
        <f>B20</f>
        <v/>
      </c>
      <c s="87" r="C21">
        <f>C20</f>
        <v/>
      </c>
      <c s="87" r="D21">
        <f>D20</f>
        <v/>
      </c>
      <c s="87" r="E21" t="n"/>
      <c s="87" r="F21">
        <f>Inicio!$B$6</f>
        <v/>
      </c>
      <c s="87" r="G21">
        <f>G20</f>
        <v/>
      </c>
      <c s="87" r="H21" t="n"/>
      <c s="87" r="I21">
        <f>INDIRECT("Hallazgos!E"&amp;AR21)</f>
        <v/>
      </c>
      <c s="87" r="J21">
        <f>J20</f>
        <v/>
      </c>
      <c s="87" r="K21">
        <f>Inicio!$B$9</f>
        <v/>
      </c>
      <c s="87" r="L21">
        <f>L20</f>
        <v/>
      </c>
      <c s="87" r="M21" t="n"/>
      <c s="87" r="N21">
        <f>INDIRECT("Hallazgos!B"&amp;AR21)</f>
        <v/>
      </c>
      <c s="87" r="O21">
        <f>INDIRECT("Hallazgos!C"&amp;AR21)</f>
        <v/>
      </c>
      <c s="87" r="P21">
        <f>INDIRECT("Hallazgos!D"&amp;AR21)</f>
        <v/>
      </c>
      <c s="87" r="Q21" t="n"/>
      <c s="87" r="R21" t="n"/>
      <c s="87" r="S21">
        <f>INDIRECT("Hallazgos!N"&amp;AR21)</f>
        <v/>
      </c>
      <c s="87" r="T21" t="n"/>
      <c s="87" r="U21">
        <f>U20</f>
        <v/>
      </c>
      <c s="87" r="V21">
        <f>CONCATENATE(INDIRECT("Hallazgos!F"&amp;AR21)," ",INDIRECT("Hallazgos!G"&amp;AR21)) &amp; CHAR(10) &amp; CONCATENATE(INDIRECT("Hallazgos!F"&amp;AR21+1)," ",INDIRECT("Hallazgos!G"&amp;AR21+1)) &amp; CHAR(10) &amp; CONCATENATE(INDIRECT("Hallazgos!F"&amp;AR21+2)," ",INDIRECT("Hallazgos!G"&amp;AR21+2)) &amp; CHAR(10) &amp; CONCATENATE(INDIRECT("Hallazgos!F"&amp;AR21+3)," ",INDIRECT("Hallazgos!G"&amp;AR21+3)) &amp; CHAR(10) &amp; CONCATENATE(INDIRECT("Hallazgos!F"&amp;AR21+4)," ",INDIRECT("Hallazgos!G"&amp;AR21+4)) &amp; CHAR(10) &amp; CONCATENATE(INDIRECT("Hallazgos!F"&amp;AR21+5)," ",INDIRECT("Hallazgos!G"&amp;AR21+5)) &amp; CHAR(10) &amp; CONCATENATE(INDIRECT("Hallazgos!F"&amp;AR21+5)," ",INDIRECT("Hallazgos!G"&amp;AR21+6)) &amp; CHAR(10) &amp; CONCATENATE(INDIRECT("Hallazgos!F"&amp;AR21+7)," ",INDIRECT("Hallazgos!G"&amp;AR21+7)) &amp; CHAR(10) &amp; CONCATENATE(INDIRECT("Hallazgos!F"&amp;AR21+8)," ",INDIRECT("Hallazgos!G"&amp;AR21+8)) &amp; CHAR(10) &amp; INDIRECT("Hallazgos!F"&amp;AR21+9)</f>
        <v/>
      </c>
      <c s="133" r="W21">
        <f>INDIRECT("Hallazgos!H"&amp;AR21)</f>
        <v/>
      </c>
      <c s="87" r="X21">
        <f>IF(W21&lt;4,"Baja",IF(AND(W21&gt;=4,W21&lt;7),"Media","Alta"))</f>
        <v/>
      </c>
      <c s="87" r="Y21">
        <f>INDIRECT("Hallazgos!I"&amp;AR21)</f>
        <v/>
      </c>
      <c s="87" r="Z21" t="n"/>
      <c s="87" r="AA21" t="n"/>
      <c s="87" r="AB21">
        <f>IF(Z21="100% Vulnerado Anteriormente",100/100 *AA21,IF(Z21="75% Fácil de vulnerar",75/100*AA21,IF(Z21="50% Posible de vulnerar",50/100*AA21,IF(Z21="25% Difícil de vulnerar",25/100*AA21,0))))</f>
        <v/>
      </c>
      <c s="87" r="AC21">
        <f>IF(AB21&lt;2,"x &lt; 2 - Tolerable",IF(AND(AB21&gt;=2,AB21&lt;3),"2 &lt;=x &lt; 3 - Moderado","x&gt;= 3 - Critico"))</f>
        <v/>
      </c>
      <c s="87" r="AD21">
        <f>INDIRECT("Hallazgos!O"&amp;AR21)</f>
        <v/>
      </c>
      <c s="87" r="AE21" t="n"/>
      <c s="87" r="AF21" t="n"/>
      <c s="87" r="AG21" t="n"/>
      <c s="87" r="AH21" t="s">
        <v>1493</v>
      </c>
      <c s="87" r="AI21" t="n"/>
      <c s="87" r="AJ21">
        <f>AJ20</f>
        <v/>
      </c>
      <c s="87" r="AK21">
        <f>AK20</f>
        <v/>
      </c>
      <c s="87" r="AL21" t="n"/>
      <c s="87" r="AM21" t="n"/>
      <c s="87" r="AN21" t="n"/>
      <c s="87" r="AO21">
        <f>INDIRECT("Hallazgos!J"&amp;AR21)</f>
        <v/>
      </c>
      <c s="87" r="AP21">
        <f>INDIRECT("Hallazgos!K"&amp;AR21)</f>
        <v/>
      </c>
      <c s="87" r="AQ21">
        <f>INDIRECT("Hallazgos!L"&amp;AR21)</f>
        <v/>
      </c>
      <c s="83" r="AR21">
        <f>AR20+10</f>
        <v/>
      </c>
    </row>
    <row customHeight="1" s="134" r="22" ht="15.75" spans="1:44">
      <c s="87" r="A22">
        <f>A21</f>
        <v/>
      </c>
      <c s="87" r="B22">
        <f>B21</f>
        <v/>
      </c>
      <c s="87" r="C22">
        <f>C21</f>
        <v/>
      </c>
      <c s="87" r="D22">
        <f>D21</f>
        <v/>
      </c>
      <c s="87" r="E22" t="n"/>
      <c s="87" r="F22">
        <f>Inicio!$B$6</f>
        <v/>
      </c>
      <c s="87" r="G22">
        <f>G21</f>
        <v/>
      </c>
      <c s="87" r="H22" t="n"/>
      <c s="87" r="I22">
        <f>INDIRECT("Hallazgos!E"&amp;AR22)</f>
        <v/>
      </c>
      <c s="87" r="J22">
        <f>J21</f>
        <v/>
      </c>
      <c s="87" r="K22">
        <f>Inicio!$B$9</f>
        <v/>
      </c>
      <c s="87" r="L22">
        <f>L21</f>
        <v/>
      </c>
      <c s="87" r="M22" t="n"/>
      <c s="87" r="N22">
        <f>INDIRECT("Hallazgos!B"&amp;AR22)</f>
        <v/>
      </c>
      <c s="87" r="O22">
        <f>INDIRECT("Hallazgos!C"&amp;AR22)</f>
        <v/>
      </c>
      <c s="87" r="P22">
        <f>INDIRECT("Hallazgos!D"&amp;AR22)</f>
        <v/>
      </c>
      <c s="87" r="Q22" t="n"/>
      <c s="87" r="R22" t="n"/>
      <c s="87" r="S22">
        <f>INDIRECT("Hallazgos!N"&amp;AR22)</f>
        <v/>
      </c>
      <c s="87" r="T22" t="n"/>
      <c s="87" r="U22">
        <f>U21</f>
        <v/>
      </c>
      <c s="87" r="V22">
        <f>CONCATENATE(INDIRECT("Hallazgos!F"&amp;AR22)," ",INDIRECT("Hallazgos!G"&amp;AR22)) &amp; CHAR(10) &amp; CONCATENATE(INDIRECT("Hallazgos!F"&amp;AR22+1)," ",INDIRECT("Hallazgos!G"&amp;AR22+1)) &amp; CHAR(10) &amp; CONCATENATE(INDIRECT("Hallazgos!F"&amp;AR22+2)," ",INDIRECT("Hallazgos!G"&amp;AR22+2)) &amp; CHAR(10) &amp; CONCATENATE(INDIRECT("Hallazgos!F"&amp;AR22+3)," ",INDIRECT("Hallazgos!G"&amp;AR22+3)) &amp; CHAR(10) &amp; CONCATENATE(INDIRECT("Hallazgos!F"&amp;AR22+4)," ",INDIRECT("Hallazgos!G"&amp;AR22+4)) &amp; CHAR(10) &amp; CONCATENATE(INDIRECT("Hallazgos!F"&amp;AR22+5)," ",INDIRECT("Hallazgos!G"&amp;AR22+5)) &amp; CHAR(10) &amp; CONCATENATE(INDIRECT("Hallazgos!F"&amp;AR22+5)," ",INDIRECT("Hallazgos!G"&amp;AR22+6)) &amp; CHAR(10) &amp; CONCATENATE(INDIRECT("Hallazgos!F"&amp;AR22+7)," ",INDIRECT("Hallazgos!G"&amp;AR22+7)) &amp; CHAR(10) &amp; CONCATENATE(INDIRECT("Hallazgos!F"&amp;AR22+8)," ",INDIRECT("Hallazgos!G"&amp;AR22+8)) &amp; CHAR(10) &amp; INDIRECT("Hallazgos!F"&amp;AR22+9)</f>
        <v/>
      </c>
      <c s="87" r="W22">
        <f>INDIRECT("Hallazgos!H"&amp;AR22)</f>
        <v/>
      </c>
      <c s="87" r="X22">
        <f>IF(W22&lt;4,"Baja",IF(AND(W22&gt;=4,W22&lt;7),"Media","Alta"))</f>
        <v/>
      </c>
      <c s="87" r="Y22">
        <f>INDIRECT("Hallazgos!I"&amp;AR22)</f>
        <v/>
      </c>
      <c s="87" r="Z22" t="n"/>
      <c s="87" r="AA22" t="n"/>
      <c s="87" r="AB22">
        <f>IF(Z22="100% Vulnerado Anteriormente",100/100 *AA22,IF(Z22="75% Fácil de vulnerar",75/100*AA22,IF(Z22="50% Posible de vulnerar",50/100*AA22,IF(Z22="25% Difícil de vulnerar",25/100*AA22,0))))</f>
        <v/>
      </c>
      <c s="87" r="AC22">
        <f>IF(AB22&lt;2,"x &lt; 2 - Tolerable",IF(AND(AB22&gt;=2,AB22&lt;3),"2 &lt;=x &lt; 3 - Moderado","x&gt;= 3 - Critico"))</f>
        <v/>
      </c>
      <c s="87" r="AD22">
        <f>INDIRECT("Hallazgos!O"&amp;AR22)</f>
        <v/>
      </c>
      <c s="87" r="AE22" t="n"/>
      <c s="87" r="AF22" t="n"/>
      <c s="87" r="AG22" t="n"/>
      <c s="87" r="AH22" t="s">
        <v>1493</v>
      </c>
      <c s="87" r="AI22" t="n"/>
      <c s="87" r="AJ22">
        <f>AJ21</f>
        <v/>
      </c>
      <c s="87" r="AK22">
        <f>AK21</f>
        <v/>
      </c>
      <c s="87" r="AL22" t="n"/>
      <c s="87" r="AM22" t="n"/>
      <c s="87" r="AN22" t="n"/>
      <c s="87" r="AO22">
        <f>INDIRECT("Hallazgos!J"&amp;AR22)</f>
        <v/>
      </c>
      <c s="87" r="AP22">
        <f>INDIRECT("Hallazgos!K"&amp;AR22)</f>
        <v/>
      </c>
      <c s="87" r="AQ22">
        <f>INDIRECT("Hallazgos!L"&amp;AR22)</f>
        <v/>
      </c>
      <c s="83" r="AR22">
        <f>AR21+10</f>
        <v/>
      </c>
    </row>
    <row customHeight="1" s="134" r="23" ht="15.75" spans="1:44">
      <c s="87" r="A23">
        <f>A22</f>
        <v/>
      </c>
      <c s="87" r="B23">
        <f>B22</f>
        <v/>
      </c>
      <c s="87" r="C23">
        <f>C22</f>
        <v/>
      </c>
      <c s="87" r="D23">
        <f>D22</f>
        <v/>
      </c>
      <c s="87" r="E23" t="n"/>
      <c s="87" r="F23">
        <f>Inicio!$B$6</f>
        <v/>
      </c>
      <c s="87" r="G23">
        <f>G22</f>
        <v/>
      </c>
      <c s="87" r="H23" t="n"/>
      <c s="87" r="I23">
        <f>INDIRECT("Hallazgos!E"&amp;AR23)</f>
        <v/>
      </c>
      <c s="87" r="J23">
        <f>J22</f>
        <v/>
      </c>
      <c s="87" r="K23">
        <f>Inicio!$B$9</f>
        <v/>
      </c>
      <c s="87" r="L23">
        <f>L22</f>
        <v/>
      </c>
      <c s="87" r="M23" t="n"/>
      <c s="87" r="N23">
        <f>INDIRECT("Hallazgos!B"&amp;AR23)</f>
        <v/>
      </c>
      <c s="87" r="O23">
        <f>INDIRECT("Hallazgos!C"&amp;AR23)</f>
        <v/>
      </c>
      <c s="87" r="P23">
        <f>INDIRECT("Hallazgos!D"&amp;AR23)</f>
        <v/>
      </c>
      <c s="87" r="Q23" t="n"/>
      <c s="87" r="R23" t="n"/>
      <c s="87" r="S23">
        <f>INDIRECT("Hallazgos!N"&amp;AR23)</f>
        <v/>
      </c>
      <c s="87" r="T23" t="n"/>
      <c s="87" r="U23">
        <f>U22</f>
        <v/>
      </c>
      <c s="87" r="V23">
        <f>CONCATENATE(INDIRECT("Hallazgos!F"&amp;AR23)," ",INDIRECT("Hallazgos!G"&amp;AR23)) &amp; CHAR(10) &amp; CONCATENATE(INDIRECT("Hallazgos!F"&amp;AR23+1)," ",INDIRECT("Hallazgos!G"&amp;AR23+1)) &amp; CHAR(10) &amp; CONCATENATE(INDIRECT("Hallazgos!F"&amp;AR23+2)," ",INDIRECT("Hallazgos!G"&amp;AR23+2)) &amp; CHAR(10) &amp; CONCATENATE(INDIRECT("Hallazgos!F"&amp;AR23+3)," ",INDIRECT("Hallazgos!G"&amp;AR23+3)) &amp; CHAR(10) &amp; CONCATENATE(INDIRECT("Hallazgos!F"&amp;AR23+4)," ",INDIRECT("Hallazgos!G"&amp;AR23+4)) &amp; CHAR(10) &amp; CONCATENATE(INDIRECT("Hallazgos!F"&amp;AR23+5)," ",INDIRECT("Hallazgos!G"&amp;AR23+5)) &amp; CHAR(10) &amp; CONCATENATE(INDIRECT("Hallazgos!F"&amp;AR23+5)," ",INDIRECT("Hallazgos!G"&amp;AR23+6)) &amp; CHAR(10) &amp; CONCATENATE(INDIRECT("Hallazgos!F"&amp;AR23+7)," ",INDIRECT("Hallazgos!G"&amp;AR23+7)) &amp; CHAR(10) &amp; CONCATENATE(INDIRECT("Hallazgos!F"&amp;AR23+8)," ",INDIRECT("Hallazgos!G"&amp;AR23+8)) &amp; CHAR(10) &amp; INDIRECT("Hallazgos!F"&amp;AR23+9)</f>
        <v/>
      </c>
      <c s="87" r="W23">
        <f>INDIRECT("Hallazgos!H"&amp;AR23)</f>
        <v/>
      </c>
      <c s="87" r="X23">
        <f>IF(W23&lt;4,"Baja",IF(AND(W23&gt;=4,W23&lt;7),"Media","Alta"))</f>
        <v/>
      </c>
      <c s="87" r="Y23">
        <f>INDIRECT("Hallazgos!I"&amp;AR23)</f>
        <v/>
      </c>
      <c s="87" r="Z23" t="n"/>
      <c s="87" r="AA23" t="n"/>
      <c s="87" r="AB23">
        <f>IF(Z23="100% Vulnerado Anteriormente",100/100 *AA23,IF(Z23="75% Fácil de vulnerar",75/100*AA23,IF(Z23="50% Posible de vulnerar",50/100*AA23,IF(Z23="25% Difícil de vulnerar",25/100*AA23,0))))</f>
        <v/>
      </c>
      <c s="87" r="AC23">
        <f>IF(AB23&lt;2,"x &lt; 2 - Tolerable",IF(AND(AB23&gt;=2,AB23&lt;3),"2 &lt;=x &lt; 3 - Moderado","x&gt;= 3 - Critico"))</f>
        <v/>
      </c>
      <c s="87" r="AD23">
        <f>INDIRECT("Hallazgos!O"&amp;AR23)</f>
        <v/>
      </c>
      <c s="87" r="AE23" t="n"/>
      <c s="87" r="AF23" t="n"/>
      <c s="87" r="AG23" t="n"/>
      <c s="87" r="AH23" t="s">
        <v>1493</v>
      </c>
      <c s="87" r="AI23" t="n"/>
      <c s="87" r="AJ23">
        <f>AJ22</f>
        <v/>
      </c>
      <c s="87" r="AK23">
        <f>AK22</f>
        <v/>
      </c>
      <c s="87" r="AL23" t="n"/>
      <c s="87" r="AM23" t="n"/>
      <c s="87" r="AN23" t="n"/>
      <c s="87" r="AO23">
        <f>INDIRECT("Hallazgos!J"&amp;AR23)</f>
        <v/>
      </c>
      <c s="87" r="AP23">
        <f>INDIRECT("Hallazgos!K"&amp;AR23)</f>
        <v/>
      </c>
      <c s="87" r="AQ23">
        <f>INDIRECT("Hallazgos!L"&amp;AR23)</f>
        <v/>
      </c>
      <c s="83" r="AR23">
        <f>AR22+10</f>
        <v/>
      </c>
    </row>
    <row customHeight="1" s="134" r="24" ht="15.75" spans="1:44">
      <c s="87" r="A24">
        <f>A23</f>
        <v/>
      </c>
      <c s="87" r="B24">
        <f>B23</f>
        <v/>
      </c>
      <c s="87" r="C24">
        <f>C23</f>
        <v/>
      </c>
      <c s="87" r="D24">
        <f>D23</f>
        <v/>
      </c>
      <c s="87" r="E24" t="n"/>
      <c s="87" r="F24">
        <f>Inicio!$B$6</f>
        <v/>
      </c>
      <c s="87" r="G24">
        <f>G23</f>
        <v/>
      </c>
      <c s="87" r="H24" t="n"/>
      <c s="87" r="I24">
        <f>INDIRECT("Hallazgos!E"&amp;AR24)</f>
        <v/>
      </c>
      <c s="87" r="J24">
        <f>J23</f>
        <v/>
      </c>
      <c s="87" r="K24">
        <f>Inicio!$B$9</f>
        <v/>
      </c>
      <c s="87" r="L24">
        <f>L23</f>
        <v/>
      </c>
      <c s="87" r="M24" t="n"/>
      <c s="87" r="N24">
        <f>INDIRECT("Hallazgos!B"&amp;AR24)</f>
        <v/>
      </c>
      <c s="87" r="O24">
        <f>INDIRECT("Hallazgos!C"&amp;AR24)</f>
        <v/>
      </c>
      <c s="87" r="P24">
        <f>INDIRECT("Hallazgos!D"&amp;AR24)</f>
        <v/>
      </c>
      <c s="87" r="Q24" t="n"/>
      <c s="87" r="R24" t="n"/>
      <c s="87" r="S24">
        <f>INDIRECT("Hallazgos!N"&amp;AR24)</f>
        <v/>
      </c>
      <c s="87" r="T24" t="n"/>
      <c s="87" r="U24">
        <f>U23</f>
        <v/>
      </c>
      <c s="87" r="V24">
        <f>CONCATENATE(INDIRECT("Hallazgos!F"&amp;AR24)," ",INDIRECT("Hallazgos!G"&amp;AR24)) &amp; CHAR(10) &amp; CONCATENATE(INDIRECT("Hallazgos!F"&amp;AR24+1)," ",INDIRECT("Hallazgos!G"&amp;AR24+1)) &amp; CHAR(10) &amp; CONCATENATE(INDIRECT("Hallazgos!F"&amp;AR24+2)," ",INDIRECT("Hallazgos!G"&amp;AR24+2)) &amp; CHAR(10) &amp; CONCATENATE(INDIRECT("Hallazgos!F"&amp;AR24+3)," ",INDIRECT("Hallazgos!G"&amp;AR24+3)) &amp; CHAR(10) &amp; CONCATENATE(INDIRECT("Hallazgos!F"&amp;AR24+4)," ",INDIRECT("Hallazgos!G"&amp;AR24+4)) &amp; CHAR(10) &amp; CONCATENATE(INDIRECT("Hallazgos!F"&amp;AR24+5)," ",INDIRECT("Hallazgos!G"&amp;AR24+5)) &amp; CHAR(10) &amp; CONCATENATE(INDIRECT("Hallazgos!F"&amp;AR24+5)," ",INDIRECT("Hallazgos!G"&amp;AR24+6)) &amp; CHAR(10) &amp; CONCATENATE(INDIRECT("Hallazgos!F"&amp;AR24+7)," ",INDIRECT("Hallazgos!G"&amp;AR24+7)) &amp; CHAR(10) &amp; CONCATENATE(INDIRECT("Hallazgos!F"&amp;AR24+8)," ",INDIRECT("Hallazgos!G"&amp;AR24+8)) &amp; CHAR(10) &amp; INDIRECT("Hallazgos!F"&amp;AR24+9)</f>
        <v/>
      </c>
      <c s="87" r="W24">
        <f>INDIRECT("Hallazgos!H"&amp;AR24)</f>
        <v/>
      </c>
      <c s="87" r="X24">
        <f>IF(W24&lt;4,"Baja",IF(AND(W24&gt;=4,W24&lt;7),"Media","Alta"))</f>
        <v/>
      </c>
      <c s="87" r="Y24">
        <f>INDIRECT("Hallazgos!I"&amp;AR24)</f>
        <v/>
      </c>
      <c s="87" r="Z24" t="n"/>
      <c s="87" r="AA24" t="n"/>
      <c s="87" r="AB24">
        <f>IF(Z24="100% Vulnerado Anteriormente",100/100 *AA24,IF(Z24="75% Fácil de vulnerar",75/100*AA24,IF(Z24="50% Posible de vulnerar",50/100*AA24,IF(Z24="25% Difícil de vulnerar",25/100*AA24,0))))</f>
        <v/>
      </c>
      <c s="87" r="AC24">
        <f>IF(AB24&lt;2,"x &lt; 2 - Tolerable",IF(AND(AB24&gt;=2,AB24&lt;3),"2 &lt;=x &lt; 3 - Moderado","x&gt;= 3 - Critico"))</f>
        <v/>
      </c>
      <c s="87" r="AD24">
        <f>INDIRECT("Hallazgos!O"&amp;AR24)</f>
        <v/>
      </c>
      <c s="87" r="AE24" t="n"/>
      <c s="87" r="AF24" t="n"/>
      <c s="87" r="AG24" t="n"/>
      <c s="87" r="AH24" t="s">
        <v>1493</v>
      </c>
      <c s="87" r="AI24" t="n"/>
      <c s="87" r="AJ24">
        <f>AJ23</f>
        <v/>
      </c>
      <c s="87" r="AK24">
        <f>AK23</f>
        <v/>
      </c>
      <c s="87" r="AL24" t="n"/>
      <c s="87" r="AM24" t="n"/>
      <c s="87" r="AN24" t="n"/>
      <c s="87" r="AO24">
        <f>INDIRECT("Hallazgos!J"&amp;AR24)</f>
        <v/>
      </c>
      <c s="87" r="AP24">
        <f>INDIRECT("Hallazgos!K"&amp;AR24)</f>
        <v/>
      </c>
      <c s="87" r="AQ24">
        <f>INDIRECT("Hallazgos!L"&amp;AR24)</f>
        <v/>
      </c>
      <c s="83" r="AR24">
        <f>AR23+10</f>
        <v/>
      </c>
    </row>
    <row customHeight="1" s="134" r="25" ht="15.75" spans="1:44">
      <c s="87" r="A25">
        <f>A24</f>
        <v/>
      </c>
      <c s="87" r="B25">
        <f>B24</f>
        <v/>
      </c>
      <c s="87" r="C25">
        <f>C24</f>
        <v/>
      </c>
      <c s="87" r="D25">
        <f>D24</f>
        <v/>
      </c>
      <c s="87" r="E25" t="n"/>
      <c s="87" r="F25">
        <f>Inicio!$B$6</f>
        <v/>
      </c>
      <c s="87" r="G25">
        <f>G24</f>
        <v/>
      </c>
      <c s="87" r="H25" t="n"/>
      <c s="87" r="I25">
        <f>INDIRECT("Hallazgos!E"&amp;AR25)</f>
        <v/>
      </c>
      <c s="87" r="J25">
        <f>J24</f>
        <v/>
      </c>
      <c s="87" r="K25">
        <f>Inicio!$B$9</f>
        <v/>
      </c>
      <c s="87" r="L25">
        <f>L24</f>
        <v/>
      </c>
      <c s="87" r="M25" t="n"/>
      <c s="87" r="N25">
        <f>INDIRECT("Hallazgos!B"&amp;AR25)</f>
        <v/>
      </c>
      <c s="87" r="O25">
        <f>INDIRECT("Hallazgos!C"&amp;AR25)</f>
        <v/>
      </c>
      <c s="87" r="P25">
        <f>INDIRECT("Hallazgos!D"&amp;AR25)</f>
        <v/>
      </c>
      <c s="87" r="Q25" t="n"/>
      <c s="87" r="R25" t="n"/>
      <c s="87" r="S25">
        <f>INDIRECT("Hallazgos!N"&amp;AR25)</f>
        <v/>
      </c>
      <c s="87" r="T25" t="n"/>
      <c s="87" r="U25">
        <f>U24</f>
        <v/>
      </c>
      <c s="87" r="V25">
        <f>CONCATENATE(INDIRECT("Hallazgos!F"&amp;AR25)," ",INDIRECT("Hallazgos!G"&amp;AR25)) &amp; CHAR(10) &amp; CONCATENATE(INDIRECT("Hallazgos!F"&amp;AR25+1)," ",INDIRECT("Hallazgos!G"&amp;AR25+1)) &amp; CHAR(10) &amp; CONCATENATE(INDIRECT("Hallazgos!F"&amp;AR25+2)," ",INDIRECT("Hallazgos!G"&amp;AR25+2)) &amp; CHAR(10) &amp; CONCATENATE(INDIRECT("Hallazgos!F"&amp;AR25+3)," ",INDIRECT("Hallazgos!G"&amp;AR25+3)) &amp; CHAR(10) &amp; CONCATENATE(INDIRECT("Hallazgos!F"&amp;AR25+4)," ",INDIRECT("Hallazgos!G"&amp;AR25+4)) &amp; CHAR(10) &amp; CONCATENATE(INDIRECT("Hallazgos!F"&amp;AR25+5)," ",INDIRECT("Hallazgos!G"&amp;AR25+5)) &amp; CHAR(10) &amp; CONCATENATE(INDIRECT("Hallazgos!F"&amp;AR25+5)," ",INDIRECT("Hallazgos!G"&amp;AR25+6)) &amp; CHAR(10) &amp; CONCATENATE(INDIRECT("Hallazgos!F"&amp;AR25+7)," ",INDIRECT("Hallazgos!G"&amp;AR25+7)) &amp; CHAR(10) &amp; CONCATENATE(INDIRECT("Hallazgos!F"&amp;AR25+8)," ",INDIRECT("Hallazgos!G"&amp;AR25+8)) &amp; CHAR(10) &amp; INDIRECT("Hallazgos!F"&amp;AR25+9)</f>
        <v/>
      </c>
      <c s="87" r="W25">
        <f>INDIRECT("Hallazgos!H"&amp;AR25)</f>
        <v/>
      </c>
      <c s="87" r="X25">
        <f>IF(W25&lt;4,"Baja",IF(AND(W25&gt;=4,W25&lt;7),"Media","Alta"))</f>
        <v/>
      </c>
      <c s="87" r="Y25">
        <f>INDIRECT("Hallazgos!I"&amp;AR25)</f>
        <v/>
      </c>
      <c s="87" r="Z25" t="n"/>
      <c s="87" r="AA25" t="n"/>
      <c s="87" r="AB25">
        <f>IF(Z25="100% Vulnerado Anteriormente",100/100 *AA25,IF(Z25="75% Fácil de vulnerar",75/100*AA25,IF(Z25="50% Posible de vulnerar",50/100*AA25,IF(Z25="25% Difícil de vulnerar",25/100*AA25,0))))</f>
        <v/>
      </c>
      <c s="87" r="AC25">
        <f>IF(AB25&lt;2,"x &lt; 2 - Tolerable",IF(AND(AB25&gt;=2,AB25&lt;3),"2 &lt;=x &lt; 3 - Moderado","x&gt;= 3 - Critico"))</f>
        <v/>
      </c>
      <c s="87" r="AD25">
        <f>INDIRECT("Hallazgos!O"&amp;AR25)</f>
        <v/>
      </c>
      <c s="87" r="AE25" t="n"/>
      <c s="87" r="AF25" t="n"/>
      <c s="87" r="AG25" t="n"/>
      <c s="87" r="AH25" t="s">
        <v>1493</v>
      </c>
      <c s="87" r="AI25" t="n"/>
      <c s="87" r="AJ25">
        <f>AJ24</f>
        <v/>
      </c>
      <c s="87" r="AK25">
        <f>AK24</f>
        <v/>
      </c>
      <c s="87" r="AL25" t="n"/>
      <c s="87" r="AM25" t="n"/>
      <c s="87" r="AN25" t="n"/>
      <c s="87" r="AO25">
        <f>INDIRECT("Hallazgos!J"&amp;AR25)</f>
        <v/>
      </c>
      <c s="87" r="AP25">
        <f>INDIRECT("Hallazgos!K"&amp;AR25)</f>
        <v/>
      </c>
      <c s="87" r="AQ25">
        <f>INDIRECT("Hallazgos!L"&amp;AR25)</f>
        <v/>
      </c>
      <c s="83" r="AR25">
        <f>AR24+10</f>
        <v/>
      </c>
    </row>
    <row customHeight="1" s="134" r="26" ht="15.75" spans="1:44">
      <c s="87" r="A26">
        <f>A25</f>
        <v/>
      </c>
      <c s="87" r="B26">
        <f>B25</f>
        <v/>
      </c>
      <c s="87" r="C26">
        <f>C25</f>
        <v/>
      </c>
      <c s="87" r="D26">
        <f>D25</f>
        <v/>
      </c>
      <c s="87" r="E26" t="n"/>
      <c s="87" r="F26">
        <f>Inicio!$B$6</f>
        <v/>
      </c>
      <c s="87" r="G26">
        <f>G25</f>
        <v/>
      </c>
      <c s="87" r="H26" t="n"/>
      <c s="87" r="I26">
        <f>INDIRECT("Hallazgos!E"&amp;AR26)</f>
        <v/>
      </c>
      <c s="87" r="J26">
        <f>J25</f>
        <v/>
      </c>
      <c s="87" r="K26">
        <f>Inicio!$B$9</f>
        <v/>
      </c>
      <c s="87" r="L26">
        <f>L25</f>
        <v/>
      </c>
      <c s="87" r="M26" t="n"/>
      <c s="87" r="N26">
        <f>INDIRECT("Hallazgos!B"&amp;AR26)</f>
        <v/>
      </c>
      <c s="87" r="O26">
        <f>INDIRECT("Hallazgos!C"&amp;AR26)</f>
        <v/>
      </c>
      <c s="87" r="P26">
        <f>INDIRECT("Hallazgos!D"&amp;AR26)</f>
        <v/>
      </c>
      <c s="87" r="Q26" t="n"/>
      <c s="87" r="R26" t="n"/>
      <c s="87" r="S26">
        <f>INDIRECT("Hallazgos!N"&amp;AR26)</f>
        <v/>
      </c>
      <c s="87" r="T26" t="n"/>
      <c s="87" r="U26">
        <f>U25</f>
        <v/>
      </c>
      <c s="87" r="V26">
        <f>CONCATENATE(INDIRECT("Hallazgos!F"&amp;AR26)," ",INDIRECT("Hallazgos!G"&amp;AR26)) &amp; CHAR(10) &amp; CONCATENATE(INDIRECT("Hallazgos!F"&amp;AR26+1)," ",INDIRECT("Hallazgos!G"&amp;AR26+1)) &amp; CHAR(10) &amp; CONCATENATE(INDIRECT("Hallazgos!F"&amp;AR26+2)," ",INDIRECT("Hallazgos!G"&amp;AR26+2)) &amp; CHAR(10) &amp; CONCATENATE(INDIRECT("Hallazgos!F"&amp;AR26+3)," ",INDIRECT("Hallazgos!G"&amp;AR26+3)) &amp; CHAR(10) &amp; CONCATENATE(INDIRECT("Hallazgos!F"&amp;AR26+4)," ",INDIRECT("Hallazgos!G"&amp;AR26+4)) &amp; CHAR(10) &amp; CONCATENATE(INDIRECT("Hallazgos!F"&amp;AR26+5)," ",INDIRECT("Hallazgos!G"&amp;AR26+5)) &amp; CHAR(10) &amp; CONCATENATE(INDIRECT("Hallazgos!F"&amp;AR26+5)," ",INDIRECT("Hallazgos!G"&amp;AR26+6)) &amp; CHAR(10) &amp; CONCATENATE(INDIRECT("Hallazgos!F"&amp;AR26+7)," ",INDIRECT("Hallazgos!G"&amp;AR26+7)) &amp; CHAR(10) &amp; CONCATENATE(INDIRECT("Hallazgos!F"&amp;AR26+8)," ",INDIRECT("Hallazgos!G"&amp;AR26+8)) &amp; CHAR(10) &amp; INDIRECT("Hallazgos!F"&amp;AR26+9)</f>
        <v/>
      </c>
      <c s="87" r="W26">
        <f>INDIRECT("Hallazgos!H"&amp;AR26)</f>
        <v/>
      </c>
      <c s="87" r="X26">
        <f>IF(W26&lt;4,"Baja",IF(AND(W26&gt;=4,W26&lt;7),"Media","Alta"))</f>
        <v/>
      </c>
      <c s="87" r="Y26">
        <f>INDIRECT("Hallazgos!I"&amp;AR26)</f>
        <v/>
      </c>
      <c s="87" r="Z26" t="n"/>
      <c s="87" r="AA26" t="n"/>
      <c s="87" r="AB26">
        <f>IF(Z26="100% Vulnerado Anteriormente",100/100 *AA26,IF(Z26="75% Fácil de vulnerar",75/100*AA26,IF(Z26="50% Posible de vulnerar",50/100*AA26,IF(Z26="25% Difícil de vulnerar",25/100*AA26,0))))</f>
        <v/>
      </c>
      <c s="87" r="AC26">
        <f>IF(AB26&lt;2,"x &lt; 2 - Tolerable",IF(AND(AB26&gt;=2,AB26&lt;3),"2 &lt;=x &lt; 3 - Moderado","x&gt;= 3 - Critico"))</f>
        <v/>
      </c>
      <c s="87" r="AD26">
        <f>INDIRECT("Hallazgos!O"&amp;AR26)</f>
        <v/>
      </c>
      <c s="87" r="AE26" t="n"/>
      <c s="87" r="AF26" t="n"/>
      <c s="87" r="AG26" t="n"/>
      <c s="87" r="AH26" t="s">
        <v>1493</v>
      </c>
      <c s="87" r="AI26" t="n"/>
      <c s="87" r="AJ26">
        <f>AJ25</f>
        <v/>
      </c>
      <c s="87" r="AK26">
        <f>AK25</f>
        <v/>
      </c>
      <c s="87" r="AL26" t="n"/>
      <c s="87" r="AM26" t="n"/>
      <c s="87" r="AN26" t="n"/>
      <c s="87" r="AO26">
        <f>INDIRECT("Hallazgos!J"&amp;AR26)</f>
        <v/>
      </c>
      <c s="87" r="AP26">
        <f>INDIRECT("Hallazgos!K"&amp;AR26)</f>
        <v/>
      </c>
      <c s="87" r="AQ26">
        <f>INDIRECT("Hallazgos!L"&amp;AR26)</f>
        <v/>
      </c>
      <c s="83" r="AR26">
        <f>AR25+10</f>
        <v/>
      </c>
    </row>
    <row customHeight="1" s="134" r="27" ht="15.75" spans="1:44">
      <c s="87" r="A27">
        <f>A26</f>
        <v/>
      </c>
      <c s="87" r="B27">
        <f>B26</f>
        <v/>
      </c>
      <c s="87" r="C27">
        <f>C26</f>
        <v/>
      </c>
      <c s="87" r="D27">
        <f>D26</f>
        <v/>
      </c>
      <c s="87" r="E27" t="n"/>
      <c s="87" r="F27">
        <f>Inicio!$B$6</f>
        <v/>
      </c>
      <c s="87" r="G27">
        <f>G26</f>
        <v/>
      </c>
      <c s="87" r="H27" t="n"/>
      <c s="87" r="I27">
        <f>INDIRECT("Hallazgos!E"&amp;AR27)</f>
        <v/>
      </c>
      <c s="87" r="J27">
        <f>J26</f>
        <v/>
      </c>
      <c s="87" r="K27">
        <f>Inicio!$B$9</f>
        <v/>
      </c>
      <c s="87" r="L27">
        <f>L26</f>
        <v/>
      </c>
      <c s="87" r="M27" t="n"/>
      <c s="87" r="N27">
        <f>INDIRECT("Hallazgos!B"&amp;AR27)</f>
        <v/>
      </c>
      <c s="87" r="O27">
        <f>INDIRECT("Hallazgos!C"&amp;AR27)</f>
        <v/>
      </c>
      <c s="87" r="P27">
        <f>INDIRECT("Hallazgos!D"&amp;AR27)</f>
        <v/>
      </c>
      <c s="87" r="Q27" t="n"/>
      <c s="87" r="R27" t="n"/>
      <c s="87" r="S27">
        <f>INDIRECT("Hallazgos!N"&amp;AR27)</f>
        <v/>
      </c>
      <c s="87" r="T27" t="n"/>
      <c s="87" r="U27">
        <f>U26</f>
        <v/>
      </c>
      <c s="87" r="V27">
        <f>CONCATENATE(INDIRECT("Hallazgos!F"&amp;AR27)," ",INDIRECT("Hallazgos!G"&amp;AR27)) &amp; CHAR(10) &amp; CONCATENATE(INDIRECT("Hallazgos!F"&amp;AR27+1)," ",INDIRECT("Hallazgos!G"&amp;AR27+1)) &amp; CHAR(10) &amp; CONCATENATE(INDIRECT("Hallazgos!F"&amp;AR27+2)," ",INDIRECT("Hallazgos!G"&amp;AR27+2)) &amp; CHAR(10) &amp; CONCATENATE(INDIRECT("Hallazgos!F"&amp;AR27+3)," ",INDIRECT("Hallazgos!G"&amp;AR27+3)) &amp; CHAR(10) &amp; CONCATENATE(INDIRECT("Hallazgos!F"&amp;AR27+4)," ",INDIRECT("Hallazgos!G"&amp;AR27+4)) &amp; CHAR(10) &amp; CONCATENATE(INDIRECT("Hallazgos!F"&amp;AR27+5)," ",INDIRECT("Hallazgos!G"&amp;AR27+5)) &amp; CHAR(10) &amp; CONCATENATE(INDIRECT("Hallazgos!F"&amp;AR27+5)," ",INDIRECT("Hallazgos!G"&amp;AR27+6)) &amp; CHAR(10) &amp; CONCATENATE(INDIRECT("Hallazgos!F"&amp;AR27+7)," ",INDIRECT("Hallazgos!G"&amp;AR27+7)) &amp; CHAR(10) &amp; CONCATENATE(INDIRECT("Hallazgos!F"&amp;AR27+8)," ",INDIRECT("Hallazgos!G"&amp;AR27+8)) &amp; CHAR(10) &amp; INDIRECT("Hallazgos!F"&amp;AR27+9)</f>
        <v/>
      </c>
      <c s="87" r="W27">
        <f>INDIRECT("Hallazgos!H"&amp;AR27)</f>
        <v/>
      </c>
      <c s="87" r="X27">
        <f>IF(W27&lt;4,"Baja",IF(AND(W27&gt;=4,W27&lt;7),"Media","Alta"))</f>
        <v/>
      </c>
      <c s="87" r="Y27">
        <f>INDIRECT("Hallazgos!I"&amp;AR27)</f>
        <v/>
      </c>
      <c s="87" r="Z27" t="n"/>
      <c s="87" r="AA27" t="n"/>
      <c s="87" r="AB27">
        <f>IF(Z27="100% Vulnerado Anteriormente",100/100 *AA27,IF(Z27="75% Fácil de vulnerar",75/100*AA27,IF(Z27="50% Posible de vulnerar",50/100*AA27,IF(Z27="25% Difícil de vulnerar",25/100*AA27,0))))</f>
        <v/>
      </c>
      <c s="87" r="AC27">
        <f>IF(AB27&lt;2,"x &lt; 2 - Tolerable",IF(AND(AB27&gt;=2,AB27&lt;3),"2 &lt;=x &lt; 3 - Moderado","x&gt;= 3 - Critico"))</f>
        <v/>
      </c>
      <c s="87" r="AD27">
        <f>INDIRECT("Hallazgos!O"&amp;AR27)</f>
        <v/>
      </c>
      <c s="87" r="AE27" t="n"/>
      <c s="87" r="AF27" t="n"/>
      <c s="87" r="AG27" t="n"/>
      <c s="87" r="AH27" t="s">
        <v>1493</v>
      </c>
      <c s="87" r="AI27" t="n"/>
      <c s="87" r="AJ27">
        <f>AJ26</f>
        <v/>
      </c>
      <c s="87" r="AK27">
        <f>AK26</f>
        <v/>
      </c>
      <c s="87" r="AL27" t="n"/>
      <c s="87" r="AM27" t="n"/>
      <c s="87" r="AN27" t="n"/>
      <c s="87" r="AO27">
        <f>INDIRECT("Hallazgos!J"&amp;AR27)</f>
        <v/>
      </c>
      <c s="87" r="AP27">
        <f>INDIRECT("Hallazgos!K"&amp;AR27)</f>
        <v/>
      </c>
      <c s="87" r="AQ27">
        <f>INDIRECT("Hallazgos!L"&amp;AR27)</f>
        <v/>
      </c>
      <c s="83" r="AR27">
        <f>AR26+10</f>
        <v/>
      </c>
    </row>
    <row customHeight="1" s="134" r="28" ht="15.75" spans="1:44">
      <c s="87" r="A28">
        <f>A27</f>
        <v/>
      </c>
      <c s="87" r="B28">
        <f>B27</f>
        <v/>
      </c>
      <c s="87" r="C28">
        <f>C27</f>
        <v/>
      </c>
      <c s="87" r="D28">
        <f>D27</f>
        <v/>
      </c>
      <c s="87" r="E28" t="n"/>
      <c s="87" r="F28">
        <f>Inicio!$B$6</f>
        <v/>
      </c>
      <c s="87" r="G28">
        <f>G27</f>
        <v/>
      </c>
      <c s="87" r="H28" t="n"/>
      <c s="87" r="I28">
        <f>INDIRECT("Hallazgos!E"&amp;AR28)</f>
        <v/>
      </c>
      <c s="87" r="J28">
        <f>J27</f>
        <v/>
      </c>
      <c s="87" r="K28">
        <f>Inicio!$B$9</f>
        <v/>
      </c>
      <c s="87" r="L28">
        <f>L27</f>
        <v/>
      </c>
      <c s="87" r="M28" t="n"/>
      <c s="87" r="N28">
        <f>INDIRECT("Hallazgos!B"&amp;AR28)</f>
        <v/>
      </c>
      <c s="87" r="O28">
        <f>INDIRECT("Hallazgos!C"&amp;AR28)</f>
        <v/>
      </c>
      <c s="87" r="P28">
        <f>INDIRECT("Hallazgos!D"&amp;AR28)</f>
        <v/>
      </c>
      <c s="87" r="Q28" t="n"/>
      <c s="87" r="R28" t="n"/>
      <c s="87" r="S28">
        <f>INDIRECT("Hallazgos!N"&amp;AR28)</f>
        <v/>
      </c>
      <c s="87" r="T28" t="n"/>
      <c s="87" r="U28">
        <f>U27</f>
        <v/>
      </c>
      <c s="87" r="V28">
        <f>CONCATENATE(INDIRECT("Hallazgos!F"&amp;AR28)," ",INDIRECT("Hallazgos!G"&amp;AR28)) &amp; CHAR(10) &amp; CONCATENATE(INDIRECT("Hallazgos!F"&amp;AR28+1)," ",INDIRECT("Hallazgos!G"&amp;AR28+1)) &amp; CHAR(10) &amp; CONCATENATE(INDIRECT("Hallazgos!F"&amp;AR28+2)," ",INDIRECT("Hallazgos!G"&amp;AR28+2)) &amp; CHAR(10) &amp; CONCATENATE(INDIRECT("Hallazgos!F"&amp;AR28+3)," ",INDIRECT("Hallazgos!G"&amp;AR28+3)) &amp; CHAR(10) &amp; CONCATENATE(INDIRECT("Hallazgos!F"&amp;AR28+4)," ",INDIRECT("Hallazgos!G"&amp;AR28+4)) &amp; CHAR(10) &amp; CONCATENATE(INDIRECT("Hallazgos!F"&amp;AR28+5)," ",INDIRECT("Hallazgos!G"&amp;AR28+5)) &amp; CHAR(10) &amp; CONCATENATE(INDIRECT("Hallazgos!F"&amp;AR28+5)," ",INDIRECT("Hallazgos!G"&amp;AR28+6)) &amp; CHAR(10) &amp; CONCATENATE(INDIRECT("Hallazgos!F"&amp;AR28+7)," ",INDIRECT("Hallazgos!G"&amp;AR28+7)) &amp; CHAR(10) &amp; CONCATENATE(INDIRECT("Hallazgos!F"&amp;AR28+8)," ",INDIRECT("Hallazgos!G"&amp;AR28+8)) &amp; CHAR(10) &amp; INDIRECT("Hallazgos!F"&amp;AR28+9)</f>
        <v/>
      </c>
      <c s="87" r="W28">
        <f>INDIRECT("Hallazgos!H"&amp;AR28)</f>
        <v/>
      </c>
      <c s="87" r="X28">
        <f>IF(W28&lt;4,"Baja",IF(AND(W28&gt;=4,W28&lt;7),"Media","Alta"))</f>
        <v/>
      </c>
      <c s="87" r="Y28">
        <f>INDIRECT("Hallazgos!I"&amp;AR28)</f>
        <v/>
      </c>
      <c s="87" r="Z28" t="n"/>
      <c s="87" r="AA28" t="n"/>
      <c s="87" r="AB28">
        <f>IF(Z28="100% Vulnerado Anteriormente",100/100 *AA28,IF(Z28="75% Fácil de vulnerar",75/100*AA28,IF(Z28="50% Posible de vulnerar",50/100*AA28,IF(Z28="25% Difícil de vulnerar",25/100*AA28,0))))</f>
        <v/>
      </c>
      <c s="87" r="AC28">
        <f>IF(AB28&lt;2,"x &lt; 2 - Tolerable",IF(AND(AB28&gt;=2,AB28&lt;3),"2 &lt;=x &lt; 3 - Moderado","x&gt;= 3 - Critico"))</f>
        <v/>
      </c>
      <c s="87" r="AD28">
        <f>INDIRECT("Hallazgos!O"&amp;AR28)</f>
        <v/>
      </c>
      <c s="87" r="AE28" t="n"/>
      <c s="87" r="AF28" t="n"/>
      <c s="87" r="AG28" t="n"/>
      <c s="87" r="AH28" t="s">
        <v>1493</v>
      </c>
      <c s="87" r="AI28" t="n"/>
      <c s="87" r="AJ28">
        <f>AJ27</f>
        <v/>
      </c>
      <c s="87" r="AK28">
        <f>AK27</f>
        <v/>
      </c>
      <c s="87" r="AL28" t="n"/>
      <c s="87" r="AM28" t="n"/>
      <c s="87" r="AN28" t="n"/>
      <c s="87" r="AO28">
        <f>INDIRECT("Hallazgos!J"&amp;AR28)</f>
        <v/>
      </c>
      <c s="87" r="AP28">
        <f>INDIRECT("Hallazgos!K"&amp;AR28)</f>
        <v/>
      </c>
      <c s="87" r="AQ28">
        <f>INDIRECT("Hallazgos!L"&amp;AR28)</f>
        <v/>
      </c>
      <c s="83" r="AR28">
        <f>AR27+10</f>
        <v/>
      </c>
    </row>
    <row customHeight="1" s="134" r="29" ht="15.75" spans="1:44">
      <c s="87" r="A29">
        <f>A28</f>
        <v/>
      </c>
      <c s="87" r="B29">
        <f>B28</f>
        <v/>
      </c>
      <c s="87" r="C29">
        <f>C28</f>
        <v/>
      </c>
      <c s="87" r="D29">
        <f>D28</f>
        <v/>
      </c>
      <c s="87" r="E29" t="n"/>
      <c s="87" r="F29">
        <f>Inicio!$B$6</f>
        <v/>
      </c>
      <c s="87" r="G29">
        <f>G28</f>
        <v/>
      </c>
      <c s="87" r="H29" t="n"/>
      <c s="87" r="I29">
        <f>INDIRECT("Hallazgos!E"&amp;AR29)</f>
        <v/>
      </c>
      <c s="87" r="J29">
        <f>J28</f>
        <v/>
      </c>
      <c s="87" r="K29">
        <f>Inicio!$B$9</f>
        <v/>
      </c>
      <c s="87" r="L29">
        <f>L28</f>
        <v/>
      </c>
      <c s="87" r="M29" t="n"/>
      <c s="87" r="N29">
        <f>INDIRECT("Hallazgos!B"&amp;AR29)</f>
        <v/>
      </c>
      <c s="87" r="O29">
        <f>INDIRECT("Hallazgos!C"&amp;AR29)</f>
        <v/>
      </c>
      <c s="87" r="P29">
        <f>INDIRECT("Hallazgos!D"&amp;AR29)</f>
        <v/>
      </c>
      <c s="87" r="Q29" t="n"/>
      <c s="87" r="R29" t="n"/>
      <c s="87" r="S29">
        <f>INDIRECT("Hallazgos!N"&amp;AR29)</f>
        <v/>
      </c>
      <c s="87" r="T29" t="n"/>
      <c s="87" r="U29">
        <f>U28</f>
        <v/>
      </c>
      <c s="87" r="V29">
        <f>CONCATENATE(INDIRECT("Hallazgos!F"&amp;AR29)," ",INDIRECT("Hallazgos!G"&amp;AR29)) &amp; CHAR(10) &amp; CONCATENATE(INDIRECT("Hallazgos!F"&amp;AR29+1)," ",INDIRECT("Hallazgos!G"&amp;AR29+1)) &amp; CHAR(10) &amp; CONCATENATE(INDIRECT("Hallazgos!F"&amp;AR29+2)," ",INDIRECT("Hallazgos!G"&amp;AR29+2)) &amp; CHAR(10) &amp; CONCATENATE(INDIRECT("Hallazgos!F"&amp;AR29+3)," ",INDIRECT("Hallazgos!G"&amp;AR29+3)) &amp; CHAR(10) &amp; CONCATENATE(INDIRECT("Hallazgos!F"&amp;AR29+4)," ",INDIRECT("Hallazgos!G"&amp;AR29+4)) &amp; CHAR(10) &amp; CONCATENATE(INDIRECT("Hallazgos!F"&amp;AR29+5)," ",INDIRECT("Hallazgos!G"&amp;AR29+5)) &amp; CHAR(10) &amp; CONCATENATE(INDIRECT("Hallazgos!F"&amp;AR29+5)," ",INDIRECT("Hallazgos!G"&amp;AR29+6)) &amp; CHAR(10) &amp; CONCATENATE(INDIRECT("Hallazgos!F"&amp;AR29+7)," ",INDIRECT("Hallazgos!G"&amp;AR29+7)) &amp; CHAR(10) &amp; CONCATENATE(INDIRECT("Hallazgos!F"&amp;AR29+8)," ",INDIRECT("Hallazgos!G"&amp;AR29+8)) &amp; CHAR(10) &amp; INDIRECT("Hallazgos!F"&amp;AR29+9)</f>
        <v/>
      </c>
      <c s="87" r="W29">
        <f>INDIRECT("Hallazgos!H"&amp;AR29)</f>
        <v/>
      </c>
      <c s="87" r="X29">
        <f>IF(W29&lt;4,"Baja",IF(AND(W29&gt;=4,W29&lt;7),"Media","Alta"))</f>
        <v/>
      </c>
      <c s="87" r="Y29">
        <f>INDIRECT("Hallazgos!I"&amp;AR29)</f>
        <v/>
      </c>
      <c s="87" r="Z29" t="n"/>
      <c s="87" r="AA29" t="n"/>
      <c s="87" r="AB29">
        <f>IF(Z29="100% Vulnerado Anteriormente",100/100 *AA29,IF(Z29="75% Fácil de vulnerar",75/100*AA29,IF(Z29="50% Posible de vulnerar",50/100*AA29,IF(Z29="25% Difícil de vulnerar",25/100*AA29,0))))</f>
        <v/>
      </c>
      <c s="87" r="AC29">
        <f>IF(AB29&lt;2,"x &lt; 2 - Tolerable",IF(AND(AB29&gt;=2,AB29&lt;3),"2 &lt;=x &lt; 3 - Moderado","x&gt;= 3 - Critico"))</f>
        <v/>
      </c>
      <c s="87" r="AD29">
        <f>INDIRECT("Hallazgos!O"&amp;AR29)</f>
        <v/>
      </c>
      <c s="87" r="AE29" t="n"/>
      <c s="87" r="AF29" t="n"/>
      <c s="87" r="AG29" t="n"/>
      <c s="87" r="AH29" t="s">
        <v>1493</v>
      </c>
      <c s="87" r="AI29" t="n"/>
      <c s="87" r="AJ29">
        <f>AJ28</f>
        <v/>
      </c>
      <c s="87" r="AK29">
        <f>AK28</f>
        <v/>
      </c>
      <c s="87" r="AL29" t="n"/>
      <c s="87" r="AM29" t="n"/>
      <c s="87" r="AN29" t="n"/>
      <c s="87" r="AO29">
        <f>INDIRECT("Hallazgos!J"&amp;AR29)</f>
        <v/>
      </c>
      <c s="87" r="AP29">
        <f>INDIRECT("Hallazgos!K"&amp;AR29)</f>
        <v/>
      </c>
      <c s="87" r="AQ29">
        <f>INDIRECT("Hallazgos!L"&amp;AR29)</f>
        <v/>
      </c>
      <c s="83" r="AR29">
        <f>AR28+10</f>
        <v/>
      </c>
    </row>
    <row customHeight="1" s="134" r="30" ht="15.75" spans="1:44">
      <c s="87" r="A30">
        <f>A29</f>
        <v/>
      </c>
      <c s="87" r="B30">
        <f>B29</f>
        <v/>
      </c>
      <c s="87" r="C30">
        <f>C29</f>
        <v/>
      </c>
      <c s="87" r="D30">
        <f>D29</f>
        <v/>
      </c>
      <c s="87" r="E30" t="n"/>
      <c s="87" r="F30">
        <f>Inicio!$B$6</f>
        <v/>
      </c>
      <c s="87" r="G30">
        <f>G29</f>
        <v/>
      </c>
      <c s="87" r="H30" t="n"/>
      <c s="87" r="I30">
        <f>INDIRECT("Hallazgos!E"&amp;AR30)</f>
        <v/>
      </c>
      <c s="87" r="J30">
        <f>J29</f>
        <v/>
      </c>
      <c s="87" r="K30">
        <f>Inicio!$B$9</f>
        <v/>
      </c>
      <c s="87" r="L30">
        <f>L29</f>
        <v/>
      </c>
      <c s="87" r="M30" t="n"/>
      <c s="87" r="N30">
        <f>INDIRECT("Hallazgos!B"&amp;AR30)</f>
        <v/>
      </c>
      <c s="87" r="O30">
        <f>INDIRECT("Hallazgos!C"&amp;AR30)</f>
        <v/>
      </c>
      <c s="87" r="P30">
        <f>INDIRECT("Hallazgos!D"&amp;AR30)</f>
        <v/>
      </c>
      <c s="87" r="Q30" t="n"/>
      <c s="87" r="R30" t="n"/>
      <c s="87" r="S30">
        <f>INDIRECT("Hallazgos!N"&amp;AR30)</f>
        <v/>
      </c>
      <c s="87" r="T30" t="n"/>
      <c s="87" r="U30">
        <f>U29</f>
        <v/>
      </c>
      <c s="87" r="V30">
        <f>CONCATENATE(INDIRECT("Hallazgos!F"&amp;AR30)," ",INDIRECT("Hallazgos!G"&amp;AR30)) &amp; CHAR(10) &amp; CONCATENATE(INDIRECT("Hallazgos!F"&amp;AR30+1)," ",INDIRECT("Hallazgos!G"&amp;AR30+1)) &amp; CHAR(10) &amp; CONCATENATE(INDIRECT("Hallazgos!F"&amp;AR30+2)," ",INDIRECT("Hallazgos!G"&amp;AR30+2)) &amp; CHAR(10) &amp; CONCATENATE(INDIRECT("Hallazgos!F"&amp;AR30+3)," ",INDIRECT("Hallazgos!G"&amp;AR30+3)) &amp; CHAR(10) &amp; CONCATENATE(INDIRECT("Hallazgos!F"&amp;AR30+4)," ",INDIRECT("Hallazgos!G"&amp;AR30+4)) &amp; CHAR(10) &amp; CONCATENATE(INDIRECT("Hallazgos!F"&amp;AR30+5)," ",INDIRECT("Hallazgos!G"&amp;AR30+5)) &amp; CHAR(10) &amp; CONCATENATE(INDIRECT("Hallazgos!F"&amp;AR30+5)," ",INDIRECT("Hallazgos!G"&amp;AR30+6)) &amp; CHAR(10) &amp; CONCATENATE(INDIRECT("Hallazgos!F"&amp;AR30+7)," ",INDIRECT("Hallazgos!G"&amp;AR30+7)) &amp; CHAR(10) &amp; CONCATENATE(INDIRECT("Hallazgos!F"&amp;AR30+8)," ",INDIRECT("Hallazgos!G"&amp;AR30+8)) &amp; CHAR(10) &amp; INDIRECT("Hallazgos!F"&amp;AR30+9)</f>
        <v/>
      </c>
      <c s="87" r="W30">
        <f>INDIRECT("Hallazgos!H"&amp;AR30)</f>
        <v/>
      </c>
      <c s="87" r="X30">
        <f>IF(W30&lt;4,"Baja",IF(AND(W30&gt;=4,W30&lt;7),"Media","Alta"))</f>
        <v/>
      </c>
      <c s="87" r="Y30">
        <f>INDIRECT("Hallazgos!I"&amp;AR30)</f>
        <v/>
      </c>
      <c s="87" r="Z30" t="n"/>
      <c s="87" r="AA30" t="n"/>
      <c s="87" r="AB30">
        <f>IF(Z30="100% Vulnerado Anteriormente",100/100 *AA30,IF(Z30="75% Fácil de vulnerar",75/100*AA30,IF(Z30="50% Posible de vulnerar",50/100*AA30,IF(Z30="25% Difícil de vulnerar",25/100*AA30,0))))</f>
        <v/>
      </c>
      <c s="87" r="AC30">
        <f>IF(AB30&lt;2,"x &lt; 2 - Tolerable",IF(AND(AB30&gt;=2,AB30&lt;3),"2 &lt;=x &lt; 3 - Moderado","x&gt;= 3 - Critico"))</f>
        <v/>
      </c>
      <c s="87" r="AD30">
        <f>INDIRECT("Hallazgos!O"&amp;AR30)</f>
        <v/>
      </c>
      <c s="87" r="AE30" t="n"/>
      <c s="87" r="AF30" t="n"/>
      <c s="87" r="AG30" t="n"/>
      <c s="87" r="AH30" t="s">
        <v>1493</v>
      </c>
      <c s="87" r="AI30" t="n"/>
      <c s="87" r="AJ30">
        <f>AJ29</f>
        <v/>
      </c>
      <c s="87" r="AK30">
        <f>AK29</f>
        <v/>
      </c>
      <c s="87" r="AL30" t="n"/>
      <c s="87" r="AM30" t="n"/>
      <c s="87" r="AN30" t="n"/>
      <c s="87" r="AO30">
        <f>INDIRECT("Hallazgos!J"&amp;AR30)</f>
        <v/>
      </c>
      <c s="87" r="AP30">
        <f>INDIRECT("Hallazgos!K"&amp;AR30)</f>
        <v/>
      </c>
      <c s="87" r="AQ30">
        <f>INDIRECT("Hallazgos!L"&amp;AR30)</f>
        <v/>
      </c>
      <c s="83" r="AR30">
        <f>AR29+10</f>
        <v/>
      </c>
    </row>
    <row customHeight="1" s="134" r="31" ht="15.75" spans="1:44">
      <c s="87" r="A31">
        <f>A30</f>
        <v/>
      </c>
      <c s="87" r="B31">
        <f>B30</f>
        <v/>
      </c>
      <c s="87" r="C31">
        <f>C30</f>
        <v/>
      </c>
      <c s="87" r="D31">
        <f>D30</f>
        <v/>
      </c>
      <c s="87" r="E31" t="n"/>
      <c s="87" r="F31">
        <f>Inicio!$B$6</f>
        <v/>
      </c>
      <c s="87" r="G31">
        <f>G30</f>
        <v/>
      </c>
      <c s="87" r="H31" t="n"/>
      <c s="87" r="I31">
        <f>INDIRECT("Hallazgos!E"&amp;AR31)</f>
        <v/>
      </c>
      <c s="87" r="J31">
        <f>J30</f>
        <v/>
      </c>
      <c s="87" r="K31">
        <f>Inicio!$B$9</f>
        <v/>
      </c>
      <c s="87" r="L31">
        <f>L30</f>
        <v/>
      </c>
      <c s="87" r="M31" t="n"/>
      <c s="87" r="N31">
        <f>INDIRECT("Hallazgos!B"&amp;AR31)</f>
        <v/>
      </c>
      <c s="87" r="O31">
        <f>INDIRECT("Hallazgos!C"&amp;AR31)</f>
        <v/>
      </c>
      <c s="87" r="P31">
        <f>INDIRECT("Hallazgos!D"&amp;AR31)</f>
        <v/>
      </c>
      <c s="87" r="Q31" t="n"/>
      <c s="87" r="R31" t="n"/>
      <c s="87" r="S31">
        <f>INDIRECT("Hallazgos!N"&amp;AR31)</f>
        <v/>
      </c>
      <c s="87" r="T31" t="n"/>
      <c s="87" r="U31">
        <f>U30</f>
        <v/>
      </c>
      <c s="87" r="V31">
        <f>CONCATENATE(INDIRECT("Hallazgos!F"&amp;AR31)," ",INDIRECT("Hallazgos!G"&amp;AR31)) &amp; CHAR(10) &amp; CONCATENATE(INDIRECT("Hallazgos!F"&amp;AR31+1)," ",INDIRECT("Hallazgos!G"&amp;AR31+1)) &amp; CHAR(10) &amp; CONCATENATE(INDIRECT("Hallazgos!F"&amp;AR31+2)," ",INDIRECT("Hallazgos!G"&amp;AR31+2)) &amp; CHAR(10) &amp; CONCATENATE(INDIRECT("Hallazgos!F"&amp;AR31+3)," ",INDIRECT("Hallazgos!G"&amp;AR31+3)) &amp; CHAR(10) &amp; CONCATENATE(INDIRECT("Hallazgos!F"&amp;AR31+4)," ",INDIRECT("Hallazgos!G"&amp;AR31+4)) &amp; CHAR(10) &amp; CONCATENATE(INDIRECT("Hallazgos!F"&amp;AR31+5)," ",INDIRECT("Hallazgos!G"&amp;AR31+5)) &amp; CHAR(10) &amp; CONCATENATE(INDIRECT("Hallazgos!F"&amp;AR31+5)," ",INDIRECT("Hallazgos!G"&amp;AR31+6)) &amp; CHAR(10) &amp; CONCATENATE(INDIRECT("Hallazgos!F"&amp;AR31+7)," ",INDIRECT("Hallazgos!G"&amp;AR31+7)) &amp; CHAR(10) &amp; CONCATENATE(INDIRECT("Hallazgos!F"&amp;AR31+8)," ",INDIRECT("Hallazgos!G"&amp;AR31+8)) &amp; CHAR(10) &amp; INDIRECT("Hallazgos!F"&amp;AR31+9)</f>
        <v/>
      </c>
      <c s="87" r="W31">
        <f>INDIRECT("Hallazgos!H"&amp;AR31)</f>
        <v/>
      </c>
      <c s="87" r="X31">
        <f>IF(W31&lt;4,"Baja",IF(AND(W31&gt;=4,W31&lt;7),"Media","Alta"))</f>
        <v/>
      </c>
      <c s="87" r="Y31">
        <f>INDIRECT("Hallazgos!I"&amp;AR31)</f>
        <v/>
      </c>
      <c s="87" r="Z31" t="n"/>
      <c s="87" r="AA31" t="n"/>
      <c s="87" r="AB31">
        <f>IF(Z31="100% Vulnerado Anteriormente",100/100 *AA31,IF(Z31="75% Fácil de vulnerar",75/100*AA31,IF(Z31="50% Posible de vulnerar",50/100*AA31,IF(Z31="25% Difícil de vulnerar",25/100*AA31,0))))</f>
        <v/>
      </c>
      <c s="87" r="AC31">
        <f>IF(AB31&lt;2,"x &lt; 2 - Tolerable",IF(AND(AB31&gt;=2,AB31&lt;3),"2 &lt;=x &lt; 3 - Moderado","x&gt;= 3 - Critico"))</f>
        <v/>
      </c>
      <c s="87" r="AD31">
        <f>INDIRECT("Hallazgos!O"&amp;AR31)</f>
        <v/>
      </c>
      <c s="87" r="AE31" t="n"/>
      <c s="87" r="AF31" t="n"/>
      <c s="87" r="AG31" t="n"/>
      <c s="87" r="AH31" t="s">
        <v>1493</v>
      </c>
      <c s="87" r="AI31" t="n"/>
      <c s="87" r="AJ31">
        <f>AJ30</f>
        <v/>
      </c>
      <c s="87" r="AK31">
        <f>AK30</f>
        <v/>
      </c>
      <c s="87" r="AL31" t="n"/>
      <c s="87" r="AM31" t="n"/>
      <c s="87" r="AN31" t="n"/>
      <c s="87" r="AO31">
        <f>INDIRECT("Hallazgos!J"&amp;AR31)</f>
        <v/>
      </c>
      <c s="87" r="AP31">
        <f>INDIRECT("Hallazgos!K"&amp;AR31)</f>
        <v/>
      </c>
      <c s="87" r="AQ31">
        <f>INDIRECT("Hallazgos!L"&amp;AR31)</f>
        <v/>
      </c>
      <c s="83" r="AR31">
        <f>AR30+10</f>
        <v/>
      </c>
    </row>
  </sheetData>
  <dataValidations count="17">
    <dataValidation allowBlank="0" operator="between" showDropDown="0" showErrorMessage="1" showInputMessage="0" sqref="B3" type="list">
      <formula1>CamposSeleccionQC!$A$2:$A$12</formula1>
      <formula2>0</formula2>
    </dataValidation>
    <dataValidation allowBlank="0" operator="between" showDropDown="0" showErrorMessage="1" showInputMessage="0" sqref="AA3:AA31" type="list">
      <formula1>CamposSeleccionQC!$L$2:$L$6</formula1>
      <formula2>0</formula2>
    </dataValidation>
    <dataValidation allowBlank="0" operator="between" showDropDown="0" showErrorMessage="1" showInputMessage="0" sqref="Q3:Q31" type="list">
      <formula1>CamposSeleccionQC!$H$2:$H$7</formula1>
      <formula2>0</formula2>
    </dataValidation>
    <dataValidation allowBlank="0" operator="between" showDropDown="0" showErrorMessage="1" showInputMessage="0" sqref="G3" type="list">
      <formula1>CamposSeleccionQC!$E$2:$E$15</formula1>
      <formula2>0</formula2>
    </dataValidation>
    <dataValidation allowBlank="0" operator="between" showDropDown="0" showErrorMessage="1" showInputMessage="0" sqref="M3:M31" type="list">
      <formula1>CamposSeleccionQC!$G$2:$G$11</formula1>
      <formula2>0</formula2>
    </dataValidation>
    <dataValidation allowBlank="0" operator="between" showDropDown="0" showErrorMessage="1" showInputMessage="0" sqref="E3:E31" type="list">
      <formula1>CamposSeleccionQC!$D$2:$D$7</formula1>
      <formula2>0</formula2>
    </dataValidation>
    <dataValidation allowBlank="0" operator="between" showDropDown="0" showErrorMessage="1" showInputMessage="0" sqref="AJ3" type="list">
      <formula1>CamposSeleccionQC!$O$2:$O$13</formula1>
      <formula2>0</formula2>
    </dataValidation>
    <dataValidation allowBlank="0" operator="between" showDropDown="0" showErrorMessage="1" showInputMessage="0" sqref="AH3:AH31" type="list">
      <formula1>CamposSeleccionQC!$M$2:$M$7</formula1>
      <formula2>0</formula2>
    </dataValidation>
    <dataValidation allowBlank="0" operator="between" showDropDown="0" showErrorMessage="1" showInputMessage="0" sqref="T3:T31" type="list">
      <formula1>CamposSeleccionQC!$J$2:$J$5</formula1>
      <formula2>0</formula2>
    </dataValidation>
    <dataValidation allowBlank="0" operator="between" showDropDown="0" showErrorMessage="1" showInputMessage="0" sqref="Z3:Z31" type="list">
      <formula1>CamposSeleccionQC!$K$2:$K$5</formula1>
      <formula2>0</formula2>
    </dataValidation>
    <dataValidation allowBlank="0" operator="between" showDropDown="0" showErrorMessage="1" showInputMessage="0" sqref="AN3:AN31" type="list">
      <formula1>CamposSeleccionQC!$Q$2:$Q$9</formula1>
      <formula2>0</formula2>
    </dataValidation>
    <dataValidation allowBlank="0" operator="between" showDropDown="0" showErrorMessage="1" showInputMessage="0" sqref="C3" type="list">
      <formula1>CamposSeleccionQC!$B$2:$B$13</formula1>
      <formula2>0</formula2>
    </dataValidation>
    <dataValidation allowBlank="0" operator="between" showDropDown="0" showErrorMessage="1" showInputMessage="0" sqref="D3" type="list">
      <formula1>CamposSeleccionQC!$C$2:$C$37</formula1>
      <formula2>0</formula2>
    </dataValidation>
    <dataValidation allowBlank="0" operator="between" showDropDown="0" showErrorMessage="1" showInputMessage="0" sqref="J3" type="list">
      <formula1>CamposSeleccionQC!$R$2</formula1>
      <formula2>0</formula2>
    </dataValidation>
    <dataValidation allowBlank="0" operator="between" showDropDown="0" showErrorMessage="1" showInputMessage="0" sqref="U3:U31" type="list">
      <formula1>CamposSeleccionQC!$N$2:$N$16</formula1>
      <formula2>0</formula2>
    </dataValidation>
    <dataValidation allowBlank="0" operator="between" showDropDown="0" showErrorMessage="1" showInputMessage="0" sqref="AE3:AE31" type="list">
      <formula1>CamposSeleccionQC!$P$2:$P$97</formula1>
      <formula2>0</formula2>
    </dataValidation>
    <dataValidation allowBlank="0" operator="between" showDropDown="0" showErrorMessage="1" showInputMessage="0" sqref="R3:R31" type="list">
      <formula1>CamposSeleccionQC!$I$2:$I$15</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language xmlns:dc="http://purl.org/dc/elements/1.1/">es-CO</dc:language>
  <dcterms:created xmlns:dcterms="http://purl.org/dc/terms/" xmlns:xsi="http://www.w3.org/2001/XMLSchema-instance" xsi:type="dcterms:W3CDTF">2016-12-07T21:17:53Z</dcterms:created>
  <dcterms:modified xmlns:dcterms="http://purl.org/dc/terms/" xmlns:xsi="http://www.w3.org/2001/XMLSchema-instance" xsi:type="dcterms:W3CDTF">2016-11-02T16:10:57Z</dcterms:modified>
  <cp:revision>3</cp:revision>
</cp:coreProperties>
</file>