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a Pumes\Downloads\SANEAMIENTO Y MEDIO AMBIENTE\TP GUÍA\"/>
    </mc:Choice>
  </mc:AlternateContent>
  <xr:revisionPtr revIDLastSave="0" documentId="13_ncr:1_{5C6F85F5-5F15-45FE-96E1-981619AC885D}" xr6:coauthVersionLast="47" xr6:coauthVersionMax="47" xr10:uidLastSave="{00000000-0000-0000-0000-000000000000}"/>
  <bookViews>
    <workbookView xWindow="-108" yWindow="-108" windowWidth="23256" windowHeight="12456" tabRatio="838" activeTab="2" xr2:uid="{00000000-000D-0000-FFFF-FFFF00000000}"/>
  </bookViews>
  <sheets>
    <sheet name="DATOS Y SISTEMA IMPULSIÓN RÍO" sheetId="1" r:id="rId1"/>
    <sheet name="POTABILIZADORA" sheetId="2" r:id="rId2"/>
    <sheet name="SISTEMA DE IMPULSIÓN AL TANQUE" sheetId="3" r:id="rId3"/>
    <sheet name="Caudales" sheetId="5" r:id="rId4"/>
    <sheet name="Datos Inic" sheetId="4" r:id="rId5"/>
    <sheet name="Presiones" sheetId="6" r:id="rId6"/>
    <sheet name="RED CLOACAL" sheetId="7" r:id="rId7"/>
    <sheet name="TRATAMIENTO PRELIMINAR" sheetId="8" r:id="rId8"/>
    <sheet name="LAGUNA FACULTATIVA" sheetId="9" r:id="rId9"/>
  </sheets>
  <definedNames>
    <definedName name="___KK1">#REF!</definedName>
    <definedName name="___LAG1">#REF!</definedName>
    <definedName name="___LAG2">#REF!</definedName>
    <definedName name="___LAG3">#REF!</definedName>
    <definedName name="___REP1">#REF!</definedName>
    <definedName name="__KK1" localSheetId="1">#REF!</definedName>
    <definedName name="__KK1" localSheetId="2">#REF!</definedName>
    <definedName name="__KK1">#REF!</definedName>
    <definedName name="__LAG1" localSheetId="1">#REF!</definedName>
    <definedName name="__LAG1" localSheetId="2">#REF!</definedName>
    <definedName name="__LAG1">#REF!</definedName>
    <definedName name="__LAG2" localSheetId="1">#REF!</definedName>
    <definedName name="__LAG2" localSheetId="2">#REF!</definedName>
    <definedName name="__LAG2">#REF!</definedName>
    <definedName name="__LAG3" localSheetId="1">#REF!</definedName>
    <definedName name="__LAG3" localSheetId="2">#REF!</definedName>
    <definedName name="__LAG3">#REF!</definedName>
    <definedName name="__REP1" localSheetId="1">#REF!</definedName>
    <definedName name="__REP1" localSheetId="2">#REF!</definedName>
    <definedName name="__REP1">#REF!</definedName>
    <definedName name="_KK1" localSheetId="1">#REF!</definedName>
    <definedName name="_KK1" localSheetId="2">#REF!</definedName>
    <definedName name="_KK1">#REF!</definedName>
    <definedName name="_LAG1" localSheetId="1">#REF!</definedName>
    <definedName name="_LAG1" localSheetId="2">#REF!</definedName>
    <definedName name="_LAG1">#REF!</definedName>
    <definedName name="_LAG2" localSheetId="1">#REF!</definedName>
    <definedName name="_LAG2" localSheetId="2">#REF!</definedName>
    <definedName name="_LAG2">#REF!</definedName>
    <definedName name="_LAG3" localSheetId="1">#REF!</definedName>
    <definedName name="_LAG3" localSheetId="2">#REF!</definedName>
    <definedName name="_LAG3">#REF!</definedName>
    <definedName name="_REP1" localSheetId="1">#REF!</definedName>
    <definedName name="_REP1" localSheetId="2">#REF!</definedName>
    <definedName name="_REP1">#REF!</definedName>
    <definedName name="GENERALES" localSheetId="1">#REF!</definedName>
    <definedName name="GENERALES" localSheetId="2">#REF!</definedName>
    <definedName name="GENERALES">#REF!</definedName>
    <definedName name="MENU1" localSheetId="1">#REF!</definedName>
    <definedName name="MENU1" localSheetId="2">#REF!</definedName>
    <definedName name="MENU1">#REF!</definedName>
    <definedName name="MENUGRA" localSheetId="1">#REF!</definedName>
    <definedName name="MENUGRA" localSheetId="2">#REF!</definedName>
    <definedName name="MENUGRA">#REF!</definedName>
    <definedName name="MENUING" localSheetId="1">#REF!</definedName>
    <definedName name="MENUING" localSheetId="2">#REF!</definedName>
    <definedName name="MENUING">#REF!</definedName>
    <definedName name="MENUINGLAG" localSheetId="1">#REF!</definedName>
    <definedName name="MENUINGLAG" localSheetId="2">#REF!</definedName>
    <definedName name="MENUINGLAG">#REF!</definedName>
    <definedName name="MENUREP" localSheetId="1">#REF!</definedName>
    <definedName name="MENUREP" localSheetId="2">#REF!</definedName>
    <definedName name="MENUREP">#REF!</definedName>
    <definedName name="MENUVER" localSheetId="1">#REF!</definedName>
    <definedName name="MENUVER" localSheetId="2">#REF!</definedName>
    <definedName name="MENUVER">#REF!</definedName>
    <definedName name="NOMBRE" localSheetId="1">#REF!</definedName>
    <definedName name="NOMBRE" localSheetId="2">#REF!</definedName>
    <definedName name="NOMBRE">#REF!</definedName>
    <definedName name="NOMHEAD" localSheetId="1">#REF!</definedName>
    <definedName name="NOMHEAD" localSheetId="2">#REF!</definedName>
    <definedName name="NOMHEAD">#REF!</definedName>
    <definedName name="NPROY" localSheetId="1">#REF!</definedName>
    <definedName name="NPROY" localSheetId="2">#REF!</definedName>
    <definedName name="NPROY">#REF!</definedName>
    <definedName name="NPROYEN" localSheetId="1">#REF!</definedName>
    <definedName name="NPROYEN" localSheetId="2">#REF!</definedName>
    <definedName name="NPROYEN">#REF!</definedName>
    <definedName name="NPROYSAL" localSheetId="1">#REF!</definedName>
    <definedName name="NPROYSAL" localSheetId="2">#REF!</definedName>
    <definedName name="NPROYSAL">#REF!</definedName>
    <definedName name="tabla" localSheetId="1">#REF!</definedName>
    <definedName name="tabla" localSheetId="2">#REF!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3" l="1"/>
  <c r="B28" i="3" s="1"/>
  <c r="B29" i="3"/>
  <c r="B16" i="3"/>
  <c r="J8" i="4"/>
  <c r="B272" i="2"/>
  <c r="B29" i="8"/>
  <c r="S24" i="7"/>
  <c r="B9" i="7"/>
  <c r="F19" i="4"/>
  <c r="B197" i="2"/>
  <c r="B104" i="2"/>
  <c r="D166" i="2"/>
  <c r="B144" i="9" l="1"/>
  <c r="B13" i="9" l="1"/>
  <c r="B12" i="9"/>
  <c r="B11" i="9"/>
  <c r="B8" i="9"/>
  <c r="B6" i="9"/>
  <c r="E128" i="9"/>
  <c r="E126" i="9"/>
  <c r="B119" i="9"/>
  <c r="B103" i="9"/>
  <c r="B98" i="9"/>
  <c r="B39" i="9"/>
  <c r="B38" i="9"/>
  <c r="B25" i="9"/>
  <c r="B82" i="9" s="1"/>
  <c r="B41" i="9" l="1"/>
  <c r="B43" i="9" s="1"/>
  <c r="B40" i="9"/>
  <c r="B46" i="9" l="1"/>
  <c r="G112" i="8"/>
  <c r="I111" i="8"/>
  <c r="G106" i="8"/>
  <c r="F96" i="8"/>
  <c r="G81" i="8"/>
  <c r="M115" i="8" s="1"/>
  <c r="F60" i="8"/>
  <c r="M109" i="8" l="1"/>
  <c r="A139" i="9"/>
  <c r="N105" i="8"/>
  <c r="B129" i="8"/>
  <c r="B124" i="8"/>
  <c r="B101" i="8"/>
  <c r="E113" i="8" s="1"/>
  <c r="B93" i="8"/>
  <c r="B61" i="8"/>
  <c r="B41" i="8"/>
  <c r="B35" i="8"/>
  <c r="B34" i="8" l="1"/>
  <c r="K25" i="7" l="1"/>
  <c r="J29" i="7"/>
  <c r="B97" i="7" l="1"/>
  <c r="S94" i="7"/>
  <c r="T94" i="7" s="1"/>
  <c r="L94" i="7"/>
  <c r="J94" i="7"/>
  <c r="F94" i="7"/>
  <c r="S91" i="7"/>
  <c r="T91" i="7" s="1"/>
  <c r="W91" i="7" s="1"/>
  <c r="J91" i="7"/>
  <c r="F91" i="7"/>
  <c r="K92" i="7"/>
  <c r="L91" i="7" s="1"/>
  <c r="S88" i="7"/>
  <c r="T88" i="7" s="1"/>
  <c r="J88" i="7"/>
  <c r="S87" i="7"/>
  <c r="T87" i="7" s="1"/>
  <c r="J87" i="7"/>
  <c r="S86" i="7"/>
  <c r="T86" i="7" s="1"/>
  <c r="K87" i="7"/>
  <c r="J86" i="7"/>
  <c r="S85" i="7"/>
  <c r="T85" i="7" s="1"/>
  <c r="J85" i="7"/>
  <c r="S84" i="7"/>
  <c r="T84" i="7" s="1"/>
  <c r="J84" i="7"/>
  <c r="S83" i="7"/>
  <c r="T83" i="7" s="1"/>
  <c r="J83" i="7"/>
  <c r="F83" i="7"/>
  <c r="F84" i="7" s="1"/>
  <c r="F85" i="7" s="1"/>
  <c r="F86" i="7" s="1"/>
  <c r="F87" i="7" s="1"/>
  <c r="F88" i="7" s="1"/>
  <c r="S78" i="7"/>
  <c r="T78" i="7" s="1"/>
  <c r="J78" i="7"/>
  <c r="F78" i="7"/>
  <c r="S75" i="7"/>
  <c r="T75" i="7" s="1"/>
  <c r="J75" i="7"/>
  <c r="F75" i="7"/>
  <c r="S72" i="7"/>
  <c r="T72" i="7" s="1"/>
  <c r="J72" i="7"/>
  <c r="F72" i="7"/>
  <c r="S69" i="7"/>
  <c r="T69" i="7" s="1"/>
  <c r="U69" i="7" s="1"/>
  <c r="J69" i="7"/>
  <c r="F69" i="7"/>
  <c r="S66" i="7"/>
  <c r="T66" i="7" s="1"/>
  <c r="U66" i="7" s="1"/>
  <c r="J66" i="7"/>
  <c r="F66" i="7"/>
  <c r="S63" i="7"/>
  <c r="T63" i="7" s="1"/>
  <c r="J63" i="7"/>
  <c r="F63" i="7"/>
  <c r="S58" i="7"/>
  <c r="T58" i="7" s="1"/>
  <c r="J58" i="7"/>
  <c r="S57" i="7"/>
  <c r="T57" i="7" s="1"/>
  <c r="V57" i="7" s="1"/>
  <c r="J57" i="7"/>
  <c r="S56" i="7"/>
  <c r="T56" i="7" s="1"/>
  <c r="J56" i="7"/>
  <c r="S55" i="7"/>
  <c r="T55" i="7" s="1"/>
  <c r="V55" i="7" s="1"/>
  <c r="J55" i="7"/>
  <c r="S54" i="7"/>
  <c r="T54" i="7" s="1"/>
  <c r="J54" i="7"/>
  <c r="S53" i="7"/>
  <c r="T53" i="7" s="1"/>
  <c r="J53" i="7"/>
  <c r="F53" i="7"/>
  <c r="S50" i="7"/>
  <c r="T50" i="7" s="1"/>
  <c r="V50" i="7" s="1"/>
  <c r="J50" i="7"/>
  <c r="F50" i="7"/>
  <c r="S47" i="7"/>
  <c r="T47" i="7" s="1"/>
  <c r="V47" i="7" s="1"/>
  <c r="J47" i="7"/>
  <c r="F47" i="7"/>
  <c r="S44" i="7"/>
  <c r="T44" i="7" s="1"/>
  <c r="V44" i="7" s="1"/>
  <c r="K44" i="7"/>
  <c r="J44" i="7"/>
  <c r="F44" i="7"/>
  <c r="S41" i="7"/>
  <c r="T41" i="7" s="1"/>
  <c r="V41" i="7" s="1"/>
  <c r="J41" i="7"/>
  <c r="F41" i="7"/>
  <c r="S38" i="7"/>
  <c r="T38" i="7" s="1"/>
  <c r="V38" i="7" s="1"/>
  <c r="J38" i="7"/>
  <c r="F38" i="7"/>
  <c r="S35" i="7"/>
  <c r="T35" i="7" s="1"/>
  <c r="V35" i="7" s="1"/>
  <c r="J35" i="7"/>
  <c r="F35" i="7"/>
  <c r="S30" i="7"/>
  <c r="T30" i="7" s="1"/>
  <c r="U30" i="7" s="1"/>
  <c r="J30" i="7"/>
  <c r="S29" i="7"/>
  <c r="T29" i="7" s="1"/>
  <c r="S28" i="7"/>
  <c r="T28" i="7" s="1"/>
  <c r="U28" i="7" s="1"/>
  <c r="J28" i="7"/>
  <c r="S27" i="7"/>
  <c r="T27" i="7" s="1"/>
  <c r="U27" i="7" s="1"/>
  <c r="J27" i="7"/>
  <c r="S26" i="7"/>
  <c r="T26" i="7" s="1"/>
  <c r="V26" i="7" s="1"/>
  <c r="L26" i="7"/>
  <c r="J26" i="7"/>
  <c r="S25" i="7"/>
  <c r="F24" i="7"/>
  <c r="F25" i="7" s="1"/>
  <c r="B20" i="7"/>
  <c r="F54" i="7" l="1"/>
  <c r="W94" i="7"/>
  <c r="U94" i="7"/>
  <c r="W88" i="7"/>
  <c r="U88" i="7"/>
  <c r="W86" i="7"/>
  <c r="U86" i="7"/>
  <c r="W84" i="7"/>
  <c r="U84" i="7"/>
  <c r="V53" i="7"/>
  <c r="W53" i="7"/>
  <c r="V27" i="7"/>
  <c r="W27" i="7"/>
  <c r="U44" i="7"/>
  <c r="W44" i="7"/>
  <c r="W41" i="7"/>
  <c r="W28" i="7"/>
  <c r="V28" i="7"/>
  <c r="U91" i="7"/>
  <c r="W26" i="7"/>
  <c r="K94" i="7"/>
  <c r="M94" i="7" s="1"/>
  <c r="O94" i="7" s="1"/>
  <c r="K28" i="7"/>
  <c r="K47" i="7" s="1"/>
  <c r="M47" i="7" s="1"/>
  <c r="N47" i="7" s="1"/>
  <c r="M48" i="7" s="1"/>
  <c r="K84" i="7"/>
  <c r="L85" i="7"/>
  <c r="K26" i="7"/>
  <c r="K41" i="7" s="1"/>
  <c r="M41" i="7" s="1"/>
  <c r="N41" i="7" s="1"/>
  <c r="M42" i="7" s="1"/>
  <c r="L88" i="7"/>
  <c r="K38" i="7"/>
  <c r="L24" i="7"/>
  <c r="W54" i="7"/>
  <c r="V54" i="7"/>
  <c r="U54" i="7"/>
  <c r="U35" i="7"/>
  <c r="F27" i="7"/>
  <c r="F29" i="7" s="1"/>
  <c r="F30" i="7" s="1"/>
  <c r="F26" i="7"/>
  <c r="F28" i="7" s="1"/>
  <c r="W30" i="7"/>
  <c r="K35" i="7"/>
  <c r="W35" i="7"/>
  <c r="U38" i="7"/>
  <c r="U55" i="7"/>
  <c r="W57" i="7"/>
  <c r="W58" i="7"/>
  <c r="V58" i="7"/>
  <c r="K31" i="7"/>
  <c r="L29" i="7"/>
  <c r="W38" i="7"/>
  <c r="U41" i="7"/>
  <c r="W55" i="7"/>
  <c r="U58" i="7"/>
  <c r="W69" i="7"/>
  <c r="V69" i="7"/>
  <c r="V30" i="7"/>
  <c r="M24" i="7"/>
  <c r="W56" i="7"/>
  <c r="V56" i="7"/>
  <c r="W72" i="7"/>
  <c r="V72" i="7"/>
  <c r="U47" i="7"/>
  <c r="U56" i="7"/>
  <c r="W75" i="7"/>
  <c r="V75" i="7"/>
  <c r="K76" i="7"/>
  <c r="K88" i="7"/>
  <c r="K48" i="7"/>
  <c r="U26" i="7"/>
  <c r="W47" i="7"/>
  <c r="U50" i="7"/>
  <c r="W63" i="7"/>
  <c r="V63" i="7"/>
  <c r="U75" i="7"/>
  <c r="W78" i="7"/>
  <c r="V78" i="7"/>
  <c r="L86" i="7"/>
  <c r="V29" i="7"/>
  <c r="U29" i="7"/>
  <c r="W29" i="7"/>
  <c r="M44" i="7"/>
  <c r="U72" i="7"/>
  <c r="M83" i="7"/>
  <c r="W50" i="7"/>
  <c r="U53" i="7"/>
  <c r="U63" i="7"/>
  <c r="U78" i="7"/>
  <c r="W83" i="7"/>
  <c r="V83" i="7"/>
  <c r="W85" i="7"/>
  <c r="V85" i="7"/>
  <c r="W87" i="7"/>
  <c r="V87" i="7"/>
  <c r="U57" i="7"/>
  <c r="W66" i="7"/>
  <c r="V66" i="7"/>
  <c r="U83" i="7"/>
  <c r="U85" i="7"/>
  <c r="U87" i="7"/>
  <c r="K45" i="7"/>
  <c r="V84" i="7"/>
  <c r="V86" i="7"/>
  <c r="V88" i="7"/>
  <c r="V91" i="7"/>
  <c r="V94" i="7"/>
  <c r="L27" i="7" l="1"/>
  <c r="K29" i="7"/>
  <c r="P24" i="7"/>
  <c r="O24" i="7"/>
  <c r="L83" i="7"/>
  <c r="K39" i="7"/>
  <c r="L38" i="7" s="1"/>
  <c r="K85" i="7"/>
  <c r="L84" i="7" s="1"/>
  <c r="L25" i="7"/>
  <c r="P41" i="7"/>
  <c r="P47" i="7"/>
  <c r="P44" i="7"/>
  <c r="N44" i="7"/>
  <c r="M45" i="7" s="1"/>
  <c r="P45" i="7" s="1"/>
  <c r="O44" i="7"/>
  <c r="L75" i="7"/>
  <c r="O47" i="7"/>
  <c r="M35" i="7"/>
  <c r="N35" i="7" s="1"/>
  <c r="M36" i="7" s="1"/>
  <c r="K36" i="7"/>
  <c r="K50" i="7"/>
  <c r="L28" i="7"/>
  <c r="L44" i="7"/>
  <c r="O41" i="7"/>
  <c r="N94" i="7"/>
  <c r="P94" i="7"/>
  <c r="O48" i="7"/>
  <c r="L47" i="7"/>
  <c r="Q47" i="7" s="1"/>
  <c r="P48" i="7"/>
  <c r="M38" i="7"/>
  <c r="N38" i="7" s="1"/>
  <c r="M39" i="7" s="1"/>
  <c r="O83" i="7"/>
  <c r="N83" i="7"/>
  <c r="P83" i="7"/>
  <c r="K59" i="7"/>
  <c r="L30" i="7"/>
  <c r="K79" i="7"/>
  <c r="K51" i="7"/>
  <c r="L87" i="7"/>
  <c r="E30" i="4"/>
  <c r="D34" i="4"/>
  <c r="D30" i="4"/>
  <c r="F29" i="4"/>
  <c r="D24" i="4"/>
  <c r="E24" i="4"/>
  <c r="D21" i="4"/>
  <c r="K42" i="7" l="1"/>
  <c r="L41" i="7" s="1"/>
  <c r="Q41" i="7" s="1"/>
  <c r="P39" i="7"/>
  <c r="P38" i="7"/>
  <c r="O45" i="7"/>
  <c r="Q38" i="7"/>
  <c r="O39" i="7"/>
  <c r="O35" i="7"/>
  <c r="P35" i="7"/>
  <c r="Q44" i="7"/>
  <c r="K63" i="7"/>
  <c r="K53" i="7"/>
  <c r="O36" i="7"/>
  <c r="P36" i="7"/>
  <c r="L35" i="7"/>
  <c r="Q35" i="7" s="1"/>
  <c r="K91" i="7"/>
  <c r="L58" i="7"/>
  <c r="L50" i="7"/>
  <c r="M95" i="7"/>
  <c r="Q94" i="7"/>
  <c r="L78" i="7"/>
  <c r="M84" i="7"/>
  <c r="Q83" i="7"/>
  <c r="O38" i="7"/>
  <c r="M50" i="7"/>
  <c r="N50" i="7" s="1"/>
  <c r="M51" i="7" s="1"/>
  <c r="O51" i="7" s="1"/>
  <c r="G33" i="6"/>
  <c r="D33" i="6"/>
  <c r="D27" i="6"/>
  <c r="G27" i="6"/>
  <c r="G39" i="6"/>
  <c r="D39" i="6"/>
  <c r="C13" i="4"/>
  <c r="K56" i="7" l="1"/>
  <c r="P42" i="7"/>
  <c r="O42" i="7"/>
  <c r="M91" i="7"/>
  <c r="N91" i="7" s="1"/>
  <c r="Q50" i="7"/>
  <c r="P51" i="7"/>
  <c r="P95" i="7"/>
  <c r="O95" i="7"/>
  <c r="N84" i="7"/>
  <c r="P84" i="7"/>
  <c r="O84" i="7"/>
  <c r="O50" i="7"/>
  <c r="M53" i="7"/>
  <c r="N53" i="7" s="1"/>
  <c r="M54" i="7" s="1"/>
  <c r="N54" i="7" s="1"/>
  <c r="M55" i="7" s="1"/>
  <c r="N55" i="7" s="1"/>
  <c r="M56" i="7" s="1"/>
  <c r="K54" i="7"/>
  <c r="P50" i="7"/>
  <c r="K64" i="7"/>
  <c r="M63" i="7"/>
  <c r="N63" i="7" s="1"/>
  <c r="M64" i="7" s="1"/>
  <c r="K73" i="7" l="1"/>
  <c r="L72" i="7" s="1"/>
  <c r="L55" i="7"/>
  <c r="Q55" i="7" s="1"/>
  <c r="K57" i="7"/>
  <c r="K72" i="7"/>
  <c r="M72" i="7" s="1"/>
  <c r="N72" i="7" s="1"/>
  <c r="M73" i="7" s="1"/>
  <c r="O73" i="7" s="1"/>
  <c r="O63" i="7"/>
  <c r="P53" i="7"/>
  <c r="P63" i="7"/>
  <c r="P91" i="7"/>
  <c r="O64" i="7"/>
  <c r="L63" i="7"/>
  <c r="Q63" i="7" s="1"/>
  <c r="P64" i="7"/>
  <c r="K66" i="7"/>
  <c r="K67" i="7"/>
  <c r="P54" i="7"/>
  <c r="L53" i="7"/>
  <c r="Q53" i="7" s="1"/>
  <c r="O54" i="7"/>
  <c r="K55" i="7"/>
  <c r="M92" i="7"/>
  <c r="Q91" i="7"/>
  <c r="N56" i="7"/>
  <c r="M57" i="7" s="1"/>
  <c r="P56" i="7"/>
  <c r="O56" i="7"/>
  <c r="O91" i="7"/>
  <c r="M85" i="7"/>
  <c r="Q84" i="7"/>
  <c r="J24" i="7"/>
  <c r="N24" i="7" s="1"/>
  <c r="Q24" i="7" s="1"/>
  <c r="T24" i="7"/>
  <c r="O53" i="7"/>
  <c r="O72" i="7"/>
  <c r="P72" i="7" l="1"/>
  <c r="K75" i="7"/>
  <c r="M75" i="7" s="1"/>
  <c r="N75" i="7" s="1"/>
  <c r="Q75" i="7" s="1"/>
  <c r="L56" i="7"/>
  <c r="K58" i="7"/>
  <c r="P73" i="7"/>
  <c r="Q72" i="7"/>
  <c r="M76" i="7"/>
  <c r="N57" i="7"/>
  <c r="M58" i="7" s="1"/>
  <c r="O57" i="7"/>
  <c r="P57" i="7"/>
  <c r="L66" i="7"/>
  <c r="O75" i="7"/>
  <c r="Q56" i="7"/>
  <c r="M66" i="7"/>
  <c r="N66" i="7" s="1"/>
  <c r="M67" i="7" s="1"/>
  <c r="O67" i="7" s="1"/>
  <c r="M25" i="7"/>
  <c r="O92" i="7"/>
  <c r="P92" i="7"/>
  <c r="N85" i="7"/>
  <c r="P85" i="7"/>
  <c r="O85" i="7"/>
  <c r="K69" i="7"/>
  <c r="K70" i="7"/>
  <c r="P55" i="7"/>
  <c r="L54" i="7"/>
  <c r="Q54" i="7" s="1"/>
  <c r="O55" i="7"/>
  <c r="J25" i="7"/>
  <c r="T25" i="7"/>
  <c r="W24" i="7"/>
  <c r="V24" i="7"/>
  <c r="U24" i="7"/>
  <c r="B49" i="1"/>
  <c r="P75" i="7" l="1"/>
  <c r="L57" i="7"/>
  <c r="Q57" i="7" s="1"/>
  <c r="K78" i="7"/>
  <c r="M78" i="7" s="1"/>
  <c r="N78" i="7" s="1"/>
  <c r="M79" i="7" s="1"/>
  <c r="P66" i="7"/>
  <c r="P67" i="7"/>
  <c r="Q66" i="7"/>
  <c r="M86" i="7"/>
  <c r="Q85" i="7"/>
  <c r="N25" i="7"/>
  <c r="O25" i="7"/>
  <c r="P25" i="7"/>
  <c r="O66" i="7"/>
  <c r="L69" i="7"/>
  <c r="Q78" i="7"/>
  <c r="M69" i="7"/>
  <c r="N69" i="7" s="1"/>
  <c r="M70" i="7" s="1"/>
  <c r="P70" i="7" s="1"/>
  <c r="N58" i="7"/>
  <c r="P58" i="7"/>
  <c r="O58" i="7"/>
  <c r="U25" i="7"/>
  <c r="V25" i="7"/>
  <c r="W25" i="7"/>
  <c r="P76" i="7"/>
  <c r="O76" i="7"/>
  <c r="L152" i="2"/>
  <c r="P78" i="7" l="1"/>
  <c r="O78" i="7"/>
  <c r="P69" i="7"/>
  <c r="O70" i="7"/>
  <c r="O69" i="7"/>
  <c r="N86" i="7"/>
  <c r="P86" i="7"/>
  <c r="O86" i="7"/>
  <c r="O79" i="7"/>
  <c r="P79" i="7"/>
  <c r="M26" i="7"/>
  <c r="Q25" i="7"/>
  <c r="M59" i="7"/>
  <c r="Q58" i="7"/>
  <c r="Q69" i="7"/>
  <c r="B98" i="2"/>
  <c r="I98" i="2" s="1"/>
  <c r="B96" i="2"/>
  <c r="B93" i="2"/>
  <c r="H49" i="2"/>
  <c r="F51" i="2"/>
  <c r="B53" i="2"/>
  <c r="H61" i="2" s="1"/>
  <c r="I52" i="2"/>
  <c r="N26" i="7" l="1"/>
  <c r="O26" i="7"/>
  <c r="P26" i="7"/>
  <c r="P59" i="7"/>
  <c r="O59" i="7"/>
  <c r="M87" i="7"/>
  <c r="Q86" i="7"/>
  <c r="I49" i="3"/>
  <c r="J49" i="3" s="1"/>
  <c r="C39" i="3"/>
  <c r="D39" i="3" s="1"/>
  <c r="C29" i="3"/>
  <c r="D29" i="3" s="1"/>
  <c r="L32" i="3"/>
  <c r="M32" i="3"/>
  <c r="L25" i="3"/>
  <c r="M25" i="3"/>
  <c r="B12" i="1"/>
  <c r="B7" i="9" s="1"/>
  <c r="C32" i="3"/>
  <c r="D32" i="3" s="1"/>
  <c r="L37" i="3"/>
  <c r="C25" i="3" s="1"/>
  <c r="L31" i="3"/>
  <c r="C24" i="3" s="1"/>
  <c r="B6" i="3"/>
  <c r="M27" i="7" l="1"/>
  <c r="Q26" i="7"/>
  <c r="N87" i="7"/>
  <c r="O87" i="7"/>
  <c r="P87" i="7"/>
  <c r="I65" i="1"/>
  <c r="J65" i="1" s="1"/>
  <c r="C55" i="1"/>
  <c r="D55" i="1" s="1"/>
  <c r="C49" i="1"/>
  <c r="D48" i="1"/>
  <c r="C48" i="1"/>
  <c r="C45" i="1"/>
  <c r="D45" i="1" s="1"/>
  <c r="C44" i="1"/>
  <c r="D44" i="1"/>
  <c r="M51" i="1"/>
  <c r="N51" i="1"/>
  <c r="L51" i="1"/>
  <c r="M44" i="1"/>
  <c r="N44" i="1"/>
  <c r="L44" i="1"/>
  <c r="L56" i="1"/>
  <c r="B41" i="1" s="1"/>
  <c r="L50" i="1"/>
  <c r="B40" i="1" s="1"/>
  <c r="B24" i="1"/>
  <c r="B11" i="1"/>
  <c r="B15" i="1" s="1"/>
  <c r="B18" i="1" l="1"/>
  <c r="B19" i="1" s="1"/>
  <c r="B17" i="1"/>
  <c r="B5" i="9"/>
  <c r="M88" i="7"/>
  <c r="Q87" i="7"/>
  <c r="N27" i="7"/>
  <c r="P27" i="7"/>
  <c r="O27" i="7"/>
  <c r="D49" i="1"/>
  <c r="M28" i="7" l="1"/>
  <c r="Q27" i="7"/>
  <c r="N88" i="7"/>
  <c r="O88" i="7"/>
  <c r="P88" i="7"/>
  <c r="H16" i="6"/>
  <c r="M89" i="7" l="1"/>
  <c r="Q88" i="7"/>
  <c r="N28" i="7"/>
  <c r="P28" i="7"/>
  <c r="O28" i="7"/>
  <c r="C11" i="4"/>
  <c r="C16" i="4" s="1"/>
  <c r="C12" i="4"/>
  <c r="C18" i="4" s="1"/>
  <c r="C14" i="4"/>
  <c r="D15" i="4"/>
  <c r="K32" i="3"/>
  <c r="K25" i="3"/>
  <c r="M29" i="7" l="1"/>
  <c r="Q28" i="7"/>
  <c r="O89" i="7"/>
  <c r="P89" i="7"/>
  <c r="B236" i="2"/>
  <c r="N29" i="7" l="1"/>
  <c r="O29" i="7"/>
  <c r="P29" i="7"/>
  <c r="B5" i="2"/>
  <c r="B6" i="2"/>
  <c r="B4" i="2"/>
  <c r="M30" i="7" l="1"/>
  <c r="Q29" i="7"/>
  <c r="J91" i="2"/>
  <c r="E46" i="2"/>
  <c r="B68" i="2"/>
  <c r="B69" i="2" s="1"/>
  <c r="B71" i="2"/>
  <c r="B73" i="2"/>
  <c r="L5" i="4"/>
  <c r="L6" i="4"/>
  <c r="C3" i="4"/>
  <c r="E3" i="4" s="1"/>
  <c r="D19" i="4"/>
  <c r="H17" i="6"/>
  <c r="L17" i="4"/>
  <c r="D19" i="5" s="1"/>
  <c r="L15" i="4"/>
  <c r="D17" i="5" s="1"/>
  <c r="D34" i="5" s="1"/>
  <c r="D5" i="6"/>
  <c r="L16" i="4"/>
  <c r="D18" i="5" s="1"/>
  <c r="L18" i="4"/>
  <c r="D20" i="5" s="1"/>
  <c r="D88" i="5" s="1"/>
  <c r="O88" i="5" s="1"/>
  <c r="L11" i="4"/>
  <c r="D9" i="5" s="1"/>
  <c r="E9" i="5"/>
  <c r="E60" i="5" s="1"/>
  <c r="L12" i="4"/>
  <c r="D10" i="5" s="1"/>
  <c r="L13" i="4"/>
  <c r="D11" i="5" s="1"/>
  <c r="L14" i="4"/>
  <c r="C11" i="6" s="1"/>
  <c r="C9" i="6"/>
  <c r="I18" i="6"/>
  <c r="I19" i="6" s="1"/>
  <c r="I7" i="6"/>
  <c r="I9" i="6"/>
  <c r="I11" i="6"/>
  <c r="I12" i="6"/>
  <c r="I13" i="6"/>
  <c r="I15" i="6"/>
  <c r="I17" i="6"/>
  <c r="I20" i="6"/>
  <c r="C20" i="5"/>
  <c r="C71" i="5" s="1"/>
  <c r="B37" i="5"/>
  <c r="C19" i="5"/>
  <c r="C36" i="5" s="1"/>
  <c r="C18" i="5"/>
  <c r="C52" i="5" s="1"/>
  <c r="C17" i="5"/>
  <c r="C34" i="5" s="1"/>
  <c r="A34" i="5"/>
  <c r="B33" i="5"/>
  <c r="A33" i="5"/>
  <c r="E32" i="5"/>
  <c r="D32" i="5"/>
  <c r="C32" i="5"/>
  <c r="A32" i="5"/>
  <c r="C12" i="5"/>
  <c r="C29" i="5" s="1"/>
  <c r="C11" i="5"/>
  <c r="C28" i="5" s="1"/>
  <c r="B28" i="5"/>
  <c r="C10" i="5"/>
  <c r="C44" i="5" s="1"/>
  <c r="C9" i="5"/>
  <c r="C26" i="5" s="1"/>
  <c r="A26" i="5"/>
  <c r="B25" i="5"/>
  <c r="A25" i="5"/>
  <c r="E24" i="5"/>
  <c r="D24" i="5"/>
  <c r="C24" i="5"/>
  <c r="A24" i="5"/>
  <c r="B105" i="5"/>
  <c r="A102" i="5"/>
  <c r="B101" i="5"/>
  <c r="A101" i="5"/>
  <c r="E100" i="5"/>
  <c r="D100" i="5"/>
  <c r="C100" i="5"/>
  <c r="A100" i="5"/>
  <c r="B96" i="5"/>
  <c r="A94" i="5"/>
  <c r="B93" i="5"/>
  <c r="A93" i="5"/>
  <c r="E92" i="5"/>
  <c r="D92" i="5"/>
  <c r="C92" i="5"/>
  <c r="A92" i="5"/>
  <c r="B88" i="5"/>
  <c r="A85" i="5"/>
  <c r="B84" i="5"/>
  <c r="A84" i="5"/>
  <c r="E83" i="5"/>
  <c r="D83" i="5"/>
  <c r="C83" i="5"/>
  <c r="A83" i="5"/>
  <c r="B79" i="5"/>
  <c r="A77" i="5"/>
  <c r="B76" i="5"/>
  <c r="A76" i="5"/>
  <c r="E75" i="5"/>
  <c r="D75" i="5"/>
  <c r="C75" i="5"/>
  <c r="A75" i="5"/>
  <c r="B71" i="5"/>
  <c r="A68" i="5"/>
  <c r="B67" i="5"/>
  <c r="A67" i="5"/>
  <c r="E66" i="5"/>
  <c r="D66" i="5"/>
  <c r="C66" i="5"/>
  <c r="A66" i="5"/>
  <c r="B62" i="5"/>
  <c r="A60" i="5"/>
  <c r="B59" i="5"/>
  <c r="A59" i="5"/>
  <c r="E58" i="5"/>
  <c r="D58" i="5"/>
  <c r="C58" i="5"/>
  <c r="A58" i="5"/>
  <c r="B54" i="5"/>
  <c r="C53" i="5"/>
  <c r="A51" i="5"/>
  <c r="B50" i="5"/>
  <c r="A50" i="5"/>
  <c r="E49" i="5"/>
  <c r="D49" i="5"/>
  <c r="C49" i="5"/>
  <c r="A49" i="5"/>
  <c r="B45" i="5"/>
  <c r="A43" i="5"/>
  <c r="B42" i="5"/>
  <c r="A42" i="5"/>
  <c r="E41" i="5"/>
  <c r="D41" i="5"/>
  <c r="C41" i="5"/>
  <c r="A41" i="5"/>
  <c r="B4" i="3"/>
  <c r="M37" i="3"/>
  <c r="D25" i="3" s="1"/>
  <c r="M31" i="3"/>
  <c r="D24" i="3" s="1"/>
  <c r="K37" i="3"/>
  <c r="B25" i="3" s="1"/>
  <c r="C28" i="3"/>
  <c r="D28" i="3" s="1"/>
  <c r="K31" i="3"/>
  <c r="B24" i="3" s="1"/>
  <c r="B262" i="2"/>
  <c r="B248" i="2"/>
  <c r="B210" i="2"/>
  <c r="B147" i="2"/>
  <c r="B143" i="2"/>
  <c r="E198" i="2"/>
  <c r="B185" i="2"/>
  <c r="B182" i="2"/>
  <c r="E175" i="2"/>
  <c r="F169" i="2"/>
  <c r="O157" i="2"/>
  <c r="E145" i="2"/>
  <c r="I130" i="2" s="1"/>
  <c r="H127" i="2"/>
  <c r="B126" i="2"/>
  <c r="B127" i="2"/>
  <c r="B105" i="2"/>
  <c r="H132" i="2"/>
  <c r="H121" i="2"/>
  <c r="S114" i="2"/>
  <c r="J98" i="2"/>
  <c r="P40" i="2"/>
  <c r="J37" i="2"/>
  <c r="P39" i="2"/>
  <c r="X38" i="2"/>
  <c r="P38" i="2"/>
  <c r="H38" i="2"/>
  <c r="P37" i="2"/>
  <c r="P36" i="2"/>
  <c r="X35" i="2"/>
  <c r="P35" i="2"/>
  <c r="P34" i="2"/>
  <c r="B34" i="2"/>
  <c r="P33" i="2"/>
  <c r="X32" i="2"/>
  <c r="P32" i="2"/>
  <c r="H32" i="2"/>
  <c r="P31" i="2"/>
  <c r="X30" i="2"/>
  <c r="P30" i="2"/>
  <c r="P29" i="2"/>
  <c r="P28" i="2"/>
  <c r="D27" i="2"/>
  <c r="E26" i="2"/>
  <c r="D25" i="2"/>
  <c r="N56" i="1"/>
  <c r="N50" i="1"/>
  <c r="D40" i="1" s="1"/>
  <c r="M56" i="1"/>
  <c r="C41" i="1" s="1"/>
  <c r="M50" i="1"/>
  <c r="B8" i="7" l="1"/>
  <c r="B10" i="9" s="1"/>
  <c r="B7" i="7"/>
  <c r="B9" i="9" s="1"/>
  <c r="B14" i="9" s="1"/>
  <c r="B99" i="7"/>
  <c r="D20" i="4"/>
  <c r="C45" i="5"/>
  <c r="C88" i="5"/>
  <c r="C13" i="6"/>
  <c r="C5" i="6"/>
  <c r="N30" i="7"/>
  <c r="P30" i="7"/>
  <c r="O30" i="7"/>
  <c r="C62" i="5"/>
  <c r="C79" i="5"/>
  <c r="C96" i="5"/>
  <c r="C46" i="5"/>
  <c r="C97" i="5"/>
  <c r="C80" i="5"/>
  <c r="C54" i="5"/>
  <c r="C105" i="5"/>
  <c r="C37" i="5"/>
  <c r="C40" i="1"/>
  <c r="D41" i="1"/>
  <c r="D52" i="5"/>
  <c r="D103" i="5"/>
  <c r="O103" i="5" s="1"/>
  <c r="D35" i="5"/>
  <c r="D28" i="5"/>
  <c r="C63" i="5"/>
  <c r="C15" i="6"/>
  <c r="E77" i="5"/>
  <c r="J17" i="6"/>
  <c r="C17" i="6"/>
  <c r="D12" i="5"/>
  <c r="D80" i="5" s="1"/>
  <c r="O80" i="5" s="1"/>
  <c r="C19" i="6"/>
  <c r="D105" i="5"/>
  <c r="O105" i="5" s="1"/>
  <c r="D71" i="5"/>
  <c r="O71" i="5" s="1"/>
  <c r="D54" i="5"/>
  <c r="D86" i="5"/>
  <c r="O86" i="5" s="1"/>
  <c r="D69" i="5"/>
  <c r="O69" i="5" s="1"/>
  <c r="D68" i="5"/>
  <c r="O68" i="5" s="1"/>
  <c r="D102" i="5"/>
  <c r="O102" i="5" s="1"/>
  <c r="D51" i="5"/>
  <c r="D85" i="5"/>
  <c r="O85" i="5" s="1"/>
  <c r="D96" i="5"/>
  <c r="O96" i="5" s="1"/>
  <c r="C7" i="6"/>
  <c r="E94" i="5"/>
  <c r="D53" i="5"/>
  <c r="D70" i="5"/>
  <c r="O70" i="5" s="1"/>
  <c r="D87" i="5"/>
  <c r="O87" i="5" s="1"/>
  <c r="D104" i="5"/>
  <c r="O104" i="5" s="1"/>
  <c r="D94" i="5"/>
  <c r="O94" i="5" s="1"/>
  <c r="D26" i="5"/>
  <c r="D43" i="5"/>
  <c r="D60" i="5"/>
  <c r="O60" i="5" s="1"/>
  <c r="D77" i="5"/>
  <c r="O77" i="5" s="1"/>
  <c r="C95" i="5"/>
  <c r="C78" i="5"/>
  <c r="C61" i="5"/>
  <c r="C27" i="5"/>
  <c r="C103" i="5"/>
  <c r="C86" i="5"/>
  <c r="C69" i="5"/>
  <c r="C35" i="5"/>
  <c r="D36" i="5"/>
  <c r="D27" i="5"/>
  <c r="D44" i="5"/>
  <c r="D61" i="5"/>
  <c r="O61" i="5" s="1"/>
  <c r="D78" i="5"/>
  <c r="O78" i="5" s="1"/>
  <c r="D95" i="5"/>
  <c r="O95" i="5" s="1"/>
  <c r="E26" i="5"/>
  <c r="E43" i="5"/>
  <c r="D37" i="5"/>
  <c r="C51" i="5"/>
  <c r="C70" i="5"/>
  <c r="C87" i="5"/>
  <c r="C104" i="5"/>
  <c r="C43" i="5"/>
  <c r="C60" i="5"/>
  <c r="C68" i="5"/>
  <c r="C77" i="5"/>
  <c r="C85" i="5"/>
  <c r="C94" i="5"/>
  <c r="C102" i="5"/>
  <c r="D79" i="5"/>
  <c r="O79" i="5" s="1"/>
  <c r="D62" i="5"/>
  <c r="O62" i="5" s="1"/>
  <c r="D45" i="5"/>
  <c r="B128" i="2"/>
  <c r="H137" i="2"/>
  <c r="B99" i="2"/>
  <c r="B72" i="2" s="1"/>
  <c r="B75" i="2" s="1"/>
  <c r="I100" i="2"/>
  <c r="B15" i="9" l="1"/>
  <c r="B64" i="9" s="1"/>
  <c r="B18" i="9"/>
  <c r="B20" i="9" s="1"/>
  <c r="B33" i="9" s="1"/>
  <c r="B49" i="9" s="1"/>
  <c r="B111" i="9"/>
  <c r="B112" i="9" s="1"/>
  <c r="M31" i="7"/>
  <c r="O31" i="7" s="1"/>
  <c r="Q30" i="7"/>
  <c r="C5" i="4"/>
  <c r="C6" i="4" s="1"/>
  <c r="C7" i="4" s="1"/>
  <c r="B16" i="1"/>
  <c r="D97" i="5"/>
  <c r="O97" i="5" s="1"/>
  <c r="D46" i="5"/>
  <c r="D29" i="5"/>
  <c r="D63" i="5"/>
  <c r="O63" i="5" s="1"/>
  <c r="D7" i="6"/>
  <c r="E10" i="5"/>
  <c r="B16" i="9" l="1"/>
  <c r="B23" i="1"/>
  <c r="B2" i="2"/>
  <c r="B115" i="9"/>
  <c r="B113" i="9"/>
  <c r="B65" i="9"/>
  <c r="B58" i="9"/>
  <c r="B19" i="9"/>
  <c r="B17" i="9"/>
  <c r="B104" i="9"/>
  <c r="B107" i="9" s="1"/>
  <c r="B108" i="9" s="1"/>
  <c r="B135" i="9" s="1"/>
  <c r="B53" i="9"/>
  <c r="H105" i="9" s="1"/>
  <c r="B7" i="2"/>
  <c r="C4" i="4"/>
  <c r="B5" i="7" s="1"/>
  <c r="B10" i="7" s="1"/>
  <c r="D24" i="7" s="1"/>
  <c r="E27" i="5"/>
  <c r="E44" i="5"/>
  <c r="E61" i="5"/>
  <c r="E78" i="5"/>
  <c r="E95" i="5"/>
  <c r="D9" i="6"/>
  <c r="E11" i="5"/>
  <c r="B26" i="2" l="1"/>
  <c r="B11" i="2"/>
  <c r="B12" i="2" s="1"/>
  <c r="F130" i="9"/>
  <c r="B59" i="9"/>
  <c r="B54" i="9"/>
  <c r="E110" i="9" s="1"/>
  <c r="B109" i="9"/>
  <c r="A132" i="9" s="1"/>
  <c r="B85" i="9"/>
  <c r="B89" i="9" s="1"/>
  <c r="B93" i="9" s="1"/>
  <c r="B125" i="9" s="1"/>
  <c r="B86" i="9"/>
  <c r="B90" i="9" s="1"/>
  <c r="B94" i="9" s="1"/>
  <c r="B126" i="9" s="1"/>
  <c r="B120" i="9"/>
  <c r="B116" i="9"/>
  <c r="B117" i="9" s="1"/>
  <c r="B121" i="9"/>
  <c r="B122" i="9" s="1"/>
  <c r="D53" i="7"/>
  <c r="D55" i="7"/>
  <c r="D69" i="7"/>
  <c r="E69" i="7" s="1"/>
  <c r="D30" i="7"/>
  <c r="D88" i="7"/>
  <c r="D35" i="7"/>
  <c r="E35" i="7" s="1"/>
  <c r="D28" i="7"/>
  <c r="D87" i="7"/>
  <c r="D75" i="7"/>
  <c r="E75" i="7" s="1"/>
  <c r="D72" i="7"/>
  <c r="E72" i="7" s="1"/>
  <c r="D44" i="7"/>
  <c r="E44" i="7" s="1"/>
  <c r="D66" i="7"/>
  <c r="E66" i="7" s="1"/>
  <c r="D41" i="7"/>
  <c r="E41" i="7" s="1"/>
  <c r="D63" i="7"/>
  <c r="E63" i="7" s="1"/>
  <c r="D38" i="7"/>
  <c r="E38" i="7" s="1"/>
  <c r="D86" i="7"/>
  <c r="D27" i="7"/>
  <c r="D84" i="7"/>
  <c r="D26" i="7"/>
  <c r="D57" i="7"/>
  <c r="D25" i="7"/>
  <c r="D56" i="7"/>
  <c r="D50" i="7"/>
  <c r="E50" i="7" s="1"/>
  <c r="D94" i="7"/>
  <c r="D78" i="7"/>
  <c r="E78" i="7" s="1"/>
  <c r="D47" i="7"/>
  <c r="E47" i="7" s="1"/>
  <c r="D91" i="7"/>
  <c r="D83" i="7"/>
  <c r="D54" i="7"/>
  <c r="D29" i="7"/>
  <c r="D58" i="7"/>
  <c r="D85" i="7"/>
  <c r="E24" i="7"/>
  <c r="G12" i="2"/>
  <c r="C52" i="1"/>
  <c r="C73" i="1" s="1"/>
  <c r="C37" i="1"/>
  <c r="C32" i="1"/>
  <c r="G32" i="1" s="1"/>
  <c r="C36" i="1"/>
  <c r="C33" i="1"/>
  <c r="G33" i="1" s="1"/>
  <c r="C53" i="1"/>
  <c r="E17" i="4"/>
  <c r="E18" i="4"/>
  <c r="E11" i="4"/>
  <c r="G11" i="4" s="1"/>
  <c r="F12" i="4" s="1"/>
  <c r="E15" i="4"/>
  <c r="G15" i="4" s="1"/>
  <c r="E13" i="4"/>
  <c r="E16" i="4"/>
  <c r="E12" i="4"/>
  <c r="E14" i="4"/>
  <c r="G14" i="4" s="1"/>
  <c r="C20" i="4"/>
  <c r="E6" i="4"/>
  <c r="G6" i="4" s="1"/>
  <c r="E7" i="4"/>
  <c r="E8" i="4" s="1"/>
  <c r="B256" i="2"/>
  <c r="B257" i="2" s="1"/>
  <c r="B2" i="3"/>
  <c r="B7" i="3" s="1"/>
  <c r="B269" i="2"/>
  <c r="B271" i="2" s="1"/>
  <c r="E237" i="2"/>
  <c r="B249" i="2"/>
  <c r="B252" i="2" s="1"/>
  <c r="B253" i="2" s="1"/>
  <c r="B254" i="2" s="1"/>
  <c r="D52" i="1"/>
  <c r="D53" i="1"/>
  <c r="G53" i="1" s="1"/>
  <c r="B26" i="1"/>
  <c r="B33" i="1"/>
  <c r="F33" i="1" s="1"/>
  <c r="D37" i="1"/>
  <c r="B37" i="1"/>
  <c r="D33" i="1"/>
  <c r="H33" i="1" s="1"/>
  <c r="B53" i="1"/>
  <c r="F53" i="1" s="1"/>
  <c r="B52" i="1"/>
  <c r="B73" i="1" s="1"/>
  <c r="D32" i="1"/>
  <c r="H32" i="1" s="1"/>
  <c r="D36" i="1"/>
  <c r="B36" i="1"/>
  <c r="B32" i="1"/>
  <c r="F32" i="1" s="1"/>
  <c r="D23" i="1"/>
  <c r="F65" i="1" s="1"/>
  <c r="D19" i="6"/>
  <c r="E20" i="5"/>
  <c r="C15" i="4"/>
  <c r="D11" i="6"/>
  <c r="E12" i="5"/>
  <c r="E28" i="5"/>
  <c r="E45" i="5"/>
  <c r="E62" i="5"/>
  <c r="E79" i="5"/>
  <c r="E96" i="5"/>
  <c r="H14" i="4" l="1"/>
  <c r="F12" i="5" s="1"/>
  <c r="G19" i="4"/>
  <c r="B30" i="2"/>
  <c r="B31" i="2" s="1"/>
  <c r="B29" i="2"/>
  <c r="B32" i="2" s="1"/>
  <c r="B74" i="9"/>
  <c r="B72" i="9" s="1"/>
  <c r="H119" i="9" s="1"/>
  <c r="B61" i="9"/>
  <c r="I129" i="9"/>
  <c r="B75" i="9"/>
  <c r="K111" i="9" s="1"/>
  <c r="G66" i="7"/>
  <c r="H66" i="7" s="1"/>
  <c r="X66" i="7"/>
  <c r="Y66" i="7" s="1"/>
  <c r="G38" i="7"/>
  <c r="H38" i="7" s="1"/>
  <c r="X38" i="7"/>
  <c r="Y38" i="7" s="1"/>
  <c r="D97" i="7"/>
  <c r="E99" i="7" s="1"/>
  <c r="G35" i="7"/>
  <c r="H35" i="7" s="1"/>
  <c r="X35" i="7"/>
  <c r="Y35" i="7" s="1"/>
  <c r="X44" i="7"/>
  <c r="Y44" i="7" s="1"/>
  <c r="G44" i="7"/>
  <c r="X69" i="7"/>
  <c r="Y69" i="7" s="1"/>
  <c r="G69" i="7"/>
  <c r="H69" i="7" s="1"/>
  <c r="G63" i="7"/>
  <c r="H63" i="7" s="1"/>
  <c r="X63" i="7"/>
  <c r="Y63" i="7" s="1"/>
  <c r="G41" i="7"/>
  <c r="X41" i="7"/>
  <c r="Y41" i="7" s="1"/>
  <c r="X47" i="7"/>
  <c r="Y47" i="7" s="1"/>
  <c r="G47" i="7"/>
  <c r="H47" i="7" s="1"/>
  <c r="X72" i="7"/>
  <c r="Y72" i="7" s="1"/>
  <c r="G72" i="7"/>
  <c r="H72" i="7" s="1"/>
  <c r="X50" i="7"/>
  <c r="Y50" i="7" s="1"/>
  <c r="G50" i="7"/>
  <c r="H50" i="7" s="1"/>
  <c r="G24" i="7"/>
  <c r="H24" i="7" s="1"/>
  <c r="X24" i="7"/>
  <c r="Y24" i="7" s="1"/>
  <c r="E25" i="7"/>
  <c r="G78" i="7"/>
  <c r="H78" i="7" s="1"/>
  <c r="X78" i="7"/>
  <c r="Y78" i="7" s="1"/>
  <c r="G75" i="7"/>
  <c r="H75" i="7" s="1"/>
  <c r="X75" i="7"/>
  <c r="Y75" i="7" s="1"/>
  <c r="G8" i="4"/>
  <c r="C58" i="1"/>
  <c r="B59" i="1"/>
  <c r="G52" i="1"/>
  <c r="D73" i="1"/>
  <c r="C59" i="1"/>
  <c r="M14" i="4"/>
  <c r="N14" i="4" s="1"/>
  <c r="I27" i="4" s="1"/>
  <c r="I14" i="4"/>
  <c r="J14" i="4" s="1"/>
  <c r="D59" i="1"/>
  <c r="B58" i="1"/>
  <c r="G7" i="4"/>
  <c r="J6" i="4" s="1"/>
  <c r="D58" i="1"/>
  <c r="F16" i="4"/>
  <c r="G16" i="4" s="1"/>
  <c r="H15" i="4"/>
  <c r="B113" i="2"/>
  <c r="B111" i="2"/>
  <c r="B87" i="2"/>
  <c r="B89" i="2" s="1"/>
  <c r="B90" i="2" s="1"/>
  <c r="P25" i="2"/>
  <c r="B112" i="2"/>
  <c r="B109" i="2"/>
  <c r="B40" i="2"/>
  <c r="B39" i="2" s="1"/>
  <c r="B46" i="2" s="1"/>
  <c r="B140" i="2"/>
  <c r="E19" i="4"/>
  <c r="E20" i="4" s="1"/>
  <c r="F52" i="1"/>
  <c r="D16" i="3"/>
  <c r="H16" i="3" s="1"/>
  <c r="F49" i="3"/>
  <c r="B260" i="2"/>
  <c r="B258" i="2"/>
  <c r="E97" i="5"/>
  <c r="E80" i="5"/>
  <c r="E63" i="5"/>
  <c r="E46" i="5"/>
  <c r="E29" i="5"/>
  <c r="D13" i="6"/>
  <c r="E17" i="5"/>
  <c r="E37" i="5"/>
  <c r="E54" i="5"/>
  <c r="E71" i="5"/>
  <c r="E88" i="5"/>
  <c r="E105" i="5"/>
  <c r="H12" i="5"/>
  <c r="I12" i="5" s="1"/>
  <c r="J12" i="5" s="1"/>
  <c r="G12" i="5"/>
  <c r="B141" i="2" l="1"/>
  <c r="B144" i="2"/>
  <c r="B73" i="9"/>
  <c r="L111" i="9" s="1"/>
  <c r="B71" i="9"/>
  <c r="M111" i="9" s="1"/>
  <c r="B78" i="9"/>
  <c r="E129" i="9" s="1"/>
  <c r="H129" i="9"/>
  <c r="H131" i="9"/>
  <c r="H117" i="9" s="1"/>
  <c r="B70" i="9"/>
  <c r="H120" i="9" s="1"/>
  <c r="H125" i="9" s="1"/>
  <c r="E83" i="7"/>
  <c r="H44" i="7"/>
  <c r="F56" i="7"/>
  <c r="F57" i="7" s="1"/>
  <c r="F58" i="7" s="1"/>
  <c r="E26" i="7"/>
  <c r="E27" i="7" s="1"/>
  <c r="E28" i="7" s="1"/>
  <c r="E29" i="7" s="1"/>
  <c r="E30" i="7" s="1"/>
  <c r="G25" i="7"/>
  <c r="H25" i="7" s="1"/>
  <c r="X25" i="7"/>
  <c r="Y25" i="7" s="1"/>
  <c r="E53" i="7"/>
  <c r="F55" i="7"/>
  <c r="H41" i="7"/>
  <c r="C60" i="1"/>
  <c r="C64" i="1" s="1"/>
  <c r="C65" i="1" s="1"/>
  <c r="C66" i="1" s="1"/>
  <c r="C68" i="1" s="1"/>
  <c r="B114" i="2"/>
  <c r="B117" i="2" s="1"/>
  <c r="B48" i="2"/>
  <c r="B50" i="2" s="1"/>
  <c r="B51" i="2" s="1"/>
  <c r="H57" i="2" s="1"/>
  <c r="H52" i="2"/>
  <c r="B130" i="2"/>
  <c r="B162" i="2"/>
  <c r="B170" i="2" s="1"/>
  <c r="B173" i="2" s="1"/>
  <c r="C33" i="3"/>
  <c r="D33" i="3" s="1"/>
  <c r="C37" i="3"/>
  <c r="B36" i="3"/>
  <c r="B57" i="3" s="1"/>
  <c r="C36" i="3"/>
  <c r="C57" i="3" s="1"/>
  <c r="B37" i="3"/>
  <c r="F16" i="3"/>
  <c r="C17" i="3"/>
  <c r="G17" i="3" s="1"/>
  <c r="B17" i="3"/>
  <c r="F17" i="3" s="1"/>
  <c r="C16" i="3"/>
  <c r="G16" i="3" s="1"/>
  <c r="D17" i="3"/>
  <c r="H17" i="3" s="1"/>
  <c r="C21" i="3"/>
  <c r="C20" i="3"/>
  <c r="D60" i="1"/>
  <c r="D64" i="1" s="1"/>
  <c r="D65" i="1" s="1"/>
  <c r="D66" i="1" s="1"/>
  <c r="D68" i="1" s="1"/>
  <c r="B60" i="1"/>
  <c r="D20" i="3"/>
  <c r="D36" i="3"/>
  <c r="D57" i="3" s="1"/>
  <c r="D21" i="3"/>
  <c r="B10" i="3"/>
  <c r="D37" i="3"/>
  <c r="D7" i="3"/>
  <c r="B21" i="3"/>
  <c r="B20" i="3"/>
  <c r="I15" i="4"/>
  <c r="J15" i="4" s="1"/>
  <c r="F17" i="5"/>
  <c r="M15" i="4"/>
  <c r="N15" i="4" s="1"/>
  <c r="H11" i="4"/>
  <c r="G12" i="4"/>
  <c r="B263" i="2"/>
  <c r="B264" i="2"/>
  <c r="B265" i="2" s="1"/>
  <c r="B148" i="2"/>
  <c r="B149" i="2" s="1"/>
  <c r="B145" i="2"/>
  <c r="B159" i="2"/>
  <c r="B180" i="2" s="1"/>
  <c r="B214" i="2"/>
  <c r="B196" i="2"/>
  <c r="B198" i="2" s="1"/>
  <c r="F126" i="2"/>
  <c r="F130" i="2" s="1"/>
  <c r="H116" i="2"/>
  <c r="H129" i="2" s="1"/>
  <c r="B121" i="2"/>
  <c r="F20" i="2"/>
  <c r="E18" i="2" s="1"/>
  <c r="B15" i="2"/>
  <c r="D14" i="2" s="1"/>
  <c r="C13" i="2" s="1"/>
  <c r="I38" i="2"/>
  <c r="H36" i="2"/>
  <c r="G11" i="2"/>
  <c r="F36" i="2" s="1"/>
  <c r="E51" i="5"/>
  <c r="E68" i="5"/>
  <c r="E85" i="5"/>
  <c r="E102" i="5"/>
  <c r="E34" i="5"/>
  <c r="E18" i="5"/>
  <c r="D15" i="6"/>
  <c r="C17" i="4"/>
  <c r="B64" i="1" l="1"/>
  <c r="B65" i="1" s="1"/>
  <c r="B66" i="1" s="1"/>
  <c r="B68" i="1" s="1"/>
  <c r="X26" i="7"/>
  <c r="Y26" i="7" s="1"/>
  <c r="G26" i="7"/>
  <c r="H26" i="7" s="1"/>
  <c r="X53" i="7"/>
  <c r="Y53" i="7" s="1"/>
  <c r="G53" i="7"/>
  <c r="H53" i="7" s="1"/>
  <c r="E54" i="7"/>
  <c r="X27" i="7"/>
  <c r="Y27" i="7" s="1"/>
  <c r="G27" i="7"/>
  <c r="H27" i="7" s="1"/>
  <c r="C54" i="2"/>
  <c r="C55" i="2" s="1"/>
  <c r="C56" i="2" s="1"/>
  <c r="C57" i="2" s="1"/>
  <c r="C58" i="2" s="1"/>
  <c r="C59" i="2" s="1"/>
  <c r="G83" i="7"/>
  <c r="H83" i="7" s="1"/>
  <c r="X83" i="7"/>
  <c r="Y83" i="7" s="1"/>
  <c r="E84" i="7"/>
  <c r="B118" i="2"/>
  <c r="B125" i="2" s="1"/>
  <c r="B123" i="2"/>
  <c r="J55" i="2"/>
  <c r="H12" i="2"/>
  <c r="I11" i="2" s="1"/>
  <c r="B150" i="2"/>
  <c r="C43" i="3"/>
  <c r="C42" i="3"/>
  <c r="B43" i="3"/>
  <c r="D43" i="3"/>
  <c r="G17" i="5"/>
  <c r="H17" i="5"/>
  <c r="I17" i="5" s="1"/>
  <c r="J17" i="5" s="1"/>
  <c r="D42" i="3"/>
  <c r="B42" i="3"/>
  <c r="H39" i="2"/>
  <c r="D32" i="2"/>
  <c r="B222" i="2"/>
  <c r="B227" i="2" s="1"/>
  <c r="B228" i="2" s="1"/>
  <c r="B230" i="2" s="1"/>
  <c r="D216" i="2"/>
  <c r="B237" i="2"/>
  <c r="F237" i="2" s="1"/>
  <c r="H12" i="4"/>
  <c r="F13" i="4"/>
  <c r="B190" i="2"/>
  <c r="B163" i="2"/>
  <c r="B166" i="2" s="1"/>
  <c r="E166" i="2" s="1"/>
  <c r="B161" i="2"/>
  <c r="H19" i="4"/>
  <c r="M11" i="4"/>
  <c r="N11" i="4" s="1"/>
  <c r="I11" i="4"/>
  <c r="J11" i="4" s="1"/>
  <c r="F9" i="5"/>
  <c r="H130" i="2"/>
  <c r="B122" i="2"/>
  <c r="B201" i="2"/>
  <c r="B152" i="2"/>
  <c r="D29" i="2"/>
  <c r="E29" i="2" s="1"/>
  <c r="E19" i="5"/>
  <c r="D17" i="6"/>
  <c r="E52" i="5"/>
  <c r="E69" i="5"/>
  <c r="E86" i="5"/>
  <c r="E103" i="5"/>
  <c r="E35" i="5"/>
  <c r="C63" i="2" l="1"/>
  <c r="G54" i="7"/>
  <c r="H54" i="7" s="1"/>
  <c r="X54" i="7"/>
  <c r="Y54" i="7" s="1"/>
  <c r="E55" i="7"/>
  <c r="E56" i="7" s="1"/>
  <c r="X84" i="7"/>
  <c r="Y84" i="7" s="1"/>
  <c r="G84" i="7"/>
  <c r="H84" i="7" s="1"/>
  <c r="E85" i="7"/>
  <c r="X29" i="7"/>
  <c r="Y29" i="7" s="1"/>
  <c r="G29" i="7"/>
  <c r="H29" i="7" s="1"/>
  <c r="G28" i="7"/>
  <c r="H28" i="7" s="1"/>
  <c r="X28" i="7"/>
  <c r="Y28" i="7" s="1"/>
  <c r="B120" i="2"/>
  <c r="F122" i="2" s="1"/>
  <c r="H174" i="2"/>
  <c r="B192" i="2"/>
  <c r="B131" i="2"/>
  <c r="B132" i="2" s="1"/>
  <c r="B134" i="2" s="1"/>
  <c r="D44" i="3"/>
  <c r="B44" i="3"/>
  <c r="C44" i="3"/>
  <c r="C48" i="3" s="1"/>
  <c r="C49" i="3" s="1"/>
  <c r="C50" i="3" s="1"/>
  <c r="C52" i="3" s="1"/>
  <c r="B183" i="2"/>
  <c r="B184" i="2" s="1"/>
  <c r="D184" i="2" s="1"/>
  <c r="B164" i="2"/>
  <c r="B167" i="2" s="1"/>
  <c r="G144" i="2" s="1"/>
  <c r="B171" i="2"/>
  <c r="G156" i="2"/>
  <c r="J132" i="2"/>
  <c r="B156" i="2"/>
  <c r="C156" i="2" s="1"/>
  <c r="B154" i="2"/>
  <c r="C188" i="2" s="1"/>
  <c r="J145" i="2"/>
  <c r="B202" i="2" s="1"/>
  <c r="B205" i="2" s="1"/>
  <c r="B153" i="2"/>
  <c r="B177" i="2"/>
  <c r="H144" i="2" s="1"/>
  <c r="F17" i="4"/>
  <c r="G13" i="4"/>
  <c r="H9" i="5"/>
  <c r="I9" i="5" s="1"/>
  <c r="J9" i="5" s="1"/>
  <c r="G9" i="5"/>
  <c r="F10" i="5"/>
  <c r="I12" i="4"/>
  <c r="J12" i="4" s="1"/>
  <c r="M12" i="4"/>
  <c r="N12" i="4" s="1"/>
  <c r="B242" i="2"/>
  <c r="B243" i="2" s="1"/>
  <c r="E36" i="5"/>
  <c r="E70" i="5"/>
  <c r="E104" i="5"/>
  <c r="E87" i="5"/>
  <c r="E53" i="5"/>
  <c r="C61" i="2"/>
  <c r="C62" i="2"/>
  <c r="C60" i="2"/>
  <c r="G85" i="7" l="1"/>
  <c r="H85" i="7" s="1"/>
  <c r="X85" i="7"/>
  <c r="Y85" i="7" s="1"/>
  <c r="E86" i="7"/>
  <c r="G55" i="7"/>
  <c r="H55" i="7" s="1"/>
  <c r="X55" i="7"/>
  <c r="Y55" i="7" s="1"/>
  <c r="G56" i="7"/>
  <c r="H56" i="7" s="1"/>
  <c r="X56" i="7"/>
  <c r="Y56" i="7" s="1"/>
  <c r="E57" i="7"/>
  <c r="X30" i="7"/>
  <c r="Y30" i="7" s="1"/>
  <c r="G30" i="7"/>
  <c r="I133" i="2"/>
  <c r="B133" i="2"/>
  <c r="F135" i="2"/>
  <c r="B48" i="3"/>
  <c r="B49" i="3" s="1"/>
  <c r="B50" i="3" s="1"/>
  <c r="B52" i="3" s="1"/>
  <c r="D48" i="3"/>
  <c r="D49" i="3" s="1"/>
  <c r="D50" i="3" s="1"/>
  <c r="D52" i="3" s="1"/>
  <c r="B172" i="2"/>
  <c r="G147" i="2" s="1"/>
  <c r="F18" i="4"/>
  <c r="G17" i="4"/>
  <c r="H13" i="4"/>
  <c r="B215" i="2"/>
  <c r="B232" i="2" s="1"/>
  <c r="F150" i="2"/>
  <c r="B188" i="2"/>
  <c r="B115" i="2"/>
  <c r="B155" i="2"/>
  <c r="H10" i="5"/>
  <c r="I10" i="5" s="1"/>
  <c r="J10" i="5" s="1"/>
  <c r="G10" i="5"/>
  <c r="B82" i="2"/>
  <c r="B83" i="2" s="1"/>
  <c r="C64" i="2"/>
  <c r="C65" i="2" s="1"/>
  <c r="B76" i="2" s="1"/>
  <c r="X57" i="7" l="1"/>
  <c r="Y57" i="7" s="1"/>
  <c r="G57" i="7"/>
  <c r="H57" i="7" s="1"/>
  <c r="E58" i="7"/>
  <c r="X86" i="7"/>
  <c r="Y86" i="7" s="1"/>
  <c r="G86" i="7"/>
  <c r="H86" i="7" s="1"/>
  <c r="E87" i="7"/>
  <c r="H30" i="7"/>
  <c r="F177" i="2"/>
  <c r="D190" i="2"/>
  <c r="M148" i="2"/>
  <c r="P155" i="2" s="1"/>
  <c r="B216" i="2"/>
  <c r="F11" i="5"/>
  <c r="M13" i="4"/>
  <c r="N13" i="4" s="1"/>
  <c r="H17" i="4"/>
  <c r="I13" i="4"/>
  <c r="J13" i="4" s="1"/>
  <c r="G18" i="4"/>
  <c r="F20" i="4"/>
  <c r="G58" i="7" l="1"/>
  <c r="E91" i="7" s="1"/>
  <c r="X58" i="7"/>
  <c r="Y58" i="7" s="1"/>
  <c r="X87" i="7"/>
  <c r="Y87" i="7" s="1"/>
  <c r="G87" i="7"/>
  <c r="H87" i="7" s="1"/>
  <c r="E88" i="7"/>
  <c r="N145" i="2"/>
  <c r="K143" i="2" s="1"/>
  <c r="H11" i="5"/>
  <c r="I11" i="5" s="1"/>
  <c r="G11" i="5"/>
  <c r="I18" i="4"/>
  <c r="J18" i="4" s="1"/>
  <c r="G20" i="4"/>
  <c r="G21" i="4" s="1"/>
  <c r="N9" i="4"/>
  <c r="M17" i="4"/>
  <c r="N17" i="4" s="1"/>
  <c r="I17" i="4"/>
  <c r="J17" i="4" s="1"/>
  <c r="F19" i="5"/>
  <c r="G88" i="7" l="1"/>
  <c r="X88" i="7"/>
  <c r="Y88" i="7" s="1"/>
  <c r="H58" i="7"/>
  <c r="H19" i="5"/>
  <c r="I19" i="5" s="1"/>
  <c r="J19" i="5" s="1"/>
  <c r="G19" i="5"/>
  <c r="J11" i="5"/>
  <c r="J13" i="5" s="1"/>
  <c r="I13" i="5"/>
  <c r="H16" i="4"/>
  <c r="H18" i="4"/>
  <c r="D231" i="2"/>
  <c r="O160" i="2"/>
  <c r="X91" i="7" l="1"/>
  <c r="Y91" i="7" s="1"/>
  <c r="G91" i="7"/>
  <c r="H91" i="7" s="1"/>
  <c r="H88" i="7"/>
  <c r="K11" i="5"/>
  <c r="L20" i="5" s="1"/>
  <c r="K12" i="5"/>
  <c r="M12" i="5" s="1"/>
  <c r="F29" i="5" s="1"/>
  <c r="K10" i="5"/>
  <c r="M10" i="5" s="1"/>
  <c r="F27" i="5" s="1"/>
  <c r="K9" i="5"/>
  <c r="M9" i="5" s="1"/>
  <c r="F26" i="5" s="1"/>
  <c r="H20" i="4"/>
  <c r="H21" i="4" s="1"/>
  <c r="M18" i="4"/>
  <c r="N18" i="4" s="1"/>
  <c r="F20" i="5"/>
  <c r="I16" i="4"/>
  <c r="J16" i="4" s="1"/>
  <c r="F18" i="5"/>
  <c r="M16" i="4"/>
  <c r="N16" i="4" s="1"/>
  <c r="G27" i="4" s="1"/>
  <c r="O9" i="4"/>
  <c r="E94" i="7" l="1"/>
  <c r="X94" i="7" s="1"/>
  <c r="Y94" i="7" s="1"/>
  <c r="H29" i="5"/>
  <c r="I29" i="5" s="1"/>
  <c r="J29" i="5" s="1"/>
  <c r="G29" i="5"/>
  <c r="G20" i="5"/>
  <c r="H20" i="5"/>
  <c r="I20" i="5" s="1"/>
  <c r="J20" i="5" s="1"/>
  <c r="G26" i="5"/>
  <c r="H26" i="5"/>
  <c r="I26" i="5" s="1"/>
  <c r="J26" i="5" s="1"/>
  <c r="H18" i="5"/>
  <c r="I18" i="5" s="1"/>
  <c r="G18" i="5"/>
  <c r="H22" i="4"/>
  <c r="H27" i="5"/>
  <c r="I27" i="5" s="1"/>
  <c r="J27" i="5" s="1"/>
  <c r="G27" i="5"/>
  <c r="B12" i="7" l="1"/>
  <c r="B13" i="7" s="1"/>
  <c r="G94" i="7"/>
  <c r="J18" i="5"/>
  <c r="J21" i="5" s="1"/>
  <c r="I21" i="5"/>
  <c r="H94" i="7" l="1"/>
  <c r="B5" i="8"/>
  <c r="B28" i="8" s="1"/>
  <c r="B30" i="8" s="1"/>
  <c r="B84" i="8"/>
  <c r="B94" i="8" s="1"/>
  <c r="B103" i="8" s="1"/>
  <c r="B6" i="8"/>
  <c r="B19" i="8"/>
  <c r="B51" i="8" s="1"/>
  <c r="B8" i="8"/>
  <c r="K20" i="5"/>
  <c r="K19" i="5"/>
  <c r="M19" i="5" s="1"/>
  <c r="F36" i="5" s="1"/>
  <c r="K17" i="5"/>
  <c r="M17" i="5" s="1"/>
  <c r="F34" i="5" s="1"/>
  <c r="K18" i="5"/>
  <c r="M18" i="5" s="1"/>
  <c r="F35" i="5" s="1"/>
  <c r="P109" i="8" l="1"/>
  <c r="H63" i="8"/>
  <c r="B9" i="8"/>
  <c r="B69" i="8"/>
  <c r="B75" i="8" s="1"/>
  <c r="B76" i="8" s="1"/>
  <c r="K111" i="8" s="1"/>
  <c r="B44" i="8"/>
  <c r="H110" i="8" s="1"/>
  <c r="B20" i="8"/>
  <c r="G63" i="8" s="1"/>
  <c r="B125" i="8"/>
  <c r="B131" i="8" s="1"/>
  <c r="B85" i="8"/>
  <c r="B7" i="8"/>
  <c r="B10" i="8" s="1"/>
  <c r="B65" i="8"/>
  <c r="B66" i="8" s="1"/>
  <c r="B99" i="8"/>
  <c r="B57" i="8"/>
  <c r="B37" i="8"/>
  <c r="B31" i="8"/>
  <c r="B32" i="8" s="1"/>
  <c r="E110" i="8" s="1"/>
  <c r="B108" i="8"/>
  <c r="H35" i="5"/>
  <c r="I35" i="5" s="1"/>
  <c r="J35" i="5" s="1"/>
  <c r="G35" i="5"/>
  <c r="H36" i="5"/>
  <c r="I36" i="5" s="1"/>
  <c r="J36" i="5" s="1"/>
  <c r="G36" i="5"/>
  <c r="H34" i="5"/>
  <c r="I34" i="5" s="1"/>
  <c r="J34" i="5" s="1"/>
  <c r="G34" i="5"/>
  <c r="L11" i="5"/>
  <c r="M11" i="5" s="1"/>
  <c r="F28" i="5" s="1"/>
  <c r="M20" i="5"/>
  <c r="F37" i="5" s="1"/>
  <c r="B132" i="8" l="1"/>
  <c r="B133" i="8" s="1"/>
  <c r="H109" i="8"/>
  <c r="J109" i="8" s="1"/>
  <c r="E63" i="8"/>
  <c r="H66" i="8"/>
  <c r="B86" i="8"/>
  <c r="B21" i="8"/>
  <c r="B53" i="8" s="1"/>
  <c r="B52" i="8"/>
  <c r="B38" i="8"/>
  <c r="B104" i="8"/>
  <c r="B95" i="8"/>
  <c r="B109" i="8" s="1"/>
  <c r="H28" i="5"/>
  <c r="I28" i="5" s="1"/>
  <c r="G28" i="5"/>
  <c r="H37" i="5"/>
  <c r="I37" i="5" s="1"/>
  <c r="J37" i="5" s="1"/>
  <c r="J38" i="5" s="1"/>
  <c r="G37" i="5"/>
  <c r="B39" i="8" l="1"/>
  <c r="G64" i="8"/>
  <c r="K108" i="8"/>
  <c r="E62" i="8" s="1"/>
  <c r="I107" i="8"/>
  <c r="J111" i="8" s="1"/>
  <c r="B96" i="8"/>
  <c r="B110" i="8" s="1"/>
  <c r="B114" i="8" s="1"/>
  <c r="B105" i="8"/>
  <c r="I38" i="5"/>
  <c r="K35" i="5" s="1"/>
  <c r="M35" i="5" s="1"/>
  <c r="F52" i="5" s="1"/>
  <c r="G52" i="5" s="1"/>
  <c r="J28" i="5"/>
  <c r="J30" i="5" s="1"/>
  <c r="I30" i="5"/>
  <c r="G108" i="8" l="1"/>
  <c r="J115" i="8"/>
  <c r="L116" i="8" s="1"/>
  <c r="B115" i="8"/>
  <c r="B118" i="8"/>
  <c r="H52" i="5"/>
  <c r="I52" i="5" s="1"/>
  <c r="J52" i="5" s="1"/>
  <c r="K34" i="5"/>
  <c r="M34" i="5" s="1"/>
  <c r="F51" i="5" s="1"/>
  <c r="K37" i="5"/>
  <c r="L28" i="5" s="1"/>
  <c r="K36" i="5"/>
  <c r="M36" i="5" s="1"/>
  <c r="F53" i="5" s="1"/>
  <c r="K28" i="5"/>
  <c r="L37" i="5" s="1"/>
  <c r="K29" i="5"/>
  <c r="M29" i="5" s="1"/>
  <c r="F46" i="5" s="1"/>
  <c r="K27" i="5"/>
  <c r="M27" i="5" s="1"/>
  <c r="F44" i="5" s="1"/>
  <c r="K26" i="5"/>
  <c r="M26" i="5" s="1"/>
  <c r="F43" i="5" s="1"/>
  <c r="M37" i="5" l="1"/>
  <c r="F54" i="5" s="1"/>
  <c r="H54" i="5" s="1"/>
  <c r="I54" i="5" s="1"/>
  <c r="J54" i="5" s="1"/>
  <c r="G53" i="5"/>
  <c r="H53" i="5"/>
  <c r="I53" i="5" s="1"/>
  <c r="J53" i="5" s="1"/>
  <c r="G51" i="5"/>
  <c r="H51" i="5"/>
  <c r="I51" i="5" s="1"/>
  <c r="J51" i="5" s="1"/>
  <c r="H44" i="5"/>
  <c r="I44" i="5" s="1"/>
  <c r="J44" i="5" s="1"/>
  <c r="G44" i="5"/>
  <c r="G43" i="5"/>
  <c r="H43" i="5"/>
  <c r="I43" i="5" s="1"/>
  <c r="J43" i="5" s="1"/>
  <c r="H46" i="5"/>
  <c r="I46" i="5" s="1"/>
  <c r="J46" i="5" s="1"/>
  <c r="G46" i="5"/>
  <c r="M28" i="5"/>
  <c r="F45" i="5" s="1"/>
  <c r="G54" i="5" l="1"/>
  <c r="I55" i="5"/>
  <c r="J55" i="5"/>
  <c r="G45" i="5"/>
  <c r="H45" i="5"/>
  <c r="I45" i="5" s="1"/>
  <c r="K54" i="5" l="1"/>
  <c r="L45" i="5" s="1"/>
  <c r="K51" i="5"/>
  <c r="M51" i="5" s="1"/>
  <c r="F68" i="5" s="1"/>
  <c r="H68" i="5" s="1"/>
  <c r="I68" i="5" s="1"/>
  <c r="J68" i="5" s="1"/>
  <c r="K52" i="5"/>
  <c r="M52" i="5" s="1"/>
  <c r="F69" i="5" s="1"/>
  <c r="H69" i="5" s="1"/>
  <c r="I69" i="5" s="1"/>
  <c r="J69" i="5" s="1"/>
  <c r="K53" i="5"/>
  <c r="M53" i="5" s="1"/>
  <c r="F70" i="5" s="1"/>
  <c r="G70" i="5" s="1"/>
  <c r="J45" i="5"/>
  <c r="J47" i="5" s="1"/>
  <c r="I47" i="5"/>
  <c r="G69" i="5" l="1"/>
  <c r="H70" i="5"/>
  <c r="I70" i="5" s="1"/>
  <c r="J70" i="5" s="1"/>
  <c r="G68" i="5"/>
  <c r="K46" i="5"/>
  <c r="M46" i="5" s="1"/>
  <c r="F63" i="5" s="1"/>
  <c r="K44" i="5"/>
  <c r="M44" i="5" s="1"/>
  <c r="F61" i="5" s="1"/>
  <c r="K45" i="5"/>
  <c r="K43" i="5"/>
  <c r="M43" i="5" s="1"/>
  <c r="F60" i="5" s="1"/>
  <c r="G61" i="5" l="1"/>
  <c r="H61" i="5"/>
  <c r="I61" i="5" s="1"/>
  <c r="J61" i="5" s="1"/>
  <c r="G60" i="5"/>
  <c r="H60" i="5"/>
  <c r="I60" i="5" s="1"/>
  <c r="J60" i="5" s="1"/>
  <c r="M45" i="5"/>
  <c r="F62" i="5" s="1"/>
  <c r="L54" i="5"/>
  <c r="M54" i="5" s="1"/>
  <c r="F71" i="5" s="1"/>
  <c r="H63" i="5"/>
  <c r="I63" i="5" s="1"/>
  <c r="J63" i="5" s="1"/>
  <c r="G63" i="5"/>
  <c r="G71" i="5" l="1"/>
  <c r="H71" i="5"/>
  <c r="I71" i="5" s="1"/>
  <c r="H62" i="5"/>
  <c r="I62" i="5" s="1"/>
  <c r="G62" i="5"/>
  <c r="I72" i="5" l="1"/>
  <c r="J71" i="5"/>
  <c r="J72" i="5" s="1"/>
  <c r="J62" i="5"/>
  <c r="J64" i="5" s="1"/>
  <c r="I64" i="5"/>
  <c r="K63" i="5" l="1"/>
  <c r="M63" i="5" s="1"/>
  <c r="F80" i="5" s="1"/>
  <c r="K62" i="5"/>
  <c r="L71" i="5" s="1"/>
  <c r="K61" i="5"/>
  <c r="M61" i="5" s="1"/>
  <c r="F78" i="5" s="1"/>
  <c r="K60" i="5"/>
  <c r="M60" i="5" s="1"/>
  <c r="F77" i="5" s="1"/>
  <c r="K71" i="5"/>
  <c r="L62" i="5" s="1"/>
  <c r="K70" i="5"/>
  <c r="M70" i="5" s="1"/>
  <c r="F87" i="5" s="1"/>
  <c r="K69" i="5"/>
  <c r="M69" i="5" s="1"/>
  <c r="F86" i="5" s="1"/>
  <c r="K68" i="5"/>
  <c r="M68" i="5" s="1"/>
  <c r="F85" i="5" s="1"/>
  <c r="M62" i="5" l="1"/>
  <c r="F79" i="5" s="1"/>
  <c r="G79" i="5" s="1"/>
  <c r="H86" i="5"/>
  <c r="I86" i="5" s="1"/>
  <c r="J86" i="5" s="1"/>
  <c r="G86" i="5"/>
  <c r="G87" i="5"/>
  <c r="H87" i="5"/>
  <c r="I87" i="5" s="1"/>
  <c r="J87" i="5" s="1"/>
  <c r="G78" i="5"/>
  <c r="H78" i="5"/>
  <c r="I78" i="5" s="1"/>
  <c r="J78" i="5" s="1"/>
  <c r="M71" i="5"/>
  <c r="F88" i="5" s="1"/>
  <c r="G85" i="5"/>
  <c r="H85" i="5"/>
  <c r="I85" i="5" s="1"/>
  <c r="J85" i="5" s="1"/>
  <c r="G77" i="5"/>
  <c r="H77" i="5"/>
  <c r="I77" i="5" s="1"/>
  <c r="J77" i="5" s="1"/>
  <c r="G80" i="5"/>
  <c r="H80" i="5"/>
  <c r="I80" i="5" s="1"/>
  <c r="J80" i="5" s="1"/>
  <c r="H79" i="5" l="1"/>
  <c r="I79" i="5" s="1"/>
  <c r="J79" i="5" s="1"/>
  <c r="J81" i="5" s="1"/>
  <c r="H88" i="5"/>
  <c r="I88" i="5" s="1"/>
  <c r="J88" i="5" s="1"/>
  <c r="J89" i="5" s="1"/>
  <c r="G88" i="5"/>
  <c r="I81" i="5" l="1"/>
  <c r="K79" i="5" s="1"/>
  <c r="L88" i="5" s="1"/>
  <c r="I89" i="5"/>
  <c r="K78" i="5" l="1"/>
  <c r="M78" i="5" s="1"/>
  <c r="F95" i="5" s="1"/>
  <c r="G95" i="5" s="1"/>
  <c r="K80" i="5"/>
  <c r="M80" i="5" s="1"/>
  <c r="F97" i="5" s="1"/>
  <c r="G97" i="5" s="1"/>
  <c r="K77" i="5"/>
  <c r="M77" i="5" s="1"/>
  <c r="F94" i="5" s="1"/>
  <c r="K88" i="5"/>
  <c r="L79" i="5" s="1"/>
  <c r="M79" i="5" s="1"/>
  <c r="F96" i="5" s="1"/>
  <c r="H96" i="5" s="1"/>
  <c r="I96" i="5" s="1"/>
  <c r="J96" i="5" s="1"/>
  <c r="K87" i="5"/>
  <c r="M87" i="5" s="1"/>
  <c r="F104" i="5" s="1"/>
  <c r="K85" i="5"/>
  <c r="M85" i="5" s="1"/>
  <c r="F102" i="5" s="1"/>
  <c r="K86" i="5"/>
  <c r="M86" i="5" s="1"/>
  <c r="F103" i="5" s="1"/>
  <c r="H95" i="5" l="1"/>
  <c r="I95" i="5" s="1"/>
  <c r="J95" i="5" s="1"/>
  <c r="H97" i="5"/>
  <c r="I97" i="5" s="1"/>
  <c r="J97" i="5" s="1"/>
  <c r="H94" i="5"/>
  <c r="I94" i="5" s="1"/>
  <c r="J94" i="5" s="1"/>
  <c r="G94" i="5"/>
  <c r="G96" i="5"/>
  <c r="H103" i="5"/>
  <c r="I103" i="5" s="1"/>
  <c r="J103" i="5" s="1"/>
  <c r="G103" i="5"/>
  <c r="G102" i="5"/>
  <c r="H102" i="5"/>
  <c r="I102" i="5" s="1"/>
  <c r="J102" i="5" s="1"/>
  <c r="H104" i="5"/>
  <c r="I104" i="5" s="1"/>
  <c r="J104" i="5" s="1"/>
  <c r="G104" i="5"/>
  <c r="M88" i="5"/>
  <c r="F105" i="5" s="1"/>
  <c r="J98" i="5" l="1"/>
  <c r="I98" i="5"/>
  <c r="G105" i="5"/>
  <c r="H105" i="5"/>
  <c r="I105" i="5" s="1"/>
  <c r="J105" i="5" s="1"/>
  <c r="J106" i="5" s="1"/>
  <c r="K97" i="5" l="1"/>
  <c r="M97" i="5" s="1"/>
  <c r="K95" i="5"/>
  <c r="M95" i="5" s="1"/>
  <c r="K96" i="5"/>
  <c r="L105" i="5" s="1"/>
  <c r="K94" i="5"/>
  <c r="M94" i="5" s="1"/>
  <c r="M5" i="6" s="1"/>
  <c r="I106" i="5"/>
  <c r="M8" i="6" l="1"/>
  <c r="M6" i="6"/>
  <c r="K103" i="5"/>
  <c r="M103" i="5" s="1"/>
  <c r="M15" i="6" s="1"/>
  <c r="K102" i="5"/>
  <c r="M102" i="5" s="1"/>
  <c r="M14" i="6" s="1"/>
  <c r="K104" i="5"/>
  <c r="M104" i="5" s="1"/>
  <c r="M16" i="6" s="1"/>
  <c r="K105" i="5"/>
  <c r="L96" i="5" s="1"/>
  <c r="M96" i="5" s="1"/>
  <c r="M7" i="6" l="1"/>
  <c r="M105" i="5"/>
  <c r="M17" i="6" s="1"/>
  <c r="E13" i="6" l="1"/>
  <c r="F13" i="6" s="1"/>
  <c r="G13" i="6" s="1"/>
  <c r="E7" i="6"/>
  <c r="F7" i="6" s="1"/>
  <c r="G7" i="6" s="1"/>
  <c r="E11" i="6"/>
  <c r="F11" i="6" s="1"/>
  <c r="G11" i="6" s="1"/>
  <c r="E17" i="6" l="1"/>
  <c r="F17" i="6" s="1"/>
  <c r="G17" i="6" s="1"/>
  <c r="H18" i="6" s="1"/>
  <c r="H11" i="6" s="1"/>
  <c r="E15" i="6"/>
  <c r="F15" i="6" s="1"/>
  <c r="G15" i="6" s="1"/>
  <c r="H15" i="6" s="1"/>
  <c r="J15" i="6" s="1"/>
  <c r="E19" i="6"/>
  <c r="F19" i="6" s="1"/>
  <c r="G19" i="6" s="1"/>
  <c r="E9" i="6"/>
  <c r="F9" i="6" s="1"/>
  <c r="G9" i="6" s="1"/>
  <c r="H19" i="6" l="1"/>
  <c r="H20" i="6" s="1"/>
  <c r="J20" i="6" s="1"/>
  <c r="J18" i="6"/>
  <c r="H14" i="6"/>
  <c r="H13" i="6" s="1"/>
  <c r="J13" i="6" s="1"/>
  <c r="K20" i="6"/>
  <c r="H10" i="6"/>
  <c r="J11" i="6"/>
  <c r="H12" i="6"/>
  <c r="J12" i="6" s="1"/>
  <c r="J19" i="6" l="1"/>
  <c r="J14" i="6"/>
  <c r="H9" i="6"/>
  <c r="J10" i="6"/>
  <c r="J9" i="6" l="1"/>
  <c r="H8" i="6"/>
  <c r="E5" i="6"/>
  <c r="F5" i="6" s="1"/>
  <c r="G5" i="6" s="1"/>
  <c r="H7" i="6" l="1"/>
  <c r="J8" i="6"/>
  <c r="K12" i="6"/>
  <c r="J7" i="6" l="1"/>
  <c r="H6" i="6"/>
  <c r="J6" i="6" s="1"/>
  <c r="H5" i="6" l="1"/>
  <c r="J5" i="6" s="1"/>
  <c r="J21" i="6" l="1"/>
  <c r="J22" i="6"/>
  <c r="J24" i="6" s="1"/>
  <c r="J2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8" authorId="0" shapeId="0" xr:uid="{00000000-0006-0000-0100-000001000000}">
      <text>
        <r>
          <rPr>
            <sz val="11"/>
            <color rgb="FF000000"/>
            <rFont val="Calibri"/>
          </rPr>
          <t>======
ID#AAAAC_DcLP8
Valeria Gonzalez    (2019-06-05 23:16:52)
elegimos este porque nuestro caudal esta entre los valores max y min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0U6nNtP2+IbXUgIftpjIZYjD5OA=="/>
    </ext>
  </extLst>
</comments>
</file>

<file path=xl/sharedStrings.xml><?xml version="1.0" encoding="utf-8"?>
<sst xmlns="http://schemas.openxmlformats.org/spreadsheetml/2006/main" count="2281" uniqueCount="1058">
  <si>
    <t>SISTEMA DE IMPULSIÓN</t>
  </si>
  <si>
    <t>Caudal medio</t>
  </si>
  <si>
    <t>Observaciones</t>
  </si>
  <si>
    <t>m3/d</t>
  </si>
  <si>
    <t>Cota de la base de la motobomba</t>
  </si>
  <si>
    <t>Seleccionar un barrio de</t>
  </si>
  <si>
    <t>msnm</t>
  </si>
  <si>
    <t>manzanas</t>
  </si>
  <si>
    <t>Números de lotes/edificios por manzanas</t>
  </si>
  <si>
    <t>lotes</t>
  </si>
  <si>
    <t>Números de pisos tipo</t>
  </si>
  <si>
    <t>pisos</t>
  </si>
  <si>
    <t>K1</t>
  </si>
  <si>
    <t>Números de departamentos por pisos</t>
  </si>
  <si>
    <t>depto</t>
  </si>
  <si>
    <t>Números de dormitorios por departamentos</t>
  </si>
  <si>
    <t>dorm</t>
  </si>
  <si>
    <t>Números de personas por dormitorios</t>
  </si>
  <si>
    <t>pers</t>
  </si>
  <si>
    <t>Números de personal de servicio por departamento</t>
  </si>
  <si>
    <t xml:space="preserve">Caudal de bombeo </t>
  </si>
  <si>
    <t>Porcentaje de personal de logística por lote</t>
  </si>
  <si>
    <t>%</t>
  </si>
  <si>
    <t>Total de personas de los departamentos</t>
  </si>
  <si>
    <t>m3/s</t>
  </si>
  <si>
    <t>Personales de logística</t>
  </si>
  <si>
    <t>l/s</t>
  </si>
  <si>
    <t>Número de horas de operación de la bomba por dia</t>
  </si>
  <si>
    <t>funcionarios</t>
  </si>
  <si>
    <t>Tabla 1</t>
  </si>
  <si>
    <t>hs</t>
  </si>
  <si>
    <t>Caudal unitario por persona por departamento</t>
  </si>
  <si>
    <t>l/pers/d</t>
  </si>
  <si>
    <t>Norma 68</t>
  </si>
  <si>
    <t>Departamentos</t>
  </si>
  <si>
    <t>Caudal unitario por trabajadores de logisticas</t>
  </si>
  <si>
    <t>Oficinas</t>
  </si>
  <si>
    <t>Caudal medio de bombeo total</t>
  </si>
  <si>
    <t>Diametro impulsión (fórmula de Bresse)</t>
  </si>
  <si>
    <t>l/d</t>
  </si>
  <si>
    <t>Caudal por lotes/edificios</t>
  </si>
  <si>
    <t>m</t>
  </si>
  <si>
    <t>Diametro adop</t>
  </si>
  <si>
    <t>Impulsion</t>
  </si>
  <si>
    <t>l/d/lotes</t>
  </si>
  <si>
    <t>mm</t>
  </si>
  <si>
    <t>l/s/lotes</t>
  </si>
  <si>
    <t>Succion</t>
  </si>
  <si>
    <t>K2</t>
  </si>
  <si>
    <t>K3</t>
  </si>
  <si>
    <r>
      <t>Velocidad de impulsión: v</t>
    </r>
    <r>
      <rPr>
        <vertAlign val="subscript"/>
        <sz val="11"/>
        <color rgb="FF000000"/>
        <rFont val="Calibri"/>
      </rPr>
      <t>impulsión</t>
    </r>
  </si>
  <si>
    <t>m/s</t>
  </si>
  <si>
    <t>Alt 1</t>
  </si>
  <si>
    <t>Alt 2</t>
  </si>
  <si>
    <t xml:space="preserve">Verificación de las velocidades: 0,7 &lt; v &lt; 4,0 </t>
  </si>
  <si>
    <r>
      <t>Velocidad de impulsión: v</t>
    </r>
    <r>
      <rPr>
        <vertAlign val="subscript"/>
        <sz val="11"/>
        <color rgb="FF000000"/>
        <rFont val="Calibri"/>
      </rPr>
      <t>impulsión</t>
    </r>
  </si>
  <si>
    <t xml:space="preserve">Caudal diario </t>
  </si>
  <si>
    <t>6.10.2.1      Fórmulas de Fair Whipple – Hsiao para Acero Galvanizado</t>
  </si>
  <si>
    <t>J succion</t>
  </si>
  <si>
    <t>Caudal de captación: Qcap</t>
  </si>
  <si>
    <t>K1 =</t>
  </si>
  <si>
    <t>K2 =</t>
  </si>
  <si>
    <t>K3 =</t>
  </si>
  <si>
    <t>Qcap =</t>
  </si>
  <si>
    <t>m/m</t>
  </si>
  <si>
    <t>J impulsión</t>
  </si>
  <si>
    <r>
      <t>Velocidad de Succión: v</t>
    </r>
    <r>
      <rPr>
        <vertAlign val="subscript"/>
        <sz val="11"/>
        <color rgb="FF000000"/>
        <rFont val="Calibri"/>
      </rPr>
      <t>succión</t>
    </r>
  </si>
  <si>
    <t>Q = v*A</t>
  </si>
  <si>
    <t>Cámara de aquietamiento</t>
  </si>
  <si>
    <t>Succión</t>
  </si>
  <si>
    <t>A = Q/v</t>
  </si>
  <si>
    <t>Velocidad ascencional (4 a 10) =</t>
  </si>
  <si>
    <t>cm/s</t>
  </si>
  <si>
    <t>m.c.a.</t>
  </si>
  <si>
    <t>Perdidas Localizadas</t>
  </si>
  <si>
    <t>Area de la sección trasversal =</t>
  </si>
  <si>
    <t>Impulsión</t>
  </si>
  <si>
    <t>Val. De Pie</t>
  </si>
  <si>
    <t>Longitud de tubería</t>
  </si>
  <si>
    <t>Curva 90</t>
  </si>
  <si>
    <t>m2</t>
  </si>
  <si>
    <t>Tee 2salida</t>
  </si>
  <si>
    <t>Lados del aquietador =</t>
  </si>
  <si>
    <t>Valv. De Cierre</t>
  </si>
  <si>
    <t>Altura topográfica</t>
  </si>
  <si>
    <t>Tiempo de aquietamiento (30 a 60) =</t>
  </si>
  <si>
    <t>s</t>
  </si>
  <si>
    <t>Profundidad de la cámara de aquietamiento =</t>
  </si>
  <si>
    <t>Ver ANEXO I al III de la NORMA 68</t>
  </si>
  <si>
    <t>Valv. De Retenc</t>
  </si>
  <si>
    <t>Velocidad en la tubería</t>
  </si>
  <si>
    <t>Canal aforador parshall y su uso como posible mezclador rápido</t>
  </si>
  <si>
    <t>Ancho de la garganta: W =</t>
  </si>
  <si>
    <t>Tee lateral</t>
  </si>
  <si>
    <t>Tabla 3, la cuarta desde la derecha</t>
  </si>
  <si>
    <t>Tabla 3, la 1ra desde la izquierda</t>
  </si>
  <si>
    <t>Garganta: W</t>
  </si>
  <si>
    <t>Tabla 3, 5ta a la derecha</t>
  </si>
  <si>
    <t xml:space="preserve">El dibujo mas grande, globo </t>
  </si>
  <si>
    <t>Presión de llegada al reservorio</t>
  </si>
  <si>
    <t>Altura Manométrica o Gradiente Hidraúlico</t>
  </si>
  <si>
    <t>Caudal (l/s)</t>
  </si>
  <si>
    <t>Altura del agua a la llegada: H =</t>
  </si>
  <si>
    <t>Total</t>
  </si>
  <si>
    <t>Pulg / pies</t>
  </si>
  <si>
    <t>Potencia de la Bomba</t>
  </si>
  <si>
    <t>2do de la derecha</t>
  </si>
  <si>
    <r>
      <t>P</t>
    </r>
    <r>
      <rPr>
        <vertAlign val="subscript"/>
        <sz val="11"/>
        <color rgb="FF000000"/>
        <rFont val="Calibri"/>
      </rPr>
      <t>b</t>
    </r>
  </si>
  <si>
    <t>6to de la derecha</t>
  </si>
  <si>
    <t>Minima</t>
  </si>
  <si>
    <t>Maxima</t>
  </si>
  <si>
    <t>Medio</t>
  </si>
  <si>
    <t>Altura del escalón del resalto: N =</t>
  </si>
  <si>
    <t>cv</t>
  </si>
  <si>
    <t>1''</t>
  </si>
  <si>
    <t>Diferencia entre el piso de llegada y salida: K =</t>
  </si>
  <si>
    <t>HP</t>
  </si>
  <si>
    <r>
      <t>∩</t>
    </r>
    <r>
      <rPr>
        <vertAlign val="subscript"/>
        <sz val="11"/>
        <color rgb="FF000000"/>
        <rFont val="Calibri"/>
      </rPr>
      <t>bomba</t>
    </r>
  </si>
  <si>
    <r>
      <t>P</t>
    </r>
    <r>
      <rPr>
        <vertAlign val="subscript"/>
        <sz val="11"/>
        <color rgb="FF000000"/>
        <rFont val="Calibri"/>
      </rPr>
      <t>b</t>
    </r>
  </si>
  <si>
    <t>3"</t>
  </si>
  <si>
    <r>
      <t>P</t>
    </r>
    <r>
      <rPr>
        <vertAlign val="subscript"/>
        <sz val="11"/>
        <color rgb="FF000000"/>
        <rFont val="Calibri"/>
      </rPr>
      <t>mb</t>
    </r>
  </si>
  <si>
    <t>Altura del agua al final de la garganta: h2 =</t>
  </si>
  <si>
    <r>
      <t>∩</t>
    </r>
    <r>
      <rPr>
        <vertAlign val="subscript"/>
        <sz val="11"/>
        <color rgb="FF000000"/>
        <rFont val="Calibri"/>
      </rPr>
      <t>bomba</t>
    </r>
  </si>
  <si>
    <t>VER TABLA 6 y 7 NORMA 68</t>
  </si>
  <si>
    <r>
      <t>∩</t>
    </r>
    <r>
      <rPr>
        <vertAlign val="subscript"/>
        <sz val="11"/>
        <color rgb="FF000000"/>
        <rFont val="Calibri"/>
      </rPr>
      <t>motor</t>
    </r>
  </si>
  <si>
    <r>
      <t>P</t>
    </r>
    <r>
      <rPr>
        <vertAlign val="subscript"/>
        <sz val="11"/>
        <color rgb="FF000000"/>
        <rFont val="Calibri"/>
      </rPr>
      <t>mb</t>
    </r>
  </si>
  <si>
    <t>Holgura</t>
  </si>
  <si>
    <r>
      <t>P</t>
    </r>
    <r>
      <rPr>
        <vertAlign val="subscript"/>
        <sz val="11"/>
        <color rgb="FF000000"/>
        <rFont val="Calibri"/>
      </rPr>
      <t>hmb</t>
    </r>
  </si>
  <si>
    <r>
      <t>∩</t>
    </r>
    <r>
      <rPr>
        <vertAlign val="subscript"/>
        <sz val="11"/>
        <color rgb="FF000000"/>
        <rFont val="Calibri"/>
      </rPr>
      <t>motor</t>
    </r>
  </si>
  <si>
    <t>Holgura (de acuerdo al Pmb)</t>
  </si>
  <si>
    <t>Padop</t>
  </si>
  <si>
    <r>
      <t>P</t>
    </r>
    <r>
      <rPr>
        <vertAlign val="subscript"/>
        <sz val="11"/>
        <color rgb="FF000000"/>
        <rFont val="Calibri"/>
      </rPr>
      <t>hmb</t>
    </r>
  </si>
  <si>
    <t>Parshall</t>
  </si>
  <si>
    <t>6"</t>
  </si>
  <si>
    <t>Altura del agua a la salida: H3 =</t>
  </si>
  <si>
    <t>9"</t>
  </si>
  <si>
    <t>VER TABLA 8 de la NORMA 68</t>
  </si>
  <si>
    <t>Holgura Tipo de bomba 
50% Para bombas de hasta 2 HP 
30% Para bombas de 2 a 5 HP 
20% Para bombas de 5 a 10 HP 
15% Para bombas de 10 a 20 HP 
10% Para bombas de más de 20 HP</t>
  </si>
  <si>
    <t>Pozo de bombeo</t>
  </si>
  <si>
    <t>Por cavitación =</t>
  </si>
  <si>
    <t>Por serguridad &gt;</t>
  </si>
  <si>
    <t>Adopta el mayor</t>
  </si>
  <si>
    <t>Selección del diámetro del mínimo costo</t>
  </si>
  <si>
    <t xml:space="preserve">Se realiza un análisis de costos que involucra: </t>
  </si>
  <si>
    <t>Perdida de carga: h1 =</t>
  </si>
  <si>
    <t>Costo</t>
  </si>
  <si>
    <t>• costos de tuberías</t>
  </si>
  <si>
    <t>Inversión</t>
  </si>
  <si>
    <t>$tuberia</t>
  </si>
  <si>
    <t>y bomba</t>
  </si>
  <si>
    <t xml:space="preserve">• costos de los equipos de bombeo </t>
  </si>
  <si>
    <t>Operación</t>
  </si>
  <si>
    <t>$ potencia</t>
  </si>
  <si>
    <t>mantenimiento</t>
  </si>
  <si>
    <t xml:space="preserve">• costos de operación y mantenimiento </t>
  </si>
  <si>
    <t>Bomba 7 años</t>
  </si>
  <si>
    <t>Tuberia 50 años</t>
  </si>
  <si>
    <t>1'</t>
  </si>
  <si>
    <r>
      <t xml:space="preserve">Verificación de velocidad: 2 </t>
    </r>
    <r>
      <rPr>
        <sz val="11"/>
        <color rgb="FF000000"/>
        <rFont val="Calibri"/>
      </rPr>
      <t>≤</t>
    </r>
  </si>
  <si>
    <t>1 1/2'</t>
  </si>
  <si>
    <t xml:space="preserve">A = </t>
  </si>
  <si>
    <t>2'</t>
  </si>
  <si>
    <t>2/3 A =</t>
  </si>
  <si>
    <t>3'</t>
  </si>
  <si>
    <t>4'</t>
  </si>
  <si>
    <t>5'</t>
  </si>
  <si>
    <t>6'</t>
  </si>
  <si>
    <t>7'</t>
  </si>
  <si>
    <t>8'</t>
  </si>
  <si>
    <t>10'</t>
  </si>
  <si>
    <t>Mezclador rápidos para coagulantes</t>
  </si>
  <si>
    <t>Caudal de proyecto =</t>
  </si>
  <si>
    <t>m³ /h</t>
  </si>
  <si>
    <t>Tiempo de retención (1 a 3) min a 105 rpm =</t>
  </si>
  <si>
    <t>min</t>
  </si>
  <si>
    <t>Volumen del tanque  =</t>
  </si>
  <si>
    <t xml:space="preserve">m³ </t>
  </si>
  <si>
    <t>L</t>
  </si>
  <si>
    <t>Volumen adoptado =</t>
  </si>
  <si>
    <t>Altura del tanque =</t>
  </si>
  <si>
    <t>Diámetro =</t>
  </si>
  <si>
    <t>Eficiencia del motor y compresor (0,6 a 0,8) =</t>
  </si>
  <si>
    <t>Coeficiente de seguridad (1,4 a 1,5)  =</t>
  </si>
  <si>
    <t>Potencia del mezclador =</t>
  </si>
  <si>
    <t>Potencia del mezclador adoptado =</t>
  </si>
  <si>
    <t>Longitud del brazo del mezclador =</t>
  </si>
  <si>
    <t>Floculador o mezclador lento</t>
  </si>
  <si>
    <t>Temperatura =</t>
  </si>
  <si>
    <t>ºC</t>
  </si>
  <si>
    <r>
      <t xml:space="preserve">Viscocidad cinemática: </t>
    </r>
    <r>
      <rPr>
        <sz val="11"/>
        <color rgb="FF000000"/>
        <rFont val="Calibri"/>
      </rPr>
      <t>ϑ =</t>
    </r>
  </si>
  <si>
    <t>m2/s</t>
  </si>
  <si>
    <t>Periodo de retención: t=30 min =</t>
  </si>
  <si>
    <t>Profundidad: h =</t>
  </si>
  <si>
    <t>tanteo</t>
  </si>
  <si>
    <t>Velocidad en los canales: (0,15 a 0,20); v1 =</t>
  </si>
  <si>
    <t>tanteo buscando redondeo de la separación de canales: b</t>
  </si>
  <si>
    <t>Velocidad en los pasos o vueltas: (0,40 a 0,45); v2 =</t>
  </si>
  <si>
    <t>Separación de los canales: b = Q / (v1 x h) =</t>
  </si>
  <si>
    <t>Separación de los canales adoptado: b =</t>
  </si>
  <si>
    <t>Ancho del paso de los bafles para v2: b' =</t>
  </si>
  <si>
    <t>Volumen de retención de t=30 min: V =</t>
  </si>
  <si>
    <t>m3</t>
  </si>
  <si>
    <t>Área superficial en función de h: A</t>
  </si>
  <si>
    <t>Lados aprox. =</t>
  </si>
  <si>
    <t>Números de canales en sentido de b: N =</t>
  </si>
  <si>
    <t>unid</t>
  </si>
  <si>
    <t>Números de bafles: N1 =</t>
  </si>
  <si>
    <t>Grosor de los bafles: e =</t>
  </si>
  <si>
    <t>Longitud recta de un canal: L =</t>
  </si>
  <si>
    <t>Longitud total de los canales rectos: Lt =</t>
  </si>
  <si>
    <t>Pérdida de carga en los canales: Hcanales =</t>
  </si>
  <si>
    <r>
      <t xml:space="preserve">Constante coeficiente de pérdida de carga en las curvas: 1,5 </t>
    </r>
    <r>
      <rPr>
        <sz val="11"/>
        <color rgb="FF000000"/>
        <rFont val="Calibri"/>
      </rPr>
      <t>≤ K [2 a 3,5] ≤ 4 =</t>
    </r>
  </si>
  <si>
    <t>Pérdida de carga en los pasos o vueltas: Hvueltas =</t>
  </si>
  <si>
    <t>Área mojada de los canales: Am = h x b =</t>
  </si>
  <si>
    <t>Perímetro mojado de los canales: Pm = 2 x h + b =</t>
  </si>
  <si>
    <t>Radio Hidraúlico: RH =</t>
  </si>
  <si>
    <t>Coeficiente de carga de Manning. Con planchas corrugadas: (n = 0,013 cemento)=</t>
  </si>
  <si>
    <t>Perdida por fricción unitaria a lo largo del canal: j1 =</t>
  </si>
  <si>
    <t>MALLAS "I"  Y  "II"</t>
  </si>
  <si>
    <t>Perdida  a lo largo del canal: h1 =</t>
  </si>
  <si>
    <r>
      <t>Perdida de carga total: Hf</t>
    </r>
    <r>
      <rPr>
        <vertAlign val="subscript"/>
        <sz val="11"/>
        <color rgb="FF000000"/>
        <rFont val="Calibri"/>
      </rPr>
      <t>total</t>
    </r>
    <r>
      <rPr>
        <sz val="11"/>
        <color rgb="FF000000"/>
        <rFont val="Calibri"/>
      </rPr>
      <t xml:space="preserve"> =</t>
    </r>
  </si>
  <si>
    <t>Cantidad de edificios</t>
  </si>
  <si>
    <t>Al fondo del deposito será necesario colocar una pendiente de: i = Hftotal/ancho total =</t>
  </si>
  <si>
    <r>
      <t xml:space="preserve">Gradiente de Velocidad: 30 </t>
    </r>
    <r>
      <rPr>
        <sz val="11"/>
        <color rgb="FF000000"/>
        <rFont val="Calibri"/>
      </rPr>
      <t>≤</t>
    </r>
    <r>
      <rPr>
        <sz val="11"/>
        <color rgb="FF000000"/>
        <rFont val="Calibri"/>
      </rPr>
      <t xml:space="preserve"> G </t>
    </r>
    <r>
      <rPr>
        <sz val="11"/>
        <color rgb="FF000000"/>
        <rFont val="Calibri"/>
      </rPr>
      <t>≤ 60</t>
    </r>
    <r>
      <rPr>
        <sz val="11"/>
        <color rgb="FF000000"/>
        <rFont val="Calibri"/>
      </rPr>
      <t xml:space="preserve"> =</t>
    </r>
  </si>
  <si>
    <t>Caudal por edificios</t>
  </si>
  <si>
    <t>m/m/s</t>
  </si>
  <si>
    <t>Sedimentador de escurrimiento horizontal</t>
  </si>
  <si>
    <t>l/s/lote</t>
  </si>
  <si>
    <t xml:space="preserve">Fondo inclinado al 5% para una canaleta central con pendiente del 2% hacia un desagüe central, limpieza a través de válvula manual.
Dispositivo de entrada: tabique con orificios 
Dispositivo de salida: vertedor libre </t>
  </si>
  <si>
    <t>h</t>
  </si>
  <si>
    <t>Caudal: Qcap =</t>
  </si>
  <si>
    <t>Número de filtros (Morril y Wallace): Nf =</t>
  </si>
  <si>
    <t xml:space="preserve"> </t>
  </si>
  <si>
    <t>Caudal medio diario=</t>
  </si>
  <si>
    <t>Números de filtros adoptados: Nf =</t>
  </si>
  <si>
    <t>Números de sedimentadores adoptado: (Nf/2): Ns =</t>
  </si>
  <si>
    <t>l/s            =</t>
  </si>
  <si>
    <t>Volumen total necesario: V =</t>
  </si>
  <si>
    <t>Volumen del sedimentador: Vs =</t>
  </si>
  <si>
    <t>CIRCUITO</t>
  </si>
  <si>
    <t>TRAMO</t>
  </si>
  <si>
    <t>DIAM.(m)</t>
  </si>
  <si>
    <t>Carga superficial o Caudal por unidad de área adoptado: 0,13 a 0,26: Csup =</t>
  </si>
  <si>
    <t>l/s/m2</t>
  </si>
  <si>
    <t>LONG.(m)</t>
  </si>
  <si>
    <t>CAUDAL (m3/s)</t>
  </si>
  <si>
    <t>m3/d/m2</t>
  </si>
  <si>
    <t>Área total del sedimentador: As</t>
  </si>
  <si>
    <t>Caudal maximo diario=</t>
  </si>
  <si>
    <t>VELOC.(m/s)</t>
  </si>
  <si>
    <t>J (m/m)</t>
  </si>
  <si>
    <t>Área por unidad de sedimentador: AsNs =</t>
  </si>
  <si>
    <t>Hi(m)</t>
  </si>
  <si>
    <t>Hi/Qi</t>
  </si>
  <si>
    <t>CORRECCIÓN</t>
  </si>
  <si>
    <t>Altura útil del sedimentador: H =</t>
  </si>
  <si>
    <t>m3 por hora</t>
  </si>
  <si>
    <t>PROPIO</t>
  </si>
  <si>
    <t>COMUN</t>
  </si>
  <si>
    <t>Caudal maximo horario=</t>
  </si>
  <si>
    <t>PROPIA</t>
  </si>
  <si>
    <t>Relación Largo/Ancho: 3 &lt; L/b &lt; 5: L/b =</t>
  </si>
  <si>
    <t>I</t>
  </si>
  <si>
    <t>Largo: L =</t>
  </si>
  <si>
    <t>Largo total externo =</t>
  </si>
  <si>
    <t>Ancho: b =</t>
  </si>
  <si>
    <t>Diferencia para cubrir solo hora pico                        =</t>
  </si>
  <si>
    <t>Ancho total exterior =</t>
  </si>
  <si>
    <t>Altura de la base del tanque =</t>
  </si>
  <si>
    <t>Verificación relación Largo/Profundidad: 7 &lt; L/H&lt;30: L/H =</t>
  </si>
  <si>
    <t>Por Zonas de Presión</t>
  </si>
  <si>
    <r>
      <rPr>
        <sz val="10"/>
        <rFont val="Symbol"/>
      </rPr>
      <t>D</t>
    </r>
    <r>
      <rPr>
        <sz val="10"/>
        <rFont val="Cambria"/>
      </rPr>
      <t>G=</t>
    </r>
  </si>
  <si>
    <t>Canaleta de agua  floculada y compuerta de entrada en los sedimentadores</t>
  </si>
  <si>
    <t>Caudal Max. para cada sedimentador: Qs max =</t>
  </si>
  <si>
    <t>Número de compuertas por sedimentador =</t>
  </si>
  <si>
    <t>Caudal a la salida de la última compuerta del sedimentador: Qs min =</t>
  </si>
  <si>
    <t>Anillo</t>
  </si>
  <si>
    <t>Velocidad de agua floculada, adoptada =</t>
  </si>
  <si>
    <t>Sección del canal de agua floculada a caudal máximo: Saf max =</t>
  </si>
  <si>
    <t>Tramo</t>
  </si>
  <si>
    <t>Sección del canal de agua floculada a caudal mínimo: Saf min =</t>
  </si>
  <si>
    <t>Long (m)</t>
  </si>
  <si>
    <t>II</t>
  </si>
  <si>
    <t>Ancho adoptado del canal de agua floculada: baf =</t>
  </si>
  <si>
    <t>Altura máxima en el canal de agua floculada: haf =</t>
  </si>
  <si>
    <t>Nº de lotes por tramo</t>
  </si>
  <si>
    <t>Qa (l/s)</t>
  </si>
  <si>
    <t>Qc (l/s)</t>
  </si>
  <si>
    <t>Qt (l/s)</t>
  </si>
  <si>
    <t>Qcorr (l/s)</t>
  </si>
  <si>
    <t>Diam recomendado (mm)</t>
  </si>
  <si>
    <t>Diam comercial (mm)</t>
  </si>
  <si>
    <t>Altura mínima en el canal de agua floculada: haf =</t>
  </si>
  <si>
    <t>Diam adop (mm)</t>
  </si>
  <si>
    <t>Diam (m)</t>
  </si>
  <si>
    <r>
      <t xml:space="preserve">V (m/s) </t>
    </r>
    <r>
      <rPr>
        <sz val="10"/>
        <rFont val="Calibri"/>
      </rPr>
      <t>≥ 0,6</t>
    </r>
  </si>
  <si>
    <t>Dispositivos de entrada al sedimentador</t>
  </si>
  <si>
    <t>Velocidad adoptada (V&lt;0,3) =</t>
  </si>
  <si>
    <t>Sección por compuerta: Scomp =</t>
  </si>
  <si>
    <t>AB</t>
  </si>
  <si>
    <t>Ancho de la compuerta en función de la altura mínima del canal de agua flocualda: bcomp =</t>
  </si>
  <si>
    <t>SUMA</t>
  </si>
  <si>
    <t>Perdida de carga en la compuerta: hf =</t>
  </si>
  <si>
    <t>Cortina de distribucción</t>
  </si>
  <si>
    <t>Separación: 3 a 7%  =</t>
  </si>
  <si>
    <t>Separación del tabique de las compuertas =</t>
  </si>
  <si>
    <t>Separación del fondo: 0,6 a 0,9 =</t>
  </si>
  <si>
    <t>Velocidad de paso por los orificios: 0,125 a 0,6 =</t>
  </si>
  <si>
    <t>Area total de los orificios: Aorif =</t>
  </si>
  <si>
    <t>Diámetro adoptado para cada orificio =</t>
  </si>
  <si>
    <t>Sección adoptada por cada orificio =</t>
  </si>
  <si>
    <t>Números de orificios previstos =</t>
  </si>
  <si>
    <t>Verificación de la velocidad =</t>
  </si>
  <si>
    <t>&gt; 0,125</t>
  </si>
  <si>
    <t>Dispositivo de salida del sedimentador</t>
  </si>
  <si>
    <t>Verificación de la tasa en función al ancho del sedimentador como ancho de salida: 2 a 7 l/s/m =</t>
  </si>
  <si>
    <t>Valor de tasa adoptado: floc liviano 1,66 a 2,07, floc pesado 2,07 a 3,1)</t>
  </si>
  <si>
    <t>l/s/m</t>
  </si>
  <si>
    <t>Longitud de salida del sedimentado =</t>
  </si>
  <si>
    <t>Grosor del canal de salida del sedimentado =</t>
  </si>
  <si>
    <t>Calculo de la altura de la lamina de agua sobre el vertedor de salida =</t>
  </si>
  <si>
    <t>Canaleta de agua sedimentada</t>
  </si>
  <si>
    <t>Sección mojada =</t>
  </si>
  <si>
    <t>Ancho de la canaleta adoptado =</t>
  </si>
  <si>
    <t>Altura de la lamina de agua en la canaleta =</t>
  </si>
  <si>
    <t xml:space="preserve">Dispositivo de drenaje del sedimentador </t>
  </si>
  <si>
    <t>Area del cada sedimentador =</t>
  </si>
  <si>
    <t>Adoptado: Cd =</t>
  </si>
  <si>
    <t>Tiempo adoptado de vaciado =</t>
  </si>
  <si>
    <t>Ajustar al diámetro de la tubería de drenaje</t>
  </si>
  <si>
    <t>Diámetro de la tubería de drenaje =</t>
  </si>
  <si>
    <t>Diámetro de la tubería de drenaje adoptado =</t>
  </si>
  <si>
    <t>Filtración</t>
  </si>
  <si>
    <t>Filtro rápido con lecho de arena</t>
  </si>
  <si>
    <t>Area filtrante</t>
  </si>
  <si>
    <t>Tasa de filtración adoptada =</t>
  </si>
  <si>
    <t>m3/m2/d</t>
  </si>
  <si>
    <t>Area de cada fitro =</t>
  </si>
  <si>
    <t>Lados =</t>
  </si>
  <si>
    <t>Tasa de lavado</t>
  </si>
  <si>
    <t>Expansión máxima del lecho adoptada: (20% a 50%) =</t>
  </si>
  <si>
    <t>Tamaño efectivo de la arena =</t>
  </si>
  <si>
    <t>Velocidad ascencional ideal  =</t>
  </si>
  <si>
    <t>m/min</t>
  </si>
  <si>
    <t>Caudal de lavado por unidad =</t>
  </si>
  <si>
    <t>Canaleta colectora de agua de lavado</t>
  </si>
  <si>
    <t>Número de canaleta de lavado adoptado =</t>
  </si>
  <si>
    <t>Caudal por canaleta =</t>
  </si>
  <si>
    <t>m3/min</t>
  </si>
  <si>
    <t>Altura del agua en la canaleta: Y =</t>
  </si>
  <si>
    <t>Borde libre: y' =</t>
  </si>
  <si>
    <t>Altura total de la canaleta =</t>
  </si>
  <si>
    <r>
      <t xml:space="preserve">Separación máxima entre canaleta y borde lateral: 0,9 </t>
    </r>
    <r>
      <rPr>
        <sz val="11"/>
        <color rgb="FF000000"/>
        <rFont val="Calibri"/>
      </rPr>
      <t>≥</t>
    </r>
  </si>
  <si>
    <r>
      <t xml:space="preserve">Separación máxima entre canaletas: 1,8 </t>
    </r>
    <r>
      <rPr>
        <sz val="11"/>
        <color rgb="FF000000"/>
        <rFont val="Calibri"/>
      </rPr>
      <t>≥</t>
    </r>
  </si>
  <si>
    <t>Bomba de lavado y tanque de lavado</t>
  </si>
  <si>
    <t>Tiempo de lavado ascencional =</t>
  </si>
  <si>
    <t>Tasa de flujo del lavado ascencional para la granulometria de la arena filtrante =</t>
  </si>
  <si>
    <t>m3/m2/min</t>
  </si>
  <si>
    <t>Volumen del tanque de lavado =</t>
  </si>
  <si>
    <t>&lt;</t>
  </si>
  <si>
    <t>Número de horas de lavado en 24 hs =</t>
  </si>
  <si>
    <t>Factor de seguridad adoptado =</t>
  </si>
  <si>
    <t>Frecuencia de lavado =</t>
  </si>
  <si>
    <t>Tiempo de llenado =</t>
  </si>
  <si>
    <t>Caudal de bombeo =</t>
  </si>
  <si>
    <t>Potencia =</t>
  </si>
  <si>
    <t>Potencia adoptada para la bomba:</t>
  </si>
  <si>
    <t>Sistema de cloración</t>
  </si>
  <si>
    <t>Tiempo de contacto =</t>
  </si>
  <si>
    <t>Volumen de reservorio de contacto =</t>
  </si>
  <si>
    <t>m³</t>
  </si>
  <si>
    <t>Relación largo/ancho =</t>
  </si>
  <si>
    <t xml:space="preserve">RQ </t>
  </si>
  <si>
    <t>Profundidad =</t>
  </si>
  <si>
    <t>Superficie =</t>
  </si>
  <si>
    <t>m²</t>
  </si>
  <si>
    <t>Ancho =</t>
  </si>
  <si>
    <t>Largo =</t>
  </si>
  <si>
    <t>Dosis aproximada (10) =</t>
  </si>
  <si>
    <t>ppm</t>
  </si>
  <si>
    <t>Consumo diario =</t>
  </si>
  <si>
    <r>
      <t>Kg Cl</t>
    </r>
    <r>
      <rPr>
        <vertAlign val="subscript"/>
        <sz val="10"/>
        <rFont val="Arial"/>
      </rPr>
      <t>2</t>
    </r>
  </si>
  <si>
    <t>Consumo diario de Hipoclorito de Sodio (8%) =</t>
  </si>
  <si>
    <t>Consumo mesual de Hipoclorito de Sodio (30% de reserva) =</t>
  </si>
  <si>
    <t>l/mes</t>
  </si>
  <si>
    <t>Relación de disolución (1/4) =</t>
  </si>
  <si>
    <t>Consumo diario de Hipoclorito de Sodio en disolución =</t>
  </si>
  <si>
    <t>L/d</t>
  </si>
  <si>
    <t>Tanque de disolucción =</t>
  </si>
  <si>
    <t>Necesidad de cloro por cada tanque =</t>
  </si>
  <si>
    <t>Frecuencia de mantenieminto =</t>
  </si>
  <si>
    <t>d</t>
  </si>
  <si>
    <t>Bomba dosadora =</t>
  </si>
  <si>
    <t>Tubos PBA</t>
  </si>
  <si>
    <t>L/h</t>
  </si>
  <si>
    <t>L / 7,5 min</t>
  </si>
  <si>
    <t>Reservorio de acumulación de agua tratadas</t>
  </si>
  <si>
    <t>Volumen =</t>
  </si>
  <si>
    <t>Profundidad adoptada (1 a 4) =</t>
  </si>
  <si>
    <t>Adop (mm)</t>
  </si>
  <si>
    <t>VERIFICACIÓN DE PRESIONES</t>
  </si>
  <si>
    <t>AUXILIAR</t>
  </si>
  <si>
    <t>ANILLO</t>
  </si>
  <si>
    <t>DIAMETRO (m)</t>
  </si>
  <si>
    <t>LONGITUD (m)</t>
  </si>
  <si>
    <t>Qcorregido (m3/s)</t>
  </si>
  <si>
    <t>H (m)</t>
  </si>
  <si>
    <t>Cota Piez m</t>
  </si>
  <si>
    <t>Cota Terr   m</t>
  </si>
  <si>
    <t>Carga Dispon mca</t>
  </si>
  <si>
    <t>A</t>
  </si>
  <si>
    <t>Copiar</t>
  </si>
  <si>
    <t>Caudales</t>
  </si>
  <si>
    <t>B</t>
  </si>
  <si>
    <t>R</t>
  </si>
  <si>
    <t>Q</t>
  </si>
  <si>
    <t>H</t>
  </si>
  <si>
    <t>G</t>
  </si>
  <si>
    <t xml:space="preserve"> Ubicación y base del Tanque</t>
  </si>
  <si>
    <t>CORREGIR EN LA ITERACION SELECCIONADA</t>
  </si>
  <si>
    <t>MÁXIMO</t>
  </si>
  <si>
    <t>MÍNIMO</t>
  </si>
  <si>
    <t>&gt;=10</t>
  </si>
  <si>
    <t>Perdida=</t>
  </si>
  <si>
    <t>VERIFICACIÓN DE LA PRESION MÍNIMA PERMITIDA:</t>
  </si>
  <si>
    <t>SELECCIONADA</t>
  </si>
  <si>
    <t>Cd=</t>
  </si>
  <si>
    <t>phi =</t>
  </si>
  <si>
    <t>grados</t>
  </si>
  <si>
    <t>g=</t>
  </si>
  <si>
    <t>m/s2</t>
  </si>
  <si>
    <t xml:space="preserve">DATOS </t>
  </si>
  <si>
    <t>Hmax=</t>
  </si>
  <si>
    <t>tang</t>
  </si>
  <si>
    <t>Hadoptado para el triangulo</t>
  </si>
  <si>
    <t>2Hmax (B)=</t>
  </si>
  <si>
    <t>2Hmax adoptado</t>
  </si>
  <si>
    <t>&gt;2Hmax=</t>
  </si>
  <si>
    <t>altura del piso interior?</t>
  </si>
  <si>
    <t>altura de las paredes exteriores</t>
  </si>
  <si>
    <t xml:space="preserve">ancho del piso </t>
  </si>
  <si>
    <t>2. CAUDAL UNITARIO</t>
  </si>
  <si>
    <t>q=</t>
  </si>
  <si>
    <t>m3/s*m</t>
  </si>
  <si>
    <t>3. ALTURA CRÍTICA</t>
  </si>
  <si>
    <t>hc=</t>
  </si>
  <si>
    <t>4. PROFUNDIDAD DESPUES DEL VERTEDERO h1</t>
  </si>
  <si>
    <t>h1=</t>
  </si>
  <si>
    <t>5. VELOCIDAD AL INICIO DEL RESALTO</t>
  </si>
  <si>
    <t>V1=</t>
  </si>
  <si>
    <t xml:space="preserve">m/s </t>
  </si>
  <si>
    <t>6. NUMERO DE FROUDE</t>
  </si>
  <si>
    <t>F=</t>
  </si>
  <si>
    <t xml:space="preserve">7. ALTURA DESPUÉS DEL RESALTO </t>
  </si>
  <si>
    <t>h2=</t>
  </si>
  <si>
    <t>8. VELOCIDAD AL FINAL DEL RESALTO</t>
  </si>
  <si>
    <t>V2=</t>
  </si>
  <si>
    <t xml:space="preserve">9. ENERGIA DISIPADA EN EL RESALTO </t>
  </si>
  <si>
    <t>hp=</t>
  </si>
  <si>
    <t>10. LONGITUD DEL RESALTO</t>
  </si>
  <si>
    <t xml:space="preserve">Lm= </t>
  </si>
  <si>
    <t xml:space="preserve">11. DISTANCIA DEL VERTEDERO A LA SECCIÓN ESTABLE </t>
  </si>
  <si>
    <t xml:space="preserve">Lj= </t>
  </si>
  <si>
    <t xml:space="preserve">12. VELOCIDAD PROMEDIO EN EL RESALTO </t>
  </si>
  <si>
    <t>Vm=</t>
  </si>
  <si>
    <t>13. TIEMPO DE MEZCLA</t>
  </si>
  <si>
    <t>T=</t>
  </si>
  <si>
    <t>14. CÁLCULO DEL GRADIENTE DE VELOCIDAD G</t>
  </si>
  <si>
    <t>Peso específico del agua=</t>
  </si>
  <si>
    <t>kgf/m3</t>
  </si>
  <si>
    <t>Viscocidad cinemática=</t>
  </si>
  <si>
    <t>Viscocidad absoluta o dinámica=</t>
  </si>
  <si>
    <t>kg/m.s</t>
  </si>
  <si>
    <t>Factor de forma de las paletas K=</t>
  </si>
  <si>
    <t>(adimensional, varía de 2 a 7)</t>
  </si>
  <si>
    <t>Revoluciones por segundo =</t>
  </si>
  <si>
    <t>rps</t>
  </si>
  <si>
    <t>Diametro de las paletas=</t>
  </si>
  <si>
    <t>Volumen del mezclador=</t>
  </si>
  <si>
    <t>Gradiente de mezcla rápida (Gr)=</t>
  </si>
  <si>
    <t>s-1</t>
  </si>
  <si>
    <t xml:space="preserve">Gradiente del vertedor en V (G)= </t>
  </si>
  <si>
    <t>OBS: El gradiente calculado G supera al gradiente mínimo Gr, por lo tanto se garantiza una correcta mezcla entre el agua y el coagulante</t>
  </si>
  <si>
    <t>Tiempo de retención (t)=</t>
  </si>
  <si>
    <t>segundos</t>
  </si>
  <si>
    <t>Velocidad fin del resalto=</t>
  </si>
  <si>
    <t>Longitud del canal=</t>
  </si>
  <si>
    <t>15. DISEÑO DEL CANAL DE ESTABILIZACIÓN</t>
  </si>
  <si>
    <t>Diametro de la paleta mezcladora=</t>
  </si>
  <si>
    <t>Vertedero "V"</t>
  </si>
  <si>
    <t>CALCULAMOS LA ALTURA MÁXIMA e QUE ES LA ALTURA DE LA LÁMINA DE AGUA EN EL VERTEDERO</t>
  </si>
  <si>
    <t>Altura minima del agua sobre la criba</t>
  </si>
  <si>
    <t>Recalcular (0,15 a 0,20): v1 =</t>
  </si>
  <si>
    <t>Lados X=</t>
  </si>
  <si>
    <t>Lado Y =</t>
  </si>
  <si>
    <t>Y=</t>
  </si>
  <si>
    <t>X=</t>
  </si>
  <si>
    <t>m              =</t>
  </si>
  <si>
    <t>Tiempo de retención (2,0 a 3,5): tr =</t>
  </si>
  <si>
    <t>Velocidad adoptada ( &gt; 0,5) =</t>
  </si>
  <si>
    <t>Alt 3</t>
  </si>
  <si>
    <r>
      <t>Velocidad de succión: v</t>
    </r>
    <r>
      <rPr>
        <vertAlign val="subscript"/>
        <sz val="11"/>
        <color rgb="FF000000"/>
        <rFont val="Calibri"/>
      </rPr>
      <t>succión</t>
    </r>
  </si>
  <si>
    <t>Diámetro Nominal</t>
  </si>
  <si>
    <t>DN</t>
  </si>
  <si>
    <t>Ref.</t>
  </si>
  <si>
    <t>(“)</t>
  </si>
  <si>
    <t>½</t>
  </si>
  <si>
    <t>1.1</t>
  </si>
  <si>
    <t>0.40</t>
  </si>
  <si>
    <t>0.2</t>
  </si>
  <si>
    <t>0.7</t>
  </si>
  <si>
    <t>2.3</t>
  </si>
  <si>
    <t>0.3</t>
  </si>
  <si>
    <t>0.9</t>
  </si>
  <si>
    <t>0.8</t>
  </si>
  <si>
    <t>8.1</t>
  </si>
  <si>
    <t>2.5</t>
  </si>
  <si>
    <t>3.6</t>
  </si>
  <si>
    <t>11.1</t>
  </si>
  <si>
    <t>0.1</t>
  </si>
  <si>
    <t>¾</t>
  </si>
  <si>
    <t>1.2</t>
  </si>
  <si>
    <t>0.5</t>
  </si>
  <si>
    <t>2.4</t>
  </si>
  <si>
    <t>0.4</t>
  </si>
  <si>
    <t>1.0</t>
  </si>
  <si>
    <t>9.5</t>
  </si>
  <si>
    <t>2.7</t>
  </si>
  <si>
    <t>4.1</t>
  </si>
  <si>
    <t>6.1</t>
  </si>
  <si>
    <t>1.5</t>
  </si>
  <si>
    <t>0.6</t>
  </si>
  <si>
    <t>1.3</t>
  </si>
  <si>
    <t>3.8</t>
  </si>
  <si>
    <t>8.4</t>
  </si>
  <si>
    <t>1 ¼</t>
  </si>
  <si>
    <t>2.0</t>
  </si>
  <si>
    <t>4.6</t>
  </si>
  <si>
    <t>1.8</t>
  </si>
  <si>
    <t>1.4</t>
  </si>
  <si>
    <t>4.9</t>
  </si>
  <si>
    <t>7.4</t>
  </si>
  <si>
    <t>22.0</t>
  </si>
  <si>
    <t>10.5</t>
  </si>
  <si>
    <t>1 ½</t>
  </si>
  <si>
    <t>3.2</t>
  </si>
  <si>
    <t>2.2</t>
  </si>
  <si>
    <t>7.3</t>
  </si>
  <si>
    <t>6.8</t>
  </si>
  <si>
    <t>9.1</t>
  </si>
  <si>
    <t>17.0</t>
  </si>
  <si>
    <t>3.4</t>
  </si>
  <si>
    <t>7.6</t>
  </si>
  <si>
    <t>2.8</t>
  </si>
  <si>
    <t>3.3</t>
  </si>
  <si>
    <t>2 ½</t>
  </si>
  <si>
    <t>3.7</t>
  </si>
  <si>
    <t>1.7</t>
  </si>
  <si>
    <t>1.6</t>
  </si>
  <si>
    <t>3.5</t>
  </si>
  <si>
    <t>25.0</t>
  </si>
  <si>
    <t>8.2</t>
  </si>
  <si>
    <t>12.5</t>
  </si>
  <si>
    <t>38.0</t>
  </si>
  <si>
    <t>19.0</t>
  </si>
  <si>
    <t>20.0</t>
  </si>
  <si>
    <t>4.3</t>
  </si>
  <si>
    <t>1.9</t>
  </si>
  <si>
    <t>2.6</t>
  </si>
  <si>
    <t>4.0</t>
  </si>
  <si>
    <t>10.4</t>
  </si>
  <si>
    <t>16.0</t>
  </si>
  <si>
    <t>10.0</t>
  </si>
  <si>
    <t>5.0</t>
  </si>
  <si>
    <t>5.4</t>
  </si>
  <si>
    <t>2.1</t>
  </si>
  <si>
    <t>5.6</t>
  </si>
  <si>
    <t>5.5</t>
  </si>
  <si>
    <t>Q (l/s)</t>
  </si>
  <si>
    <t>7.5</t>
  </si>
  <si>
    <r>
      <t>h</t>
    </r>
    <r>
      <rPr>
        <b/>
        <vertAlign val="subscript"/>
        <sz val="8"/>
        <color rgb="FF000000"/>
        <rFont val="Times New Roman"/>
        <family val="1"/>
      </rPr>
      <t>b [%]</t>
    </r>
  </si>
  <si>
    <t>¼</t>
  </si>
  <si>
    <t>1½</t>
  </si>
  <si>
    <t>7½</t>
  </si>
  <si>
    <r>
      <t>h</t>
    </r>
    <r>
      <rPr>
        <b/>
        <vertAlign val="subscript"/>
        <sz val="8"/>
        <color rgb="FF000000"/>
        <rFont val="Times New Roman"/>
        <family val="1"/>
      </rPr>
      <t>m [%]</t>
    </r>
  </si>
  <si>
    <t>Se debe escogen tres (3) diámetros comerciales en torno al valor de Bresse, para poder seleccionar el diámetro más adecuado</t>
  </si>
  <si>
    <t>= E</t>
  </si>
  <si>
    <t>"V"</t>
  </si>
  <si>
    <t>=E</t>
  </si>
  <si>
    <t>m, de la longitud del vertedor de salida a acrecentar</t>
  </si>
  <si>
    <t>Altura total de lodos a purgar: h =</t>
  </si>
  <si>
    <t>2.11</t>
  </si>
  <si>
    <t>19.3</t>
  </si>
  <si>
    <t>3.18</t>
  </si>
  <si>
    <t>1.10</t>
  </si>
  <si>
    <t>1.11</t>
  </si>
  <si>
    <t>4.15</t>
  </si>
  <si>
    <t>1.13</t>
  </si>
  <si>
    <t>1.14</t>
  </si>
  <si>
    <t>Verificación de las velocidades: 0,6 &lt; v &lt; 3,5</t>
  </si>
  <si>
    <t>20.1</t>
  </si>
  <si>
    <t>16.1</t>
  </si>
  <si>
    <t>4.2</t>
  </si>
  <si>
    <t>10.6</t>
  </si>
  <si>
    <t>3.12</t>
  </si>
  <si>
    <t>9.6</t>
  </si>
  <si>
    <t>9.7</t>
  </si>
  <si>
    <t>4.4</t>
  </si>
  <si>
    <t>4.5</t>
  </si>
  <si>
    <t>GH</t>
  </si>
  <si>
    <t>GQ</t>
  </si>
  <si>
    <t>QA</t>
  </si>
  <si>
    <t>HR</t>
  </si>
  <si>
    <t>RB</t>
  </si>
  <si>
    <t>DESAGUE CLOACAL</t>
  </si>
  <si>
    <t>Valores adoptados para el cálculo</t>
  </si>
  <si>
    <t>Coeficiente de retorno (80 a 90%)</t>
  </si>
  <si>
    <t>Longitud total de la red</t>
  </si>
  <si>
    <t>Caudal maximo por edificios</t>
  </si>
  <si>
    <t>Tasa de infiltración</t>
  </si>
  <si>
    <t>l/s/km</t>
  </si>
  <si>
    <t>Caudal máximo</t>
  </si>
  <si>
    <t xml:space="preserve">Velocidad minima </t>
  </si>
  <si>
    <t>Velocidad máxima</t>
  </si>
  <si>
    <t>Formula de Bazin</t>
  </si>
  <si>
    <t>v=(87/(1+(γ/(√RH)))*(√RH*I)</t>
  </si>
  <si>
    <t>RH</t>
  </si>
  <si>
    <t>Radio hidráulico</t>
  </si>
  <si>
    <t xml:space="preserve">Valor del coeficiente γ, </t>
  </si>
  <si>
    <t>Coeficiente de escurrimiento</t>
  </si>
  <si>
    <t>PROFUNDIDAD DEL TUBO DEL REGISTRO MAS ALEJADO</t>
  </si>
  <si>
    <t>http://www.bvsde.paho.org/tecapro/documentos/sanea/169esp-diseno-alcantar.pdf</t>
  </si>
  <si>
    <t>Nº de lotes</t>
  </si>
  <si>
    <t>Longitud del tramo 
(m)</t>
  </si>
  <si>
    <t>Caudal del tramo
 (l/s)</t>
  </si>
  <si>
    <t>Caudal acumulado 
(l/s)</t>
  </si>
  <si>
    <t>Caudal de inflitración 
(l/s)</t>
  </si>
  <si>
    <t>Caudal mìnima
(l/s)</t>
  </si>
  <si>
    <t>Pend. minima
(%)</t>
  </si>
  <si>
    <t>Pend. adoptada
(%)</t>
  </si>
  <si>
    <t>Descenso de tubería 
(m)</t>
  </si>
  <si>
    <t>Cota del Terreno sobre Registro a Entrada al Tramo</t>
  </si>
  <si>
    <t>Cota del Terreno sobre Registro a Salida del Tramo</t>
  </si>
  <si>
    <t>Cota de Fondo del Registro a Entrada al Tramo</t>
  </si>
  <si>
    <t>Cota de Fondo del Registro a Salida del Tramo</t>
  </si>
  <si>
    <t>Profundidad del Registro de Entrada
(m)</t>
  </si>
  <si>
    <t>Prof. Min: 
1,2 m</t>
  </si>
  <si>
    <t>Profundidad del Registro de Salida
(m)</t>
  </si>
  <si>
    <t>Diámetro de Tubería requerido 
(m)</t>
  </si>
  <si>
    <t>Radio Hidráulico (RH)</t>
  </si>
  <si>
    <t>Velocidad (m/seg)</t>
  </si>
  <si>
    <t>V.min.:
0,6 m/s</t>
  </si>
  <si>
    <t>V. max.:
5 m/s</t>
  </si>
  <si>
    <t>Caudal que podrá conducir (m3/s)</t>
  </si>
  <si>
    <t>Caudal obtenido a traves el área de escurrimiento (m3/s)</t>
  </si>
  <si>
    <t>Verificación de caudales</t>
  </si>
  <si>
    <t>T7-6</t>
  </si>
  <si>
    <t>T6-5</t>
  </si>
  <si>
    <t>T5-4</t>
  </si>
  <si>
    <t>T4-3</t>
  </si>
  <si>
    <t>T3-2</t>
  </si>
  <si>
    <t>T2-1</t>
  </si>
  <si>
    <t>T1-11</t>
  </si>
  <si>
    <t>T7-17</t>
  </si>
  <si>
    <t>T6-16</t>
  </si>
  <si>
    <t>T5-15</t>
  </si>
  <si>
    <t>T4-14</t>
  </si>
  <si>
    <t>T3-13</t>
  </si>
  <si>
    <t>T2-12</t>
  </si>
  <si>
    <t>T17-16</t>
  </si>
  <si>
    <t>T16-15</t>
  </si>
  <si>
    <t>T15-14</t>
  </si>
  <si>
    <t>T14-13</t>
  </si>
  <si>
    <t>T13-12</t>
  </si>
  <si>
    <t>T12-11</t>
  </si>
  <si>
    <t>T17-27</t>
  </si>
  <si>
    <t>T16-26</t>
  </si>
  <si>
    <t>T15-25</t>
  </si>
  <si>
    <t>T14-24</t>
  </si>
  <si>
    <t>T13-23</t>
  </si>
  <si>
    <t>T12-22</t>
  </si>
  <si>
    <t>T27-26</t>
  </si>
  <si>
    <t>T26-25</t>
  </si>
  <si>
    <t>T25-24</t>
  </si>
  <si>
    <t>T24-23</t>
  </si>
  <si>
    <t>T23-22</t>
  </si>
  <si>
    <t>T22-21</t>
  </si>
  <si>
    <t>T11-21</t>
  </si>
  <si>
    <t>T21-PTAR</t>
  </si>
  <si>
    <t>PTAR</t>
  </si>
  <si>
    <t>Nº de lotes totales</t>
  </si>
  <si>
    <t>Datos</t>
  </si>
  <si>
    <t>Valores</t>
  </si>
  <si>
    <t>Unidades</t>
  </si>
  <si>
    <t>Parametros de Cálculo</t>
  </si>
  <si>
    <t>Caudal Máximo</t>
  </si>
  <si>
    <t>Caudal Medio</t>
  </si>
  <si>
    <t>Caudal Mínimo</t>
  </si>
  <si>
    <t>Datos Constructivos</t>
  </si>
  <si>
    <t>Predimencsionado del ancho del canal</t>
  </si>
  <si>
    <t xml:space="preserve"> - Con Q max. y velocidad de 0,3 m/s</t>
  </si>
  <si>
    <t>Se adopta un ancho de canal b =</t>
  </si>
  <si>
    <t>m.</t>
  </si>
  <si>
    <t>Cálculo de la lámina en el canal</t>
  </si>
  <si>
    <t>La altura de la lamina de agua en el tanque de arena resulta:</t>
  </si>
  <si>
    <t xml:space="preserve"> - Para caudal maximo:  H max =</t>
  </si>
  <si>
    <t xml:space="preserve"> - Para caudal medio:  H med.=</t>
  </si>
  <si>
    <t xml:space="preserve"> - Para caudal minimo:  H min. =</t>
  </si>
  <si>
    <t>Caudal (l/s) de Vertedores Parshall</t>
  </si>
  <si>
    <t>Inclinación de la reja</t>
  </si>
  <si>
    <t>º</t>
  </si>
  <si>
    <t>Altura H</t>
  </si>
  <si>
    <t>Ancho de la Garganta</t>
  </si>
  <si>
    <t>Grosor de las barras</t>
  </si>
  <si>
    <t>cm</t>
  </si>
  <si>
    <t>(cm)</t>
  </si>
  <si>
    <t>7,6 cm</t>
  </si>
  <si>
    <t>15,2 cm</t>
  </si>
  <si>
    <t>22,9 cm</t>
  </si>
  <si>
    <t>30,5 cm</t>
  </si>
  <si>
    <t>Ancho de las barras</t>
  </si>
  <si>
    <t>Esparcimiento entre barras</t>
  </si>
  <si>
    <t>Velocidad de las aguas  (0,40 a 0,75 m/s)</t>
  </si>
  <si>
    <t>Conclusiones sobre las rejas</t>
  </si>
  <si>
    <t>Area útil de las rejas</t>
  </si>
  <si>
    <t>Eficiencia de las rejas</t>
  </si>
  <si>
    <t>Sección de escurrimiento del canal</t>
  </si>
  <si>
    <t>Ancho del canal de rejas</t>
  </si>
  <si>
    <t>Números de barras</t>
  </si>
  <si>
    <t>un</t>
  </si>
  <si>
    <t>Rejas limpias</t>
  </si>
  <si>
    <t>Rejas 50% sucias</t>
  </si>
  <si>
    <t>Altura del agua antes de las rejas a 50% sucias</t>
  </si>
  <si>
    <t>Altura a caudal máximo</t>
  </si>
  <si>
    <t>Altura a caudal medio</t>
  </si>
  <si>
    <t>Altura a caudal mínimo</t>
  </si>
  <si>
    <t>Mantenimiento de la rejas</t>
  </si>
  <si>
    <t>Cantidad de material retenido (0,03 - 0,05 - 0,10)</t>
  </si>
  <si>
    <t>l/m3/d</t>
  </si>
  <si>
    <t>Tiempo de limpieza</t>
  </si>
  <si>
    <t>Longitud del depósito previo a las rejas</t>
  </si>
  <si>
    <t>Profundidad del deposito previo de las rejas</t>
  </si>
  <si>
    <t>DIMENSIONAMIENTO DEL DESARENADOR</t>
  </si>
  <si>
    <t>Verificación de las velocidades de agotamiento del canal de V = 0,3 m/s</t>
  </si>
  <si>
    <t>V = Qmax/S</t>
  </si>
  <si>
    <t>V = Qmed/S</t>
  </si>
  <si>
    <t>V = Qmin/S</t>
  </si>
  <si>
    <t>Longitud del desarenador (L)</t>
  </si>
  <si>
    <t>Se estima 25 veces el tirante maximo:</t>
  </si>
  <si>
    <t>L = 25 x H max =</t>
  </si>
  <si>
    <t>Se adopta L =</t>
  </si>
  <si>
    <t>Determinacion del Area Superficial (A):</t>
  </si>
  <si>
    <t>A = L x b =</t>
  </si>
  <si>
    <t>m2.</t>
  </si>
  <si>
    <t>Para Q med. debe estar entre 600 y 1.200 m3/m2.dia</t>
  </si>
  <si>
    <t>T = Q/A =</t>
  </si>
  <si>
    <t>m3/m2.dia</t>
  </si>
  <si>
    <t>600 &lt;=</t>
  </si>
  <si>
    <t>&lt;=1200</t>
  </si>
  <si>
    <t>Cantidad de material retenido (mr)</t>
  </si>
  <si>
    <t>Cantidad de material retenido para 1000 m3/d de agua residual (30 - 50 - 100) =</t>
  </si>
  <si>
    <t>litros</t>
  </si>
  <si>
    <t>mr = Qmed. x s/1000 =</t>
  </si>
  <si>
    <t>m3/día</t>
  </si>
  <si>
    <t>Profundidad del deposito de arena</t>
  </si>
  <si>
    <t>Para remoción del material retenido cada =</t>
  </si>
  <si>
    <t>días</t>
  </si>
  <si>
    <t>hdeposito =</t>
  </si>
  <si>
    <t>VERIFICACIÓN DEL DIMENSIONAMIENTO DE LAS REJAS</t>
  </si>
  <si>
    <t>DESARENADOR</t>
  </si>
  <si>
    <t>Cálculo del área útil</t>
  </si>
  <si>
    <t>Admitiendose que para el caudal máximo la velocidad a travéz de las rejas</t>
  </si>
  <si>
    <t>sea de 0,60 m/s, se calcula el área útil.</t>
  </si>
  <si>
    <t>Au = Qmáx / vel. =</t>
  </si>
  <si>
    <t>Cálculo del área total (S)</t>
  </si>
  <si>
    <t>Considerar que las rejas tendrán barras de sección rectangular</t>
  </si>
  <si>
    <t>10 x 40 mm, y separación de 10 a 25 mm.</t>
  </si>
  <si>
    <t>a =</t>
  </si>
  <si>
    <t>t =</t>
  </si>
  <si>
    <t>Cálculo de la eficiencia: E = a / a + t =</t>
  </si>
  <si>
    <t>S = Au / E =</t>
  </si>
  <si>
    <t>Cálculo del ancho del canal (b)</t>
  </si>
  <si>
    <t>b = S / Hmáx. =</t>
  </si>
  <si>
    <t>Valor adoptado =</t>
  </si>
  <si>
    <t>Relacción L/A =</t>
  </si>
  <si>
    <t>Cantidades de losas =</t>
  </si>
  <si>
    <t>Verificación de las velocidades (0,4 &lt; V [0,6] &lt; 0,75 m/s)</t>
  </si>
  <si>
    <t>V= Qmax/Au</t>
  </si>
  <si>
    <t>REJAS</t>
  </si>
  <si>
    <t>V= Qmed/Au</t>
  </si>
  <si>
    <t>V= Qmin/Au</t>
  </si>
  <si>
    <t>Cálculo de pérdida de carga</t>
  </si>
  <si>
    <t>Para las rejas limpias</t>
  </si>
  <si>
    <t>V = V´x E =</t>
  </si>
  <si>
    <t xml:space="preserve"> hf = 1,43 x (V´2 - V2)/ 2 x g =</t>
  </si>
  <si>
    <t>Para rejas 50% sucias</t>
  </si>
  <si>
    <t>V´= 2 x V' =</t>
  </si>
  <si>
    <t>Se adopta diferencia de nivel entre la entrada y el desarenador igual a la perdida de carga</t>
  </si>
  <si>
    <t>máxima encontrada.</t>
  </si>
  <si>
    <t>Cantidad de material retenido</t>
  </si>
  <si>
    <t>Cantidad de material retenido para 1000 m3 de agua residual =</t>
  </si>
  <si>
    <t>mr = s x Q/1000 =</t>
  </si>
  <si>
    <t>Largo libre de canal para materiales retenidos =</t>
  </si>
  <si>
    <r>
      <t xml:space="preserve">Profundidad del receptaculo (&gt; hf </t>
    </r>
    <r>
      <rPr>
        <vertAlign val="subscript"/>
        <sz val="10"/>
        <rFont val="Arial"/>
        <family val="2"/>
      </rPr>
      <t>(50%)</t>
    </r>
    <r>
      <rPr>
        <sz val="11"/>
        <color rgb="FF000000"/>
        <rFont val="Calibri"/>
      </rPr>
      <t>) =</t>
    </r>
  </si>
  <si>
    <t>Población de los departamentos =</t>
  </si>
  <si>
    <t>hab</t>
  </si>
  <si>
    <t>Caudal unitario por persona por departamento =</t>
  </si>
  <si>
    <t>l/hab/d</t>
  </si>
  <si>
    <t>Personales de logística =</t>
  </si>
  <si>
    <t>Caudal unitario por trabajadores de logisticas =</t>
  </si>
  <si>
    <t>Porcentaje de retorno =</t>
  </si>
  <si>
    <t>Caudal unitario de infiltración =</t>
  </si>
  <si>
    <t>Longitud de la tubería =</t>
  </si>
  <si>
    <t>Caudal unitario total =</t>
  </si>
  <si>
    <t>Caudal medio diario =</t>
  </si>
  <si>
    <r>
      <t>m</t>
    </r>
    <r>
      <rPr>
        <vertAlign val="superscript"/>
        <sz val="10"/>
        <rFont val="Arial"/>
        <family val="2"/>
      </rPr>
      <t xml:space="preserve">3 </t>
    </r>
    <r>
      <rPr>
        <sz val="10"/>
        <rFont val="Arial"/>
        <family val="2"/>
      </rPr>
      <t>/ d</t>
    </r>
  </si>
  <si>
    <t>Caudal medio horario =</t>
  </si>
  <si>
    <r>
      <t>m</t>
    </r>
    <r>
      <rPr>
        <vertAlign val="superscript"/>
        <sz val="10"/>
        <rFont val="Arial"/>
        <family val="2"/>
      </rPr>
      <t xml:space="preserve">3 </t>
    </r>
    <r>
      <rPr>
        <sz val="10"/>
        <rFont val="Arial"/>
        <family val="2"/>
      </rPr>
      <t>/ h</t>
    </r>
  </si>
  <si>
    <r>
      <t>l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/ s</t>
    </r>
  </si>
  <si>
    <r>
      <t>DBO</t>
    </r>
    <r>
      <rPr>
        <vertAlign val="subscript"/>
        <sz val="10"/>
        <rFont val="Arial"/>
        <family val="2"/>
      </rPr>
      <t xml:space="preserve">5 </t>
    </r>
    <r>
      <rPr>
        <sz val="10"/>
        <rFont val="Arial"/>
        <family val="2"/>
      </rPr>
      <t>=</t>
    </r>
  </si>
  <si>
    <r>
      <t>mg DBO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 xml:space="preserve"> / l</t>
    </r>
  </si>
  <si>
    <t>Carga Orgánica horaria =</t>
  </si>
  <si>
    <r>
      <t>Kg DBO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 xml:space="preserve"> / h</t>
    </r>
  </si>
  <si>
    <t>Carga Orgánica diaria =</t>
  </si>
  <si>
    <r>
      <t>Kg DBO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 xml:space="preserve"> / d</t>
    </r>
  </si>
  <si>
    <t>m3 lodos.d/m3.año</t>
  </si>
  <si>
    <t>Periodo entre limpieza de lodos =</t>
  </si>
  <si>
    <t>Temperatura media promedio del mes más frio (en 30 años)</t>
  </si>
  <si>
    <t>Temp del aire =</t>
  </si>
  <si>
    <t>Temp del agua =</t>
  </si>
  <si>
    <t>Constante de depuración para Lag. Fac. en el mes más frio: k =</t>
  </si>
  <si>
    <t>1/d</t>
  </si>
  <si>
    <t>Radiación media del sol (según datos del IAN)</t>
  </si>
  <si>
    <t>Rsm =</t>
  </si>
  <si>
    <t>Carga orgánica diaria</t>
  </si>
  <si>
    <t>Números de lagunas paralelos =</t>
  </si>
  <si>
    <t>Un.</t>
  </si>
  <si>
    <t>Cod por laguna =</t>
  </si>
  <si>
    <t>Kg.DBO/d</t>
  </si>
  <si>
    <t>Carga orgánica superficial máxima</t>
  </si>
  <si>
    <t xml:space="preserve">Cosm : para que no se torne anaeróbica  </t>
  </si>
  <si>
    <t xml:space="preserve">Segun:                                        </t>
  </si>
  <si>
    <t>Cosm</t>
  </si>
  <si>
    <t xml:space="preserve">Oswald : </t>
  </si>
  <si>
    <t>Kg.DBO/ha.d</t>
  </si>
  <si>
    <t>McGarry y Pescod :</t>
  </si>
  <si>
    <t>Yanes et al:</t>
  </si>
  <si>
    <t>Sáenz:</t>
  </si>
  <si>
    <t>Adoptado:</t>
  </si>
  <si>
    <t>Carga orgánica superficial aplicada</t>
  </si>
  <si>
    <t>Cos= 0,80 x Cosm =</t>
  </si>
  <si>
    <t>Cálculo del área promedio</t>
  </si>
  <si>
    <t>A= Cod/Cos=</t>
  </si>
  <si>
    <t>Secciones medias de la laguna</t>
  </si>
  <si>
    <t>Relación: Lm/Bm=</t>
  </si>
  <si>
    <t>Lm=</t>
  </si>
  <si>
    <t>Bm=</t>
  </si>
  <si>
    <t>Profundidad adoptada</t>
  </si>
  <si>
    <t xml:space="preserve"> h (1,50 a 2,50) =</t>
  </si>
  <si>
    <t>Altura para acumulación de lodos : Hc =</t>
  </si>
  <si>
    <t>Altura útil : 1,5 &lt; Hu =</t>
  </si>
  <si>
    <t>Altura de ola : 0,5 &lt; Ho =</t>
  </si>
  <si>
    <t>Altura total : Ht =</t>
  </si>
  <si>
    <t>Volumen de la laguna</t>
  </si>
  <si>
    <t>V para lodos =</t>
  </si>
  <si>
    <t>m3.lodos</t>
  </si>
  <si>
    <t>V total =</t>
  </si>
  <si>
    <t>Dimensiones varias</t>
  </si>
  <si>
    <t>Pendiente del talud mojado: 2 &lt; x/y &lt; 3 =</t>
  </si>
  <si>
    <t>Pendiente del talud seco: 1 &lt; x/y &lt; 2 =</t>
  </si>
  <si>
    <t>Largo terreno : Lt =</t>
  </si>
  <si>
    <t>Ancho terreno : Bt =</t>
  </si>
  <si>
    <t>Largo superior : Ls =</t>
  </si>
  <si>
    <t>Ancho superior : Bs =</t>
  </si>
  <si>
    <t>Largo inferior : Li =</t>
  </si>
  <si>
    <t>Ancho inferior : Bi =</t>
  </si>
  <si>
    <t>Altura del dique : Ad =</t>
  </si>
  <si>
    <t>Solera del dique : 3 &lt; Sd =</t>
  </si>
  <si>
    <t>Base del dique : Bd =</t>
  </si>
  <si>
    <t>Tiempo de detención mínimo</t>
  </si>
  <si>
    <t>Tdmín=</t>
  </si>
  <si>
    <t>Cálculo del tiempo de detención</t>
  </si>
  <si>
    <t>Tdmín &lt; Td inicial = V/Q =</t>
  </si>
  <si>
    <t>Tdmín &lt; Td al período de limpieza = (V - V lodos)/Q =</t>
  </si>
  <si>
    <t>Eficiencia esperada</t>
  </si>
  <si>
    <t>Ef : 70 a 95 %; Ef inicial =</t>
  </si>
  <si>
    <t>Ef : 70 a 95 %; Ef al período de limpieza =</t>
  </si>
  <si>
    <t>Parámetros del efluente (DBO &lt; 50 mg/l)</t>
  </si>
  <si>
    <t>DBOinicio=</t>
  </si>
  <si>
    <t>mg DBO/l</t>
  </si>
  <si>
    <t>DBO al período de limpieza =</t>
  </si>
  <si>
    <t>Parámetros de Coli termotolerantes (ColiT &lt; 1000 UFC/100ml)</t>
  </si>
  <si>
    <t>Números de lagunas en serie =</t>
  </si>
  <si>
    <t>Coli termotolerantes =</t>
  </si>
  <si>
    <t>UFC/100ml</t>
  </si>
  <si>
    <t>Dosis aproximada (Lagunas: 10 a Reactores: 60) =</t>
  </si>
  <si>
    <r>
      <t>Kg Cl</t>
    </r>
    <r>
      <rPr>
        <vertAlign val="subscript"/>
        <sz val="10"/>
        <rFont val="Arial"/>
        <family val="2"/>
      </rPr>
      <t>2</t>
    </r>
  </si>
  <si>
    <t>Consumo mensual de Hipoclorito de Sodio en disolución =</t>
  </si>
  <si>
    <t>L/mes</t>
  </si>
  <si>
    <t>Consumo mensual de Hipoclorito de Sodio sin disolución =</t>
  </si>
  <si>
    <t>Parámetros de salida del clorador (DBO &lt; 50 mg/l)</t>
  </si>
  <si>
    <t>Remosión de la DBO =</t>
  </si>
  <si>
    <t>Fuente: weatherspark</t>
  </si>
  <si>
    <t>p/ Villa Florida</t>
  </si>
  <si>
    <t>Sáenz</t>
  </si>
  <si>
    <t>https://es.weatherspark.com/y/29135/Clima-promedio-en-Villa-Florida-Paraguay-durante-todo-el-a%C3%B1o#:~:text=En%20Villa%20Florida%2C%20los%20veranos,m%C3%A1s%20de%2036%20%C2%B0C.</t>
  </si>
  <si>
    <t>6.7</t>
  </si>
  <si>
    <t>11.3</t>
  </si>
  <si>
    <t>13.4</t>
  </si>
  <si>
    <t>11.6</t>
  </si>
  <si>
    <t>4.8</t>
  </si>
  <si>
    <t>17.4</t>
  </si>
  <si>
    <t>8.5</t>
  </si>
  <si>
    <t>14.0</t>
  </si>
  <si>
    <t>6.4</t>
  </si>
  <si>
    <t>21.0</t>
  </si>
  <si>
    <t>5.2</t>
  </si>
  <si>
    <t>26.0</t>
  </si>
  <si>
    <t>13.0</t>
  </si>
  <si>
    <t>6.3</t>
  </si>
  <si>
    <t>34.0</t>
  </si>
  <si>
    <t>23.0</t>
  </si>
  <si>
    <t>12.9</t>
  </si>
  <si>
    <t>43.0</t>
  </si>
  <si>
    <t>30.0</t>
  </si>
  <si>
    <t>51.0</t>
  </si>
  <si>
    <t>39.0</t>
  </si>
  <si>
    <t>3.0</t>
  </si>
  <si>
    <t>6.0</t>
  </si>
  <si>
    <t>67.0</t>
  </si>
  <si>
    <t>52.0</t>
  </si>
  <si>
    <t>7.9</t>
  </si>
  <si>
    <t>85.0</t>
  </si>
  <si>
    <t>65.0</t>
  </si>
  <si>
    <t>32.0</t>
  </si>
  <si>
    <t>9.0</t>
  </si>
  <si>
    <t>102.0</t>
  </si>
  <si>
    <t>78.0</t>
  </si>
  <si>
    <t>24.0</t>
  </si>
  <si>
    <t>5.3</t>
  </si>
  <si>
    <t>6.2</t>
  </si>
  <si>
    <t>11.0</t>
  </si>
  <si>
    <t>120.0</t>
  </si>
  <si>
    <t>60.0</t>
  </si>
  <si>
    <t>90.0</t>
  </si>
  <si>
    <t>28.0</t>
  </si>
  <si>
    <t>45.0</t>
  </si>
  <si>
    <t>6.5</t>
  </si>
  <si>
    <t>3.16</t>
  </si>
  <si>
    <t>67.1</t>
  </si>
  <si>
    <t>34.1</t>
  </si>
  <si>
    <t>52.1</t>
  </si>
  <si>
    <t>25.1</t>
  </si>
  <si>
    <t>7.10</t>
  </si>
  <si>
    <t>3.24</t>
  </si>
  <si>
    <t>85.1</t>
  </si>
  <si>
    <t>43.1</t>
  </si>
  <si>
    <t>65.1</t>
  </si>
  <si>
    <t>32.1</t>
  </si>
  <si>
    <t>4.7</t>
  </si>
  <si>
    <t>4.22</t>
  </si>
  <si>
    <t>102.1</t>
  </si>
  <si>
    <t>51.1</t>
  </si>
  <si>
    <t>78.1</t>
  </si>
  <si>
    <t>24.1</t>
  </si>
  <si>
    <t>38.1</t>
  </si>
  <si>
    <t>120.1</t>
  </si>
  <si>
    <t>60.1</t>
  </si>
  <si>
    <t>90.1</t>
  </si>
  <si>
    <t>28.1</t>
  </si>
  <si>
    <t>45.1</t>
  </si>
  <si>
    <t>TABLA 3</t>
  </si>
  <si>
    <t>Valv. de Pie</t>
  </si>
  <si>
    <t>Tee 2 salidas</t>
  </si>
  <si>
    <t>Valv. de cierre</t>
  </si>
  <si>
    <t>Valv. de retención</t>
  </si>
  <si>
    <r>
      <t xml:space="preserve">El de succión debe ser un diámetro superior al de </t>
    </r>
    <r>
      <rPr>
        <i/>
        <sz val="11"/>
        <color rgb="FF00B050"/>
        <rFont val="Calibri"/>
        <family val="2"/>
      </rPr>
      <t>impulsión</t>
    </r>
  </si>
  <si>
    <t>Pérdida por metro de tuberia</t>
  </si>
  <si>
    <t>Número de horas de operación de la bomba por día</t>
  </si>
  <si>
    <t>Pérdidas localizadas</t>
  </si>
  <si>
    <t>Diámetro adop</t>
  </si>
  <si>
    <t xml:space="preserve">Esto sería un factor de seguridad </t>
  </si>
  <si>
    <t>TABLA 6: Rendimiento para bombas centrifugas</t>
  </si>
  <si>
    <t>TABLA 7: Rendimiento de motores eléctricos</t>
  </si>
  <si>
    <t>Vida Útil</t>
  </si>
  <si>
    <t>Total:</t>
  </si>
  <si>
    <t>Anexo, tabla 3 de norma 68</t>
  </si>
  <si>
    <t>1- DATOS Y SISTEMA IMPULSIÓN RÍO</t>
  </si>
  <si>
    <t>2- POTABILIZADORA</t>
  </si>
  <si>
    <t>VERIFICA!</t>
  </si>
  <si>
    <t>Altura de construccion del reservorio</t>
  </si>
  <si>
    <t>3- SISTEMA DE IMPULSIÓN AL TANQUE</t>
  </si>
  <si>
    <t>Altura mínima</t>
  </si>
  <si>
    <t>Pérdidas Localizadas</t>
  </si>
  <si>
    <t>TABLA 7:Rendimiento de motores eléctricos</t>
  </si>
  <si>
    <t>4- CAUDALES</t>
  </si>
  <si>
    <t>1ra iteración</t>
  </si>
  <si>
    <t>2da iteración</t>
  </si>
  <si>
    <t>3ra iteración</t>
  </si>
  <si>
    <t>4ta iteración</t>
  </si>
  <si>
    <t>5ta iteración</t>
  </si>
  <si>
    <t>6ta iteración</t>
  </si>
  <si>
    <t>5- DATOS INICIALES</t>
  </si>
  <si>
    <t>Ubicación del tanque</t>
  </si>
  <si>
    <t>6- PRESIONES</t>
  </si>
  <si>
    <t>7- RED CLOACAL</t>
  </si>
  <si>
    <t>VERIFICACIÓN</t>
  </si>
  <si>
    <t>8- TRATAMIENTO PRELIMINAR</t>
  </si>
  <si>
    <t>Pérdida de carga en las rejas</t>
  </si>
  <si>
    <t>Índice de Agotamiento superficial (T):</t>
  </si>
  <si>
    <t>Profundidad del depósito de arena</t>
  </si>
  <si>
    <t>9- LAGUNA FACULTATIVA</t>
  </si>
  <si>
    <t>Parámetros</t>
  </si>
  <si>
    <r>
      <rPr>
        <b/>
        <sz val="11"/>
        <color theme="3"/>
        <rFont val="Calibri"/>
        <family val="2"/>
        <scheme val="minor"/>
      </rPr>
      <t>Números de edificios por manzanas:</t>
    </r>
    <r>
      <rPr>
        <sz val="11"/>
        <color rgb="FF000000"/>
        <rFont val="Calibri"/>
      </rPr>
      <t xml:space="preserve"> suma de las cantidades de letras que poseen los primeros apellidos de los integrantes del grupo divido el número de la cantidad de integrantes</t>
    </r>
  </si>
  <si>
    <r>
      <rPr>
        <b/>
        <sz val="11"/>
        <color theme="5"/>
        <rFont val="Calibri"/>
        <family val="2"/>
        <scheme val="minor"/>
      </rPr>
      <t>Números de pisos por edificios:</t>
    </r>
    <r>
      <rPr>
        <sz val="11"/>
        <color rgb="FF000000"/>
        <rFont val="Calibri"/>
      </rPr>
      <t xml:space="preserve"> suma de las cantidades de letras que posee el primer nombre dividido 1,5, más planta baja y 1 subsuelos</t>
    </r>
  </si>
  <si>
    <t>Consumo Máx. Diario</t>
  </si>
  <si>
    <t>Consumo Máx. Horario</t>
  </si>
  <si>
    <t>Línea de impulsión</t>
  </si>
  <si>
    <t>coef. De salida del orificio</t>
  </si>
  <si>
    <t>Cota de la base de la base del tanque elevado</t>
  </si>
  <si>
    <t>número de barras =</t>
  </si>
  <si>
    <t>años</t>
  </si>
  <si>
    <t>Volumen de lodos anuales estimados =</t>
  </si>
  <si>
    <t>valor recomendado Filtración rápida</t>
  </si>
  <si>
    <t>Viene del sedimentador</t>
  </si>
  <si>
    <t>De hoja de datos</t>
  </si>
  <si>
    <t>En caso de que no verifique Parshall</t>
  </si>
  <si>
    <t>Tiene que verificar acá para poder usar como mezclador rápido</t>
  </si>
  <si>
    <t>En caso de no verificar vertedero en V</t>
  </si>
  <si>
    <t>Depende de la temperatura</t>
  </si>
  <si>
    <t>Para que todas las partículas trabajen en forma similar</t>
  </si>
  <si>
    <t>Se adopta un valor constructivamente práctico</t>
  </si>
  <si>
    <t>Tiene que ser más ancho que largo</t>
  </si>
  <si>
    <t>OBS: Debe verificar el gradiente</t>
  </si>
  <si>
    <t>SIEMPRE Nº PAR</t>
  </si>
  <si>
    <t>Nf/2</t>
  </si>
  <si>
    <t>igual al ancho del floculador</t>
  </si>
  <si>
    <t>0,6 o 0,8 m min. Para que pueda entrar una persona</t>
  </si>
  <si>
    <t>No hay problema de aumentar a 2,5 m/s o más</t>
  </si>
  <si>
    <t>Se eleva 30cm el lecho</t>
  </si>
  <si>
    <t>Depende del tipo de arena</t>
  </si>
  <si>
    <t>Se elige a ojimetro</t>
  </si>
  <si>
    <t>Ir promediando hasta llegar al valor</t>
  </si>
  <si>
    <t>Entre 20 y 30 min, con 20 min ya es suficiente</t>
  </si>
  <si>
    <t>Se le agrega 30% a más por seguridad</t>
  </si>
  <si>
    <t>Igual al floculador</t>
  </si>
  <si>
    <t>Poco profundo para que haya mayor mezcla posible</t>
  </si>
  <si>
    <t>Puede estar entre 8 y 10 miligramo por litro</t>
  </si>
  <si>
    <t>Consumo mensual de Hipoclorito de Sodio (30% de reserva) =</t>
  </si>
  <si>
    <t>Se diluye porque es muy fuerte, con eso aumenta el caudal</t>
  </si>
  <si>
    <t>Se adopta uno que dé un diámetro cómodo para construir</t>
  </si>
  <si>
    <t>30cm + profundidad adoptada</t>
  </si>
  <si>
    <t>Depende del proyecto</t>
  </si>
  <si>
    <t>Se prefiere más ancho que alto, se puede ir variando para obtener dimensiones constructivamente prácticas</t>
  </si>
  <si>
    <t>30 a 45°</t>
  </si>
  <si>
    <t>Unidades formadoras coli termotolerantes por 100 ml</t>
  </si>
  <si>
    <t>Como no verifica se tiene que calcular el sistema de cloración</t>
  </si>
  <si>
    <t>de 15 a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</si>
</sst>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164" formatCode="#,##0.0000"/>
    <numFmt numFmtId="165" formatCode="0.0"/>
    <numFmt numFmtId="166" formatCode="#,##0.0"/>
    <numFmt numFmtId="167" formatCode="#,##0.000"/>
    <numFmt numFmtId="168" formatCode="0.000"/>
    <numFmt numFmtId="169" formatCode="&quot;Q= &quot;#,##0.00\ &quot;l/s&quot;"/>
    <numFmt numFmtId="170" formatCode="_(* #,##0.00_);_(* \(#,##0.00\);_(* &quot;-&quot;??_);_(@_)"/>
    <numFmt numFmtId="171" formatCode="0.0E+00"/>
    <numFmt numFmtId="172" formatCode="0.0000"/>
    <numFmt numFmtId="173" formatCode="_(* #,##0.000000_);_(* \(#,##0.000000\);_(* &quot;-&quot;??_);_(@_)"/>
    <numFmt numFmtId="174" formatCode="0.000000"/>
    <numFmt numFmtId="175" formatCode="&quot;H de tanque de D=&quot;\ #,##0\ &quot;m&quot;"/>
    <numFmt numFmtId="176" formatCode="\ 0.0\ &quot;m&quot;"/>
    <numFmt numFmtId="177" formatCode="0.00000"/>
    <numFmt numFmtId="178" formatCode="&quot;= &quot;#,##0.00\ &quot;m&quot;"/>
    <numFmt numFmtId="179" formatCode="0.00000000000"/>
    <numFmt numFmtId="180" formatCode="_ * #,##0.00_ ;_ * \-#,##0.00_ ;_ * &quot;-&quot;_ ;_ @_ "/>
    <numFmt numFmtId="181" formatCode="_-* #,##0.00\ _€_-;\-* #,##0.00\ _€_-;_-* &quot;-&quot;??\ _€_-;_-@_-"/>
    <numFmt numFmtId="182" formatCode="_-* #,##0.000\ _€_-;\-* #,##0.000\ _€_-;_-* &quot;-&quot;??\ _€_-;_-@_-"/>
    <numFmt numFmtId="183" formatCode="#,##0\ &quot;unid.&quot;"/>
    <numFmt numFmtId="184" formatCode="0.E+00"/>
  </numFmts>
  <fonts count="7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FF0000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0"/>
      <name val="Arial"/>
    </font>
    <font>
      <b/>
      <sz val="11"/>
      <color rgb="FFFF0000"/>
      <name val="Calibri"/>
    </font>
    <font>
      <sz val="11"/>
      <color rgb="FF0070C0"/>
      <name val="Calibri"/>
    </font>
    <font>
      <b/>
      <sz val="10"/>
      <name val="Arial"/>
    </font>
    <font>
      <sz val="10"/>
      <color rgb="FFFF0000"/>
      <name val="Arial"/>
    </font>
    <font>
      <b/>
      <sz val="10"/>
      <color rgb="FFFF0000"/>
      <name val="Arial"/>
    </font>
    <font>
      <b/>
      <sz val="11"/>
      <name val="Arial"/>
    </font>
    <font>
      <vertAlign val="subscript"/>
      <sz val="11"/>
      <color rgb="FF000000"/>
      <name val="Calibri"/>
    </font>
    <font>
      <sz val="10"/>
      <name val="Symbol"/>
    </font>
    <font>
      <sz val="10"/>
      <name val="Cambria"/>
    </font>
    <font>
      <sz val="10"/>
      <name val="Calibri"/>
    </font>
    <font>
      <vertAlign val="subscript"/>
      <sz val="10"/>
      <name val="Arial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</font>
    <font>
      <sz val="8"/>
      <name val="Calibri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00"/>
      <name val="Symbol"/>
      <family val="1"/>
      <charset val="2"/>
    </font>
    <font>
      <b/>
      <vertAlign val="subscript"/>
      <sz val="8"/>
      <color rgb="FF000000"/>
      <name val="Times New Roman"/>
      <family val="1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9C0006"/>
      <name val="Calibri"/>
      <family val="2"/>
      <scheme val="minor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vertAlign val="subscript"/>
      <sz val="10"/>
      <name val="Arial"/>
      <family val="2"/>
    </font>
    <font>
      <sz val="10"/>
      <name val="MS Sans Serif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  <family val="2"/>
    </font>
    <font>
      <vertAlign val="superscript"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i/>
      <sz val="11"/>
      <color rgb="FFFF0000"/>
      <name val="Calibri"/>
      <family val="2"/>
    </font>
    <font>
      <i/>
      <sz val="11"/>
      <color rgb="FF00B05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9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CFE2F3"/>
        <bgColor rgb="FFCFE2F3"/>
      </patternFill>
    </fill>
    <fill>
      <patternFill patternType="solid">
        <fgColor rgb="FF8DB3E2"/>
        <bgColor rgb="FF8DB3E2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EFEFEF"/>
      </patternFill>
    </fill>
    <fill>
      <patternFill patternType="solid">
        <fgColor rgb="FFFFFF00"/>
        <bgColor rgb="FFD9D9D9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66FF"/>
        <bgColor rgb="FFFFFFFF"/>
      </patternFill>
    </fill>
    <fill>
      <patternFill patternType="solid">
        <fgColor rgb="FF9966FF"/>
        <bgColor rgb="FFEFEFEF"/>
      </patternFill>
    </fill>
    <fill>
      <patternFill patternType="solid">
        <fgColor rgb="FF9966FF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8D8D8"/>
      </patternFill>
    </fill>
    <fill>
      <patternFill patternType="solid">
        <fgColor rgb="FFCC99FF"/>
        <bgColor rgb="FF92D050"/>
      </patternFill>
    </fill>
    <fill>
      <patternFill patternType="solid">
        <fgColor theme="4" tint="0.39997558519241921"/>
        <bgColor rgb="FF92D05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66FF"/>
        <bgColor rgb="FFB2A1C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92D050"/>
      </patternFill>
    </fill>
  </fills>
  <borders count="10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6">
    <xf numFmtId="0" fontId="0" fillId="0" borderId="0"/>
    <xf numFmtId="41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8" fillId="18" borderId="0" applyNumberFormat="0" applyBorder="0" applyAlignment="0" applyProtection="0"/>
    <xf numFmtId="0" fontId="26" fillId="0" borderId="1"/>
    <xf numFmtId="181" fontId="26" fillId="0" borderId="1" applyFont="0" applyFill="0" applyBorder="0" applyAlignment="0" applyProtection="0"/>
    <xf numFmtId="0" fontId="27" fillId="0" borderId="1"/>
    <xf numFmtId="41" fontId="24" fillId="0" borderId="1" applyFont="0" applyFill="0" applyBorder="0" applyAlignment="0" applyProtection="0"/>
    <xf numFmtId="9" fontId="24" fillId="0" borderId="1" applyFont="0" applyFill="0" applyBorder="0" applyAlignment="0" applyProtection="0"/>
    <xf numFmtId="0" fontId="47" fillId="0" borderId="1"/>
    <xf numFmtId="0" fontId="26" fillId="0" borderId="1"/>
    <xf numFmtId="0" fontId="1" fillId="0" borderId="1"/>
    <xf numFmtId="9" fontId="26" fillId="0" borderId="1" applyFont="0" applyFill="0" applyBorder="0" applyAlignment="0" applyProtection="0"/>
    <xf numFmtId="0" fontId="49" fillId="0" borderId="1" applyProtection="0"/>
    <xf numFmtId="9" fontId="26" fillId="0" borderId="1" applyFont="0" applyFill="0" applyBorder="0" applyAlignment="0" applyProtection="0"/>
    <xf numFmtId="0" fontId="26" fillId="0" borderId="1"/>
  </cellStyleXfs>
  <cellXfs count="783">
    <xf numFmtId="0" fontId="0" fillId="0" borderId="0" xfId="0" applyFont="1" applyAlignment="1"/>
    <xf numFmtId="0" fontId="2" fillId="0" borderId="0" xfId="0" applyFont="1"/>
    <xf numFmtId="3" fontId="0" fillId="0" borderId="0" xfId="0" applyNumberFormat="1" applyFont="1"/>
    <xf numFmtId="4" fontId="0" fillId="0" borderId="0" xfId="0" applyNumberFormat="1" applyFont="1"/>
    <xf numFmtId="0" fontId="0" fillId="0" borderId="0" xfId="0" applyFont="1"/>
    <xf numFmtId="165" fontId="0" fillId="0" borderId="0" xfId="0" applyNumberFormat="1" applyFont="1"/>
    <xf numFmtId="0" fontId="5" fillId="0" borderId="0" xfId="0" applyFont="1"/>
    <xf numFmtId="167" fontId="0" fillId="0" borderId="0" xfId="0" applyNumberFormat="1" applyFont="1"/>
    <xf numFmtId="2" fontId="0" fillId="0" borderId="0" xfId="0" applyNumberFormat="1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68" fontId="0" fillId="0" borderId="0" xfId="0" applyNumberFormat="1" applyFont="1"/>
    <xf numFmtId="2" fontId="0" fillId="0" borderId="0" xfId="0" applyNumberFormat="1" applyFont="1" applyAlignment="1">
      <alignment horizontal="left"/>
    </xf>
    <xf numFmtId="2" fontId="5" fillId="0" borderId="0" xfId="0" applyNumberFormat="1" applyFont="1"/>
    <xf numFmtId="2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165" fontId="0" fillId="4" borderId="4" xfId="0" applyNumberFormat="1" applyFont="1" applyFill="1" applyBorder="1"/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5" fillId="0" borderId="0" xfId="0" applyFont="1" applyAlignment="1"/>
    <xf numFmtId="2" fontId="0" fillId="6" borderId="1" xfId="0" applyNumberFormat="1" applyFont="1" applyFill="1" applyBorder="1"/>
    <xf numFmtId="168" fontId="5" fillId="0" borderId="0" xfId="0" applyNumberFormat="1" applyFont="1"/>
    <xf numFmtId="168" fontId="0" fillId="0" borderId="2" xfId="0" applyNumberFormat="1" applyFont="1" applyBorder="1" applyAlignment="1">
      <alignment horizontal="center"/>
    </xf>
    <xf numFmtId="2" fontId="0" fillId="0" borderId="4" xfId="0" applyNumberFormat="1" applyFont="1" applyBorder="1"/>
    <xf numFmtId="168" fontId="0" fillId="0" borderId="0" xfId="0" applyNumberFormat="1" applyFont="1" applyAlignment="1">
      <alignment horizontal="center"/>
    </xf>
    <xf numFmtId="168" fontId="0" fillId="0" borderId="0" xfId="0" applyNumberFormat="1" applyFont="1" applyAlignment="1">
      <alignment horizontal="left"/>
    </xf>
    <xf numFmtId="0" fontId="7" fillId="0" borderId="0" xfId="0" applyFont="1"/>
    <xf numFmtId="11" fontId="0" fillId="0" borderId="0" xfId="0" applyNumberFormat="1" applyFont="1"/>
    <xf numFmtId="1" fontId="0" fillId="0" borderId="0" xfId="0" applyNumberFormat="1" applyFont="1"/>
    <xf numFmtId="168" fontId="2" fillId="0" borderId="0" xfId="0" applyNumberFormat="1" applyFont="1" applyAlignment="1">
      <alignment horizontal="left"/>
    </xf>
    <xf numFmtId="168" fontId="0" fillId="0" borderId="0" xfId="0" applyNumberFormat="1" applyFont="1" applyAlignment="1">
      <alignment horizontal="right"/>
    </xf>
    <xf numFmtId="0" fontId="0" fillId="2" borderId="1" xfId="0" applyFont="1" applyFill="1" applyBorder="1"/>
    <xf numFmtId="173" fontId="0" fillId="0" borderId="0" xfId="0" applyNumberFormat="1" applyFont="1"/>
    <xf numFmtId="165" fontId="0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165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right"/>
    </xf>
    <xf numFmtId="1" fontId="7" fillId="0" borderId="3" xfId="0" applyNumberFormat="1" applyFont="1" applyBorder="1"/>
    <xf numFmtId="0" fontId="7" fillId="0" borderId="4" xfId="0" applyFont="1" applyBorder="1"/>
    <xf numFmtId="168" fontId="7" fillId="0" borderId="4" xfId="0" applyNumberFormat="1" applyFont="1" applyBorder="1"/>
    <xf numFmtId="176" fontId="0" fillId="0" borderId="0" xfId="0" applyNumberFormat="1" applyFont="1"/>
    <xf numFmtId="1" fontId="7" fillId="0" borderId="4" xfId="0" applyNumberFormat="1" applyFont="1" applyBorder="1"/>
    <xf numFmtId="177" fontId="7" fillId="0" borderId="4" xfId="0" applyNumberFormat="1" applyFont="1" applyBorder="1"/>
    <xf numFmtId="2" fontId="7" fillId="0" borderId="4" xfId="0" applyNumberFormat="1" applyFont="1" applyBorder="1"/>
    <xf numFmtId="176" fontId="0" fillId="0" borderId="0" xfId="0" applyNumberFormat="1" applyFont="1" applyAlignment="1">
      <alignment horizontal="left"/>
    </xf>
    <xf numFmtId="0" fontId="7" fillId="8" borderId="19" xfId="0" applyFont="1" applyFill="1" applyBorder="1"/>
    <xf numFmtId="168" fontId="7" fillId="6" borderId="4" xfId="0" applyNumberFormat="1" applyFont="1" applyFill="1" applyBorder="1"/>
    <xf numFmtId="168" fontId="7" fillId="8" borderId="20" xfId="0" applyNumberFormat="1" applyFont="1" applyFill="1" applyBorder="1"/>
    <xf numFmtId="0" fontId="7" fillId="0" borderId="21" xfId="0" applyFont="1" applyBorder="1"/>
    <xf numFmtId="0" fontId="7" fillId="0" borderId="22" xfId="0" applyFont="1" applyBorder="1"/>
    <xf numFmtId="0" fontId="7" fillId="0" borderId="20" xfId="0" applyFont="1" applyBorder="1"/>
    <xf numFmtId="0" fontId="7" fillId="0" borderId="20" xfId="0" applyFont="1" applyBorder="1" applyAlignment="1">
      <alignment wrapText="1"/>
    </xf>
    <xf numFmtId="0" fontId="7" fillId="0" borderId="23" xfId="0" applyFont="1" applyBorder="1"/>
    <xf numFmtId="0" fontId="7" fillId="0" borderId="21" xfId="0" applyFont="1" applyBorder="1" applyAlignment="1">
      <alignment wrapText="1"/>
    </xf>
    <xf numFmtId="0" fontId="7" fillId="0" borderId="24" xfId="0" applyFont="1" applyBorder="1" applyAlignment="1">
      <alignment wrapText="1"/>
    </xf>
    <xf numFmtId="168" fontId="7" fillId="0" borderId="0" xfId="0" applyNumberFormat="1" applyFont="1"/>
    <xf numFmtId="177" fontId="7" fillId="9" borderId="4" xfId="0" applyNumberFormat="1" applyFont="1" applyFill="1" applyBorder="1"/>
    <xf numFmtId="0" fontId="7" fillId="0" borderId="0" xfId="0" applyFont="1" applyAlignment="1">
      <alignment horizontal="center" vertical="center"/>
    </xf>
    <xf numFmtId="0" fontId="7" fillId="0" borderId="26" xfId="0" applyFont="1" applyBorder="1"/>
    <xf numFmtId="0" fontId="10" fillId="0" borderId="4" xfId="0" applyFont="1" applyBorder="1"/>
    <xf numFmtId="168" fontId="7" fillId="9" borderId="4" xfId="0" applyNumberFormat="1" applyFont="1" applyFill="1" applyBorder="1"/>
    <xf numFmtId="165" fontId="5" fillId="0" borderId="0" xfId="0" applyNumberFormat="1" applyFont="1"/>
    <xf numFmtId="0" fontId="7" fillId="0" borderId="30" xfId="0" applyFont="1" applyBorder="1"/>
    <xf numFmtId="0" fontId="7" fillId="2" borderId="4" xfId="0" applyFont="1" applyFill="1" applyBorder="1"/>
    <xf numFmtId="168" fontId="7" fillId="2" borderId="4" xfId="0" applyNumberFormat="1" applyFont="1" applyFill="1" applyBorder="1"/>
    <xf numFmtId="1" fontId="7" fillId="2" borderId="4" xfId="0" applyNumberFormat="1" applyFont="1" applyFill="1" applyBorder="1"/>
    <xf numFmtId="0" fontId="7" fillId="0" borderId="33" xfId="0" applyFont="1" applyBorder="1"/>
    <xf numFmtId="0" fontId="0" fillId="0" borderId="0" xfId="0" applyFont="1" applyAlignment="1">
      <alignment horizontal="center" vertical="center"/>
    </xf>
    <xf numFmtId="0" fontId="10" fillId="0" borderId="0" xfId="0" applyFont="1"/>
    <xf numFmtId="0" fontId="0" fillId="11" borderId="44" xfId="0" applyFont="1" applyFill="1" applyBorder="1"/>
    <xf numFmtId="0" fontId="0" fillId="11" borderId="45" xfId="0" applyFont="1" applyFill="1" applyBorder="1"/>
    <xf numFmtId="1" fontId="0" fillId="0" borderId="0" xfId="0" applyNumberFormat="1" applyFont="1" applyAlignment="1">
      <alignment horizontal="center"/>
    </xf>
    <xf numFmtId="1" fontId="11" fillId="4" borderId="45" xfId="0" applyNumberFormat="1" applyFont="1" applyFill="1" applyBorder="1"/>
    <xf numFmtId="1" fontId="0" fillId="0" borderId="0" xfId="0" applyNumberFormat="1" applyFont="1" applyAlignment="1">
      <alignment horizontal="left"/>
    </xf>
    <xf numFmtId="1" fontId="11" fillId="4" borderId="31" xfId="0" applyNumberFormat="1" applyFont="1" applyFill="1" applyBorder="1"/>
    <xf numFmtId="177" fontId="7" fillId="2" borderId="4" xfId="0" applyNumberFormat="1" applyFont="1" applyFill="1" applyBorder="1"/>
    <xf numFmtId="0" fontId="0" fillId="0" borderId="4" xfId="0" applyFont="1" applyBorder="1"/>
    <xf numFmtId="2" fontId="0" fillId="13" borderId="4" xfId="0" applyNumberFormat="1" applyFont="1" applyFill="1" applyBorder="1"/>
    <xf numFmtId="174" fontId="7" fillId="0" borderId="4" xfId="0" applyNumberFormat="1" applyFont="1" applyBorder="1"/>
    <xf numFmtId="2" fontId="0" fillId="12" borderId="4" xfId="0" applyNumberFormat="1" applyFont="1" applyFill="1" applyBorder="1"/>
    <xf numFmtId="0" fontId="0" fillId="2" borderId="1" xfId="0" applyFont="1" applyFill="1" applyBorder="1" applyAlignment="1">
      <alignment horizontal="right"/>
    </xf>
    <xf numFmtId="172" fontId="0" fillId="2" borderId="47" xfId="0" applyNumberFormat="1" applyFont="1" applyFill="1" applyBorder="1"/>
    <xf numFmtId="2" fontId="0" fillId="6" borderId="4" xfId="0" applyNumberFormat="1" applyFont="1" applyFill="1" applyBorder="1"/>
    <xf numFmtId="174" fontId="7" fillId="9" borderId="4" xfId="0" applyNumberFormat="1" applyFont="1" applyFill="1" applyBorder="1"/>
    <xf numFmtId="1" fontId="4" fillId="0" borderId="4" xfId="0" applyNumberFormat="1" applyFont="1" applyBorder="1"/>
    <xf numFmtId="0" fontId="0" fillId="6" borderId="1" xfId="0" applyFont="1" applyFill="1" applyBorder="1"/>
    <xf numFmtId="168" fontId="11" fillId="0" borderId="4" xfId="0" applyNumberFormat="1" applyFont="1" applyBorder="1"/>
    <xf numFmtId="172" fontId="0" fillId="0" borderId="25" xfId="0" applyNumberFormat="1" applyFont="1" applyBorder="1"/>
    <xf numFmtId="172" fontId="7" fillId="0" borderId="4" xfId="0" applyNumberFormat="1" applyFont="1" applyBorder="1"/>
    <xf numFmtId="168" fontId="11" fillId="6" borderId="4" xfId="0" applyNumberFormat="1" applyFont="1" applyFill="1" applyBorder="1"/>
    <xf numFmtId="177" fontId="7" fillId="6" borderId="4" xfId="0" applyNumberFormat="1" applyFont="1" applyFill="1" applyBorder="1"/>
    <xf numFmtId="168" fontId="11" fillId="2" borderId="4" xfId="0" applyNumberFormat="1" applyFont="1" applyFill="1" applyBorder="1"/>
    <xf numFmtId="0" fontId="0" fillId="0" borderId="25" xfId="0" applyFont="1" applyBorder="1"/>
    <xf numFmtId="0" fontId="0" fillId="0" borderId="40" xfId="0" applyFont="1" applyBorder="1"/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79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1" xfId="0" applyFont="1" applyBorder="1" applyAlignment="1">
      <alignment horizontal="center"/>
    </xf>
    <xf numFmtId="168" fontId="0" fillId="0" borderId="1" xfId="0" applyNumberFormat="1" applyFont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20" fillId="0" borderId="0" xfId="0" applyFont="1" applyAlignment="1"/>
    <xf numFmtId="0" fontId="0" fillId="0" borderId="48" xfId="0" applyFont="1" applyBorder="1" applyAlignment="1"/>
    <xf numFmtId="2" fontId="0" fillId="0" borderId="0" xfId="0" applyNumberFormat="1" applyFont="1" applyAlignment="1">
      <alignment horizontal="right" indent="2"/>
    </xf>
    <xf numFmtId="2" fontId="0" fillId="0" borderId="0" xfId="0" applyNumberFormat="1" applyFont="1" applyAlignment="1">
      <alignment horizontal="left" indent="6"/>
    </xf>
    <xf numFmtId="0" fontId="0" fillId="0" borderId="4" xfId="0" applyFont="1" applyFill="1" applyBorder="1" applyAlignment="1">
      <alignment horizontal="center"/>
    </xf>
    <xf numFmtId="2" fontId="0" fillId="0" borderId="0" xfId="0" applyNumberFormat="1" applyFont="1" applyAlignment="1"/>
    <xf numFmtId="167" fontId="4" fillId="0" borderId="0" xfId="0" applyNumberFormat="1" applyFont="1" applyFill="1" applyAlignment="1">
      <alignment horizontal="right"/>
    </xf>
    <xf numFmtId="0" fontId="24" fillId="0" borderId="0" xfId="0" applyFont="1" applyAlignment="1"/>
    <xf numFmtId="177" fontId="7" fillId="15" borderId="4" xfId="0" applyNumberFormat="1" applyFont="1" applyFill="1" applyBorder="1"/>
    <xf numFmtId="168" fontId="7" fillId="15" borderId="4" xfId="0" applyNumberFormat="1" applyFont="1" applyFill="1" applyBorder="1"/>
    <xf numFmtId="2" fontId="13" fillId="14" borderId="0" xfId="0" applyNumberFormat="1" applyFont="1" applyFill="1" applyAlignment="1">
      <alignment horizontal="center" vertical="center"/>
    </xf>
    <xf numFmtId="0" fontId="0" fillId="14" borderId="0" xfId="0" applyFont="1" applyFill="1" applyAlignment="1"/>
    <xf numFmtId="1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4" fontId="20" fillId="0" borderId="0" xfId="0" applyNumberFormat="1" applyFont="1"/>
    <xf numFmtId="0" fontId="0" fillId="0" borderId="0" xfId="0" applyFont="1" applyFill="1" applyAlignment="1"/>
    <xf numFmtId="4" fontId="20" fillId="0" borderId="0" xfId="0" applyNumberFormat="1" applyFont="1" applyFill="1"/>
    <xf numFmtId="0" fontId="31" fillId="0" borderId="51" xfId="0" applyFont="1" applyBorder="1" applyAlignment="1">
      <alignment horizontal="center" vertical="center" wrapText="1"/>
    </xf>
    <xf numFmtId="0" fontId="31" fillId="0" borderId="51" xfId="0" applyFont="1" applyBorder="1" applyAlignment="1">
      <alignment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1" xfId="0" applyFont="1" applyBorder="1" applyAlignment="1">
      <alignment vertical="center"/>
    </xf>
    <xf numFmtId="0" fontId="34" fillId="0" borderId="53" xfId="0" applyFont="1" applyBorder="1" applyAlignment="1">
      <alignment horizontal="center" vertical="center"/>
    </xf>
    <xf numFmtId="0" fontId="0" fillId="0" borderId="0" xfId="0" quotePrefix="1" applyFont="1" applyAlignment="1"/>
    <xf numFmtId="168" fontId="21" fillId="0" borderId="0" xfId="0" applyNumberFormat="1" applyFont="1" applyAlignment="1">
      <alignment horizontal="left" indent="6"/>
    </xf>
    <xf numFmtId="168" fontId="0" fillId="0" borderId="0" xfId="0" applyNumberFormat="1" applyFont="1" applyAlignment="1"/>
    <xf numFmtId="168" fontId="0" fillId="0" borderId="0" xfId="0" applyNumberFormat="1" applyFont="1" applyAlignment="1">
      <alignment horizontal="left" indent="4"/>
    </xf>
    <xf numFmtId="2" fontId="0" fillId="0" borderId="0" xfId="0" applyNumberFormat="1" applyFont="1" applyAlignment="1">
      <alignment horizontal="left" indent="2"/>
    </xf>
    <xf numFmtId="0" fontId="24" fillId="0" borderId="0" xfId="0" quotePrefix="1" applyFont="1" applyAlignment="1"/>
    <xf numFmtId="0" fontId="24" fillId="0" borderId="0" xfId="0" applyFont="1" applyAlignment="1">
      <alignment horizontal="center"/>
    </xf>
    <xf numFmtId="0" fontId="21" fillId="0" borderId="1" xfId="0" applyFont="1" applyBorder="1" applyAlignment="1"/>
    <xf numFmtId="0" fontId="0" fillId="0" borderId="1" xfId="0" applyFont="1" applyBorder="1" applyAlignment="1"/>
    <xf numFmtId="2" fontId="0" fillId="0" borderId="0" xfId="0" applyNumberFormat="1" applyFont="1" applyAlignment="1">
      <alignment horizontal="right" indent="1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indent="2"/>
    </xf>
    <xf numFmtId="1" fontId="0" fillId="0" borderId="0" xfId="0" applyNumberFormat="1" applyFont="1" applyAlignment="1">
      <alignment horizontal="right"/>
    </xf>
    <xf numFmtId="1" fontId="11" fillId="4" borderId="55" xfId="0" applyNumberFormat="1" applyFont="1" applyFill="1" applyBorder="1"/>
    <xf numFmtId="1" fontId="11" fillId="4" borderId="56" xfId="0" applyNumberFormat="1" applyFont="1" applyFill="1" applyBorder="1"/>
    <xf numFmtId="1" fontId="11" fillId="4" borderId="57" xfId="0" applyNumberFormat="1" applyFont="1" applyFill="1" applyBorder="1"/>
    <xf numFmtId="0" fontId="0" fillId="0" borderId="0" xfId="0" applyFont="1" applyAlignment="1"/>
    <xf numFmtId="0" fontId="26" fillId="0" borderId="1" xfId="4"/>
    <xf numFmtId="0" fontId="26" fillId="0" borderId="58" xfId="4" applyBorder="1"/>
    <xf numFmtId="0" fontId="26" fillId="0" borderId="61" xfId="4" applyBorder="1"/>
    <xf numFmtId="0" fontId="26" fillId="0" borderId="62" xfId="4" applyBorder="1" applyAlignment="1">
      <alignment horizontal="center"/>
    </xf>
    <xf numFmtId="2" fontId="26" fillId="0" borderId="62" xfId="4" applyNumberFormat="1" applyBorder="1" applyAlignment="1">
      <alignment horizontal="center"/>
    </xf>
    <xf numFmtId="2" fontId="26" fillId="14" borderId="62" xfId="4" applyNumberFormat="1" applyFill="1" applyBorder="1" applyAlignment="1">
      <alignment horizontal="center"/>
    </xf>
    <xf numFmtId="0" fontId="41" fillId="0" borderId="1" xfId="4" applyFont="1"/>
    <xf numFmtId="0" fontId="26" fillId="0" borderId="1" xfId="4" applyAlignment="1">
      <alignment horizontal="right" indent="3"/>
    </xf>
    <xf numFmtId="2" fontId="26" fillId="0" borderId="1" xfId="4" applyNumberFormat="1"/>
    <xf numFmtId="168" fontId="26" fillId="0" borderId="59" xfId="4" applyNumberFormat="1" applyBorder="1" applyAlignment="1">
      <alignment horizontal="center"/>
    </xf>
    <xf numFmtId="0" fontId="26" fillId="0" borderId="61" xfId="4" applyBorder="1" applyAlignment="1">
      <alignment wrapText="1"/>
    </xf>
    <xf numFmtId="0" fontId="26" fillId="0" borderId="64" xfId="4" applyBorder="1" applyAlignment="1">
      <alignment wrapText="1"/>
    </xf>
    <xf numFmtId="0" fontId="26" fillId="0" borderId="65" xfId="4" applyBorder="1" applyAlignment="1">
      <alignment horizontal="center"/>
    </xf>
    <xf numFmtId="0" fontId="26" fillId="0" borderId="1" xfId="4" applyAlignment="1">
      <alignment wrapText="1"/>
    </xf>
    <xf numFmtId="0" fontId="42" fillId="0" borderId="62" xfId="4" applyFont="1" applyBorder="1" applyAlignment="1">
      <alignment horizontal="center" vertical="center" wrapText="1"/>
    </xf>
    <xf numFmtId="16" fontId="26" fillId="0" borderId="62" xfId="4" applyNumberFormat="1" applyBorder="1" applyAlignment="1">
      <alignment horizontal="center"/>
    </xf>
    <xf numFmtId="2" fontId="26" fillId="0" borderId="62" xfId="4" applyNumberFormat="1" applyFont="1" applyBorder="1" applyAlignment="1">
      <alignment horizontal="center"/>
    </xf>
    <xf numFmtId="172" fontId="26" fillId="0" borderId="62" xfId="4" applyNumberFormat="1" applyBorder="1" applyAlignment="1">
      <alignment horizontal="center"/>
    </xf>
    <xf numFmtId="182" fontId="26" fillId="0" borderId="62" xfId="5" applyNumberFormat="1" applyFont="1" applyFill="1" applyBorder="1" applyAlignment="1">
      <alignment horizontal="center"/>
    </xf>
    <xf numFmtId="182" fontId="26" fillId="0" borderId="62" xfId="4" applyNumberFormat="1" applyBorder="1" applyAlignment="1">
      <alignment horizontal="center"/>
    </xf>
    <xf numFmtId="2" fontId="43" fillId="0" borderId="62" xfId="4" applyNumberFormat="1" applyFont="1" applyBorder="1" applyAlignment="1">
      <alignment horizontal="center"/>
    </xf>
    <xf numFmtId="168" fontId="26" fillId="0" borderId="62" xfId="4" applyNumberFormat="1" applyBorder="1" applyAlignment="1">
      <alignment horizontal="center"/>
    </xf>
    <xf numFmtId="177" fontId="26" fillId="0" borderId="62" xfId="4" applyNumberFormat="1" applyBorder="1" applyAlignment="1">
      <alignment horizontal="center"/>
    </xf>
    <xf numFmtId="182" fontId="43" fillId="0" borderId="62" xfId="4" applyNumberFormat="1" applyFont="1" applyBorder="1" applyAlignment="1">
      <alignment horizontal="center"/>
    </xf>
    <xf numFmtId="0" fontId="44" fillId="0" borderId="62" xfId="4" applyFont="1" applyBorder="1" applyAlignment="1">
      <alignment horizontal="center"/>
    </xf>
    <xf numFmtId="2" fontId="44" fillId="0" borderId="62" xfId="4" applyNumberFormat="1" applyFont="1" applyBorder="1" applyAlignment="1">
      <alignment horizontal="center"/>
    </xf>
    <xf numFmtId="0" fontId="43" fillId="0" borderId="62" xfId="4" applyFont="1" applyBorder="1" applyAlignment="1">
      <alignment horizontal="center"/>
    </xf>
    <xf numFmtId="168" fontId="43" fillId="0" borderId="62" xfId="4" applyNumberFormat="1" applyFont="1" applyBorder="1" applyAlignment="1">
      <alignment horizontal="center"/>
    </xf>
    <xf numFmtId="2" fontId="45" fillId="0" borderId="62" xfId="4" applyNumberFormat="1" applyFont="1" applyBorder="1" applyAlignment="1">
      <alignment horizontal="center"/>
    </xf>
    <xf numFmtId="172" fontId="43" fillId="0" borderId="62" xfId="4" applyNumberFormat="1" applyFont="1" applyBorder="1" applyAlignment="1">
      <alignment horizontal="center"/>
    </xf>
    <xf numFmtId="181" fontId="26" fillId="0" borderId="62" xfId="4" applyNumberFormat="1" applyBorder="1" applyAlignment="1">
      <alignment horizontal="center"/>
    </xf>
    <xf numFmtId="0" fontId="0" fillId="0" borderId="1" xfId="6" applyFont="1" applyAlignment="1"/>
    <xf numFmtId="2" fontId="26" fillId="0" borderId="1" xfId="4" applyNumberFormat="1"/>
    <xf numFmtId="0" fontId="26" fillId="0" borderId="65" xfId="4" applyBorder="1" applyAlignment="1">
      <alignment horizontal="center"/>
    </xf>
    <xf numFmtId="0" fontId="26" fillId="0" borderId="1" xfId="10"/>
    <xf numFmtId="0" fontId="26" fillId="0" borderId="72" xfId="9" applyFont="1" applyBorder="1"/>
    <xf numFmtId="2" fontId="26" fillId="0" borderId="73" xfId="9" applyNumberFormat="1" applyFont="1" applyBorder="1"/>
    <xf numFmtId="0" fontId="26" fillId="0" borderId="51" xfId="9" applyFont="1" applyBorder="1"/>
    <xf numFmtId="0" fontId="26" fillId="0" borderId="70" xfId="4" applyBorder="1" applyAlignment="1">
      <alignment horizontal="right"/>
    </xf>
    <xf numFmtId="0" fontId="26" fillId="0" borderId="71" xfId="4" applyBorder="1"/>
    <xf numFmtId="165" fontId="26" fillId="0" borderId="1" xfId="4" applyNumberFormat="1"/>
    <xf numFmtId="168" fontId="26" fillId="0" borderId="56" xfId="4" applyNumberFormat="1" applyBorder="1"/>
    <xf numFmtId="0" fontId="42" fillId="0" borderId="70" xfId="4" applyFont="1" applyBorder="1" applyAlignment="1">
      <alignment horizontal="left"/>
    </xf>
    <xf numFmtId="0" fontId="42" fillId="0" borderId="70" xfId="4" applyFont="1" applyBorder="1"/>
    <xf numFmtId="0" fontId="26" fillId="0" borderId="56" xfId="4" applyBorder="1" applyAlignment="1">
      <alignment horizontal="right"/>
    </xf>
    <xf numFmtId="0" fontId="26" fillId="0" borderId="1" xfId="4" applyAlignment="1">
      <alignment horizontal="right"/>
    </xf>
    <xf numFmtId="2" fontId="26" fillId="0" borderId="1" xfId="4" applyNumberFormat="1" applyAlignment="1">
      <alignment horizontal="right"/>
    </xf>
    <xf numFmtId="0" fontId="26" fillId="0" borderId="70" xfId="4" applyBorder="1"/>
    <xf numFmtId="0" fontId="26" fillId="0" borderId="1" xfId="4" applyAlignment="1">
      <alignment horizontal="left"/>
    </xf>
    <xf numFmtId="0" fontId="26" fillId="0" borderId="54" xfId="4" applyBorder="1" applyAlignment="1">
      <alignment horizontal="center"/>
    </xf>
    <xf numFmtId="0" fontId="26" fillId="0" borderId="53" xfId="4" applyBorder="1" applyAlignment="1">
      <alignment horizontal="center"/>
    </xf>
    <xf numFmtId="0" fontId="26" fillId="0" borderId="77" xfId="4" applyBorder="1" applyAlignment="1">
      <alignment horizontal="center"/>
    </xf>
    <xf numFmtId="0" fontId="26" fillId="0" borderId="66" xfId="4" applyBorder="1" applyAlignment="1">
      <alignment horizontal="center"/>
    </xf>
    <xf numFmtId="0" fontId="26" fillId="0" borderId="78" xfId="4" applyBorder="1" applyAlignment="1">
      <alignment horizontal="center"/>
    </xf>
    <xf numFmtId="165" fontId="26" fillId="0" borderId="74" xfId="4" applyNumberFormat="1" applyBorder="1" applyAlignment="1">
      <alignment horizontal="center"/>
    </xf>
    <xf numFmtId="165" fontId="26" fillId="0" borderId="57" xfId="4" applyNumberFormat="1" applyBorder="1" applyAlignment="1">
      <alignment horizontal="center"/>
    </xf>
    <xf numFmtId="165" fontId="26" fillId="0" borderId="79" xfId="4" applyNumberFormat="1" applyBorder="1" applyAlignment="1">
      <alignment horizontal="center"/>
    </xf>
    <xf numFmtId="0" fontId="26" fillId="0" borderId="80" xfId="4" applyBorder="1" applyAlignment="1">
      <alignment horizontal="center"/>
    </xf>
    <xf numFmtId="165" fontId="26" fillId="0" borderId="61" xfId="4" applyNumberFormat="1" applyBorder="1" applyAlignment="1">
      <alignment horizontal="center"/>
    </xf>
    <xf numFmtId="165" fontId="26" fillId="0" borderId="62" xfId="4" applyNumberFormat="1" applyBorder="1" applyAlignment="1">
      <alignment horizontal="center"/>
    </xf>
    <xf numFmtId="165" fontId="26" fillId="0" borderId="63" xfId="4" applyNumberFormat="1" applyBorder="1" applyAlignment="1">
      <alignment horizontal="center"/>
    </xf>
    <xf numFmtId="0" fontId="26" fillId="0" borderId="81" xfId="4" applyBorder="1" applyAlignment="1">
      <alignment horizontal="center"/>
    </xf>
    <xf numFmtId="165" fontId="26" fillId="0" borderId="64" xfId="4" applyNumberFormat="1" applyBorder="1" applyAlignment="1">
      <alignment horizontal="center"/>
    </xf>
    <xf numFmtId="165" fontId="26" fillId="0" borderId="65" xfId="4" applyNumberFormat="1" applyBorder="1" applyAlignment="1">
      <alignment horizontal="center"/>
    </xf>
    <xf numFmtId="165" fontId="26" fillId="0" borderId="66" xfId="4" applyNumberFormat="1" applyBorder="1" applyAlignment="1">
      <alignment horizontal="center"/>
    </xf>
    <xf numFmtId="0" fontId="26" fillId="0" borderId="51" xfId="4" applyBorder="1"/>
    <xf numFmtId="0" fontId="26" fillId="0" borderId="72" xfId="4" applyBorder="1"/>
    <xf numFmtId="0" fontId="26" fillId="0" borderId="73" xfId="4" applyBorder="1" applyAlignment="1">
      <alignment horizontal="right"/>
    </xf>
    <xf numFmtId="0" fontId="26" fillId="0" borderId="70" xfId="4" applyBorder="1" applyAlignment="1">
      <alignment horizontal="center"/>
    </xf>
    <xf numFmtId="0" fontId="26" fillId="0" borderId="56" xfId="4" applyBorder="1" applyAlignment="1">
      <alignment horizontal="center"/>
    </xf>
    <xf numFmtId="0" fontId="26" fillId="0" borderId="71" xfId="4" applyBorder="1" applyAlignment="1">
      <alignment horizontal="center"/>
    </xf>
    <xf numFmtId="0" fontId="26" fillId="0" borderId="67" xfId="4" applyBorder="1"/>
    <xf numFmtId="0" fontId="51" fillId="0" borderId="0" xfId="0" applyFont="1"/>
    <xf numFmtId="0" fontId="51" fillId="0" borderId="0" xfId="0" applyFont="1" applyAlignment="1">
      <alignment horizontal="right"/>
    </xf>
    <xf numFmtId="2" fontId="51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Font="1"/>
    <xf numFmtId="2" fontId="51" fillId="0" borderId="0" xfId="0" applyNumberFormat="1" applyFont="1"/>
    <xf numFmtId="2" fontId="51" fillId="0" borderId="0" xfId="0" applyNumberFormat="1" applyFont="1" applyAlignment="1">
      <alignment horizontal="left"/>
    </xf>
    <xf numFmtId="168" fontId="51" fillId="0" borderId="0" xfId="0" applyNumberFormat="1" applyFont="1" applyAlignment="1">
      <alignment horizontal="left"/>
    </xf>
    <xf numFmtId="168" fontId="51" fillId="0" borderId="0" xfId="0" applyNumberFormat="1" applyFont="1"/>
    <xf numFmtId="168" fontId="51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right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 vertical="top"/>
    </xf>
    <xf numFmtId="183" fontId="51" fillId="0" borderId="0" xfId="0" applyNumberFormat="1" applyFont="1" applyAlignment="1">
      <alignment horizontal="center"/>
    </xf>
    <xf numFmtId="0" fontId="53" fillId="0" borderId="1" xfId="11" applyFont="1"/>
    <xf numFmtId="0" fontId="26" fillId="0" borderId="71" xfId="9" applyFont="1" applyBorder="1"/>
    <xf numFmtId="0" fontId="26" fillId="0" borderId="70" xfId="9" applyFont="1" applyBorder="1" applyAlignment="1">
      <alignment horizontal="right"/>
    </xf>
    <xf numFmtId="2" fontId="26" fillId="0" borderId="56" xfId="9" applyNumberFormat="1" applyFont="1" applyBorder="1"/>
    <xf numFmtId="0" fontId="26" fillId="0" borderId="84" xfId="9" applyFont="1" applyBorder="1"/>
    <xf numFmtId="2" fontId="26" fillId="0" borderId="57" xfId="9" applyNumberFormat="1" applyFont="1" applyBorder="1"/>
    <xf numFmtId="0" fontId="26" fillId="0" borderId="83" xfId="9" applyFont="1" applyBorder="1"/>
    <xf numFmtId="0" fontId="42" fillId="0" borderId="70" xfId="9" applyFont="1" applyBorder="1"/>
    <xf numFmtId="0" fontId="26" fillId="0" borderId="57" xfId="9" applyFont="1" applyBorder="1"/>
    <xf numFmtId="0" fontId="26" fillId="0" borderId="56" xfId="9" applyFont="1" applyBorder="1"/>
    <xf numFmtId="10" fontId="26" fillId="0" borderId="57" xfId="12" applyNumberFormat="1" applyFont="1" applyFill="1" applyBorder="1"/>
    <xf numFmtId="0" fontId="26" fillId="0" borderId="70" xfId="9" applyFont="1" applyBorder="1"/>
    <xf numFmtId="2" fontId="26" fillId="0" borderId="1" xfId="10" applyNumberFormat="1" applyAlignment="1">
      <alignment horizontal="left"/>
    </xf>
    <xf numFmtId="165" fontId="26" fillId="0" borderId="1" xfId="10" applyNumberFormat="1" applyAlignment="1">
      <alignment horizontal="left"/>
    </xf>
    <xf numFmtId="2" fontId="26" fillId="0" borderId="1" xfId="10" applyNumberFormat="1"/>
    <xf numFmtId="2" fontId="26" fillId="0" borderId="1" xfId="10" applyNumberFormat="1" applyAlignment="1">
      <alignment horizontal="left" indent="1"/>
    </xf>
    <xf numFmtId="2" fontId="26" fillId="0" borderId="75" xfId="0" applyNumberFormat="1" applyFont="1" applyBorder="1"/>
    <xf numFmtId="0" fontId="26" fillId="0" borderId="51" xfId="0" applyFont="1" applyBorder="1"/>
    <xf numFmtId="165" fontId="26" fillId="0" borderId="1" xfId="10" applyNumberFormat="1" applyAlignment="1">
      <alignment horizontal="left" indent="7"/>
    </xf>
    <xf numFmtId="0" fontId="26" fillId="0" borderId="72" xfId="0" applyFont="1" applyBorder="1" applyAlignment="1">
      <alignment horizontal="right"/>
    </xf>
    <xf numFmtId="2" fontId="26" fillId="0" borderId="1" xfId="10" applyNumberFormat="1" applyAlignment="1">
      <alignment horizontal="left" indent="3"/>
    </xf>
    <xf numFmtId="2" fontId="26" fillId="0" borderId="1" xfId="10" applyNumberFormat="1" applyAlignment="1">
      <alignment horizontal="center"/>
    </xf>
    <xf numFmtId="0" fontId="26" fillId="0" borderId="1" xfId="10" applyAlignment="1">
      <alignment horizontal="center"/>
    </xf>
    <xf numFmtId="165" fontId="51" fillId="0" borderId="0" xfId="0" applyNumberFormat="1" applyFont="1"/>
    <xf numFmtId="2" fontId="51" fillId="0" borderId="0" xfId="0" applyNumberFormat="1" applyFont="1" applyAlignment="1">
      <alignment horizontal="right"/>
    </xf>
    <xf numFmtId="165" fontId="51" fillId="0" borderId="0" xfId="0" applyNumberFormat="1" applyFont="1" applyAlignment="1">
      <alignment horizontal="right"/>
    </xf>
    <xf numFmtId="165" fontId="51" fillId="0" borderId="0" xfId="0" applyNumberFormat="1" applyFont="1" applyAlignment="1">
      <alignment horizontal="center"/>
    </xf>
    <xf numFmtId="0" fontId="0" fillId="0" borderId="0" xfId="0" applyFont="1" applyAlignme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6" fillId="0" borderId="60" xfId="4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73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57" fillId="23" borderId="51" xfId="0" applyFont="1" applyFill="1" applyBorder="1" applyAlignment="1">
      <alignment horizontal="center" vertical="center" wrapText="1"/>
    </xf>
    <xf numFmtId="0" fontId="29" fillId="23" borderId="51" xfId="3" applyFont="1" applyFill="1" applyBorder="1" applyAlignment="1">
      <alignment horizontal="center" vertical="center" wrapText="1"/>
    </xf>
    <xf numFmtId="0" fontId="30" fillId="23" borderId="51" xfId="0" applyFont="1" applyFill="1" applyBorder="1" applyAlignment="1">
      <alignment horizontal="center" vertical="center" wrapText="1"/>
    </xf>
    <xf numFmtId="0" fontId="57" fillId="23" borderId="53" xfId="0" applyFont="1" applyFill="1" applyBorder="1" applyAlignment="1">
      <alignment horizontal="center" vertical="center" wrapText="1"/>
    </xf>
    <xf numFmtId="0" fontId="29" fillId="23" borderId="53" xfId="3" applyFont="1" applyFill="1" applyBorder="1" applyAlignment="1">
      <alignment horizontal="center" vertical="center" wrapText="1"/>
    </xf>
    <xf numFmtId="0" fontId="30" fillId="23" borderId="53" xfId="0" applyFont="1" applyFill="1" applyBorder="1" applyAlignment="1">
      <alignment horizontal="center" vertical="center" wrapText="1"/>
    </xf>
    <xf numFmtId="0" fontId="57" fillId="24" borderId="51" xfId="0" applyFont="1" applyFill="1" applyBorder="1" applyAlignment="1">
      <alignment horizontal="center" vertical="center" wrapText="1"/>
    </xf>
    <xf numFmtId="0" fontId="29" fillId="24" borderId="51" xfId="3" applyFont="1" applyFill="1" applyBorder="1" applyAlignment="1">
      <alignment horizontal="center" vertical="center" wrapText="1"/>
    </xf>
    <xf numFmtId="0" fontId="30" fillId="24" borderId="51" xfId="0" applyFont="1" applyFill="1" applyBorder="1" applyAlignment="1">
      <alignment horizontal="center" vertical="center" wrapText="1"/>
    </xf>
    <xf numFmtId="0" fontId="57" fillId="24" borderId="73" xfId="0" applyFont="1" applyFill="1" applyBorder="1" applyAlignment="1">
      <alignment horizontal="center" vertical="center" wrapText="1"/>
    </xf>
    <xf numFmtId="0" fontId="57" fillId="24" borderId="62" xfId="0" applyFont="1" applyFill="1" applyBorder="1" applyAlignment="1">
      <alignment horizontal="center" vertical="center" wrapText="1"/>
    </xf>
    <xf numFmtId="0" fontId="29" fillId="24" borderId="73" xfId="3" applyFont="1" applyFill="1" applyBorder="1" applyAlignment="1">
      <alignment horizontal="center" vertical="center" wrapText="1"/>
    </xf>
    <xf numFmtId="0" fontId="30" fillId="24" borderId="73" xfId="0" applyFont="1" applyFill="1" applyBorder="1" applyAlignment="1">
      <alignment horizontal="center" vertical="center" wrapText="1"/>
    </xf>
    <xf numFmtId="0" fontId="30" fillId="24" borderId="62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0" fillId="0" borderId="62" xfId="0" applyFont="1" applyBorder="1" applyAlignment="1"/>
    <xf numFmtId="0" fontId="0" fillId="0" borderId="62" xfId="0" applyFont="1" applyBorder="1"/>
    <xf numFmtId="3" fontId="0" fillId="0" borderId="62" xfId="0" applyNumberFormat="1" applyFont="1" applyBorder="1" applyAlignment="1">
      <alignment horizontal="center"/>
    </xf>
    <xf numFmtId="3" fontId="4" fillId="0" borderId="62" xfId="0" applyNumberFormat="1" applyFont="1" applyFill="1" applyBorder="1" applyAlignment="1">
      <alignment horizontal="center"/>
    </xf>
    <xf numFmtId="4" fontId="0" fillId="0" borderId="62" xfId="0" applyNumberFormat="1" applyFont="1" applyBorder="1" applyAlignment="1">
      <alignment horizontal="center"/>
    </xf>
    <xf numFmtId="3" fontId="4" fillId="0" borderId="62" xfId="0" applyNumberFormat="1" applyFont="1" applyBorder="1" applyAlignment="1">
      <alignment horizontal="center"/>
    </xf>
    <xf numFmtId="164" fontId="0" fillId="0" borderId="62" xfId="0" applyNumberFormat="1" applyFont="1" applyBorder="1" applyAlignment="1">
      <alignment horizontal="center"/>
    </xf>
    <xf numFmtId="0" fontId="24" fillId="0" borderId="62" xfId="0" applyFont="1" applyBorder="1" applyAlignment="1"/>
    <xf numFmtId="0" fontId="0" fillId="0" borderId="62" xfId="0" applyFont="1" applyBorder="1" applyAlignment="1">
      <alignment horizontal="center"/>
    </xf>
    <xf numFmtId="0" fontId="5" fillId="0" borderId="62" xfId="0" applyFont="1" applyBorder="1"/>
    <xf numFmtId="0" fontId="0" fillId="0" borderId="55" xfId="0" applyFont="1" applyBorder="1" applyAlignment="1"/>
    <xf numFmtId="0" fontId="0" fillId="0" borderId="57" xfId="0" applyFont="1" applyBorder="1" applyAlignment="1"/>
    <xf numFmtId="0" fontId="0" fillId="0" borderId="88" xfId="0" applyFont="1" applyBorder="1" applyAlignment="1"/>
    <xf numFmtId="0" fontId="0" fillId="0" borderId="89" xfId="0" applyFont="1" applyBorder="1" applyAlignment="1"/>
    <xf numFmtId="0" fontId="0" fillId="0" borderId="90" xfId="0" applyFont="1" applyBorder="1" applyAlignment="1"/>
    <xf numFmtId="0" fontId="0" fillId="0" borderId="62" xfId="0" applyFont="1" applyFill="1" applyBorder="1" applyAlignment="1">
      <alignment horizontal="center"/>
    </xf>
    <xf numFmtId="0" fontId="25" fillId="22" borderId="55" xfId="0" applyFont="1" applyFill="1" applyBorder="1" applyAlignment="1">
      <alignment horizontal="center"/>
    </xf>
    <xf numFmtId="167" fontId="2" fillId="0" borderId="55" xfId="0" applyNumberFormat="1" applyFont="1" applyFill="1" applyBorder="1" applyAlignment="1">
      <alignment horizontal="center"/>
    </xf>
    <xf numFmtId="0" fontId="0" fillId="0" borderId="55" xfId="0" applyFont="1" applyFill="1" applyBorder="1" applyAlignment="1">
      <alignment horizontal="center"/>
    </xf>
    <xf numFmtId="3" fontId="25" fillId="0" borderId="62" xfId="0" applyNumberFormat="1" applyFont="1" applyBorder="1" applyAlignment="1">
      <alignment horizontal="center"/>
    </xf>
    <xf numFmtId="0" fontId="24" fillId="23" borderId="62" xfId="0" applyFont="1" applyFill="1" applyBorder="1" applyAlignment="1"/>
    <xf numFmtId="3" fontId="36" fillId="2" borderId="62" xfId="0" applyNumberFormat="1" applyFont="1" applyFill="1" applyBorder="1" applyAlignment="1">
      <alignment horizontal="center"/>
    </xf>
    <xf numFmtId="3" fontId="59" fillId="2" borderId="62" xfId="0" applyNumberFormat="1" applyFont="1" applyFill="1" applyBorder="1" applyAlignment="1">
      <alignment horizontal="center"/>
    </xf>
    <xf numFmtId="4" fontId="0" fillId="0" borderId="62" xfId="0" applyNumberFormat="1" applyFont="1" applyFill="1" applyBorder="1" applyAlignment="1">
      <alignment horizontal="center"/>
    </xf>
    <xf numFmtId="0" fontId="20" fillId="25" borderId="62" xfId="0" applyFont="1" applyFill="1" applyBorder="1"/>
    <xf numFmtId="0" fontId="20" fillId="25" borderId="62" xfId="0" applyFont="1" applyFill="1" applyBorder="1" applyAlignment="1">
      <alignment horizontal="center"/>
    </xf>
    <xf numFmtId="4" fontId="4" fillId="0" borderId="62" xfId="0" applyNumberFormat="1" applyFont="1" applyBorder="1" applyAlignment="1">
      <alignment horizontal="center"/>
    </xf>
    <xf numFmtId="0" fontId="5" fillId="5" borderId="62" xfId="0" applyFont="1" applyFill="1" applyBorder="1"/>
    <xf numFmtId="0" fontId="5" fillId="0" borderId="62" xfId="0" applyFont="1" applyFill="1" applyBorder="1"/>
    <xf numFmtId="4" fontId="20" fillId="0" borderId="62" xfId="0" applyNumberFormat="1" applyFont="1" applyFill="1" applyBorder="1"/>
    <xf numFmtId="4" fontId="36" fillId="16" borderId="62" xfId="0" applyNumberFormat="1" applyFont="1" applyFill="1" applyBorder="1" applyAlignment="1">
      <alignment horizontal="center"/>
    </xf>
    <xf numFmtId="4" fontId="20" fillId="5" borderId="62" xfId="0" applyNumberFormat="1" applyFont="1" applyFill="1" applyBorder="1" applyAlignment="1">
      <alignment horizontal="center"/>
    </xf>
    <xf numFmtId="0" fontId="5" fillId="5" borderId="62" xfId="0" applyFont="1" applyFill="1" applyBorder="1" applyAlignment="1">
      <alignment horizontal="center"/>
    </xf>
    <xf numFmtId="166" fontId="36" fillId="16" borderId="62" xfId="0" applyNumberFormat="1" applyFont="1" applyFill="1" applyBorder="1" applyAlignment="1">
      <alignment horizontal="center"/>
    </xf>
    <xf numFmtId="4" fontId="36" fillId="17" borderId="62" xfId="0" applyNumberFormat="1" applyFont="1" applyFill="1" applyBorder="1" applyAlignment="1">
      <alignment horizontal="center"/>
    </xf>
    <xf numFmtId="4" fontId="20" fillId="0" borderId="62" xfId="0" applyNumberFormat="1" applyFont="1" applyFill="1" applyBorder="1" applyAlignment="1">
      <alignment horizontal="center"/>
    </xf>
    <xf numFmtId="0" fontId="5" fillId="0" borderId="62" xfId="0" applyFont="1" applyFill="1" applyBorder="1" applyAlignment="1">
      <alignment horizontal="center"/>
    </xf>
    <xf numFmtId="3" fontId="0" fillId="0" borderId="87" xfId="0" applyNumberFormat="1" applyFont="1" applyBorder="1" applyAlignment="1">
      <alignment horizontal="center"/>
    </xf>
    <xf numFmtId="4" fontId="0" fillId="0" borderId="87" xfId="0" applyNumberFormat="1" applyFont="1" applyBorder="1" applyAlignment="1">
      <alignment horizontal="center"/>
    </xf>
    <xf numFmtId="0" fontId="0" fillId="0" borderId="91" xfId="0" applyFont="1" applyBorder="1" applyAlignment="1"/>
    <xf numFmtId="0" fontId="0" fillId="0" borderId="82" xfId="0" applyFont="1" applyBorder="1" applyAlignment="1"/>
    <xf numFmtId="0" fontId="0" fillId="0" borderId="56" xfId="0" applyFont="1" applyBorder="1" applyAlignment="1"/>
    <xf numFmtId="0" fontId="0" fillId="0" borderId="87" xfId="0" applyFont="1" applyBorder="1" applyAlignment="1"/>
    <xf numFmtId="0" fontId="0" fillId="22" borderId="0" xfId="0" applyFont="1" applyFill="1" applyAlignment="1"/>
    <xf numFmtId="4" fontId="3" fillId="2" borderId="62" xfId="0" applyNumberFormat="1" applyFont="1" applyFill="1" applyBorder="1" applyAlignment="1">
      <alignment horizontal="center"/>
    </xf>
    <xf numFmtId="4" fontId="36" fillId="2" borderId="62" xfId="0" applyNumberFormat="1" applyFont="1" applyFill="1" applyBorder="1" applyAlignment="1">
      <alignment horizontal="center"/>
    </xf>
    <xf numFmtId="0" fontId="0" fillId="3" borderId="92" xfId="0" applyFont="1" applyFill="1" applyBorder="1"/>
    <xf numFmtId="4" fontId="3" fillId="0" borderId="93" xfId="0" applyNumberFormat="1" applyFont="1" applyFill="1" applyBorder="1" applyAlignment="1"/>
    <xf numFmtId="169" fontId="36" fillId="0" borderId="49" xfId="0" applyNumberFormat="1" applyFont="1" applyBorder="1"/>
    <xf numFmtId="9" fontId="0" fillId="2" borderId="62" xfId="2" applyFont="1" applyFill="1" applyBorder="1" applyAlignment="1">
      <alignment horizontal="center"/>
    </xf>
    <xf numFmtId="0" fontId="31" fillId="23" borderId="51" xfId="0" applyFont="1" applyFill="1" applyBorder="1" applyAlignment="1">
      <alignment horizontal="center" vertical="center" wrapText="1"/>
    </xf>
    <xf numFmtId="0" fontId="0" fillId="0" borderId="94" xfId="0" applyFont="1" applyBorder="1" applyAlignment="1">
      <alignment horizontal="center"/>
    </xf>
    <xf numFmtId="0" fontId="0" fillId="0" borderId="85" xfId="0" applyFont="1" applyBorder="1" applyAlignment="1">
      <alignment horizontal="center"/>
    </xf>
    <xf numFmtId="0" fontId="24" fillId="0" borderId="62" xfId="0" applyFont="1" applyBorder="1" applyAlignment="1">
      <alignment horizontal="center"/>
    </xf>
    <xf numFmtId="0" fontId="0" fillId="0" borderId="62" xfId="0" applyFont="1" applyBorder="1" applyAlignment="1">
      <alignment horizontal="right"/>
    </xf>
    <xf numFmtId="0" fontId="2" fillId="22" borderId="0" xfId="0" applyFont="1" applyFill="1"/>
    <xf numFmtId="0" fontId="24" fillId="22" borderId="62" xfId="0" applyFont="1" applyFill="1" applyBorder="1" applyAlignment="1"/>
    <xf numFmtId="4" fontId="36" fillId="2" borderId="62" xfId="0" applyNumberFormat="1" applyFont="1" applyFill="1" applyBorder="1"/>
    <xf numFmtId="0" fontId="25" fillId="0" borderId="62" xfId="0" applyFont="1" applyBorder="1" applyAlignment="1"/>
    <xf numFmtId="0" fontId="33" fillId="0" borderId="51" xfId="0" applyFont="1" applyBorder="1" applyAlignment="1">
      <alignment horizontal="center" vertical="center" wrapText="1"/>
    </xf>
    <xf numFmtId="9" fontId="36" fillId="2" borderId="62" xfId="2" applyFont="1" applyFill="1" applyBorder="1" applyAlignment="1">
      <alignment horizontal="center"/>
    </xf>
    <xf numFmtId="0" fontId="64" fillId="21" borderId="54" xfId="0" applyFont="1" applyFill="1" applyBorder="1" applyAlignment="1">
      <alignment horizontal="center"/>
    </xf>
    <xf numFmtId="2" fontId="0" fillId="0" borderId="62" xfId="0" applyNumberFormat="1" applyFont="1" applyBorder="1" applyAlignment="1">
      <alignment horizontal="center"/>
    </xf>
    <xf numFmtId="0" fontId="0" fillId="3" borderId="62" xfId="0" applyFont="1" applyFill="1" applyBorder="1" applyAlignment="1">
      <alignment horizontal="right"/>
    </xf>
    <xf numFmtId="1" fontId="0" fillId="28" borderId="62" xfId="0" applyNumberFormat="1" applyFont="1" applyFill="1" applyBorder="1" applyAlignment="1">
      <alignment horizontal="center"/>
    </xf>
    <xf numFmtId="165" fontId="0" fillId="29" borderId="62" xfId="0" applyNumberFormat="1" applyFont="1" applyFill="1" applyBorder="1" applyAlignment="1">
      <alignment horizontal="center"/>
    </xf>
    <xf numFmtId="168" fontId="0" fillId="0" borderId="62" xfId="0" applyNumberFormat="1" applyFont="1" applyBorder="1" applyAlignment="1">
      <alignment horizontal="center"/>
    </xf>
    <xf numFmtId="0" fontId="36" fillId="2" borderId="62" xfId="0" applyFont="1" applyFill="1" applyBorder="1" applyAlignment="1">
      <alignment horizontal="center"/>
    </xf>
    <xf numFmtId="2" fontId="2" fillId="0" borderId="62" xfId="0" applyNumberFormat="1" applyFont="1" applyBorder="1" applyAlignment="1">
      <alignment horizontal="center"/>
    </xf>
    <xf numFmtId="168" fontId="36" fillId="2" borderId="62" xfId="0" applyNumberFormat="1" applyFont="1" applyFill="1" applyBorder="1" applyAlignment="1">
      <alignment horizontal="center"/>
    </xf>
    <xf numFmtId="0" fontId="6" fillId="23" borderId="0" xfId="0" applyFont="1" applyFill="1" applyAlignment="1">
      <alignment horizontal="center"/>
    </xf>
    <xf numFmtId="0" fontId="20" fillId="0" borderId="62" xfId="0" applyFont="1" applyBorder="1" applyAlignment="1"/>
    <xf numFmtId="0" fontId="4" fillId="0" borderId="62" xfId="0" applyFont="1" applyBorder="1" applyAlignment="1"/>
    <xf numFmtId="0" fontId="2" fillId="0" borderId="62" xfId="0" applyFont="1" applyBorder="1" applyAlignment="1">
      <alignment horizontal="center"/>
    </xf>
    <xf numFmtId="174" fontId="4" fillId="0" borderId="62" xfId="0" applyNumberFormat="1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20" fillId="0" borderId="62" xfId="0" applyFont="1" applyBorder="1" applyAlignment="1">
      <alignment horizontal="center"/>
    </xf>
    <xf numFmtId="168" fontId="4" fillId="0" borderId="62" xfId="0" applyNumberFormat="1" applyFont="1" applyFill="1" applyBorder="1" applyAlignment="1">
      <alignment horizontal="center"/>
    </xf>
    <xf numFmtId="0" fontId="20" fillId="0" borderId="62" xfId="0" applyFont="1" applyBorder="1" applyAlignment="1">
      <alignment horizontal="right"/>
    </xf>
    <xf numFmtId="168" fontId="5" fillId="0" borderId="62" xfId="0" applyNumberFormat="1" applyFont="1" applyBorder="1" applyAlignment="1">
      <alignment horizontal="center"/>
    </xf>
    <xf numFmtId="168" fontId="21" fillId="14" borderId="62" xfId="0" applyNumberFormat="1" applyFont="1" applyFill="1" applyBorder="1" applyAlignment="1">
      <alignment horizontal="center"/>
    </xf>
    <xf numFmtId="2" fontId="20" fillId="0" borderId="62" xfId="0" applyNumberFormat="1" applyFont="1" applyBorder="1" applyAlignment="1">
      <alignment horizontal="center"/>
    </xf>
    <xf numFmtId="2" fontId="19" fillId="0" borderId="62" xfId="0" applyNumberFormat="1" applyFont="1" applyBorder="1" applyAlignment="1">
      <alignment horizontal="center"/>
    </xf>
    <xf numFmtId="11" fontId="0" fillId="0" borderId="62" xfId="0" applyNumberFormat="1" applyFont="1" applyBorder="1" applyAlignment="1">
      <alignment horizontal="center"/>
    </xf>
    <xf numFmtId="165" fontId="20" fillId="0" borderId="62" xfId="0" applyNumberFormat="1" applyFont="1" applyBorder="1" applyAlignment="1">
      <alignment horizontal="center"/>
    </xf>
    <xf numFmtId="168" fontId="20" fillId="0" borderId="62" xfId="0" applyNumberFormat="1" applyFont="1" applyBorder="1" applyAlignment="1">
      <alignment horizontal="center"/>
    </xf>
    <xf numFmtId="1" fontId="20" fillId="0" borderId="62" xfId="0" applyNumberFormat="1" applyFont="1" applyBorder="1" applyAlignment="1">
      <alignment horizontal="center"/>
    </xf>
    <xf numFmtId="165" fontId="0" fillId="0" borderId="62" xfId="0" applyNumberFormat="1" applyFont="1" applyBorder="1" applyAlignment="1">
      <alignment horizontal="center"/>
    </xf>
    <xf numFmtId="2" fontId="4" fillId="0" borderId="62" xfId="0" applyNumberFormat="1" applyFont="1" applyBorder="1" applyAlignment="1">
      <alignment horizontal="center"/>
    </xf>
    <xf numFmtId="0" fontId="36" fillId="0" borderId="62" xfId="0" applyFont="1" applyBorder="1" applyAlignment="1">
      <alignment horizontal="center"/>
    </xf>
    <xf numFmtId="170" fontId="36" fillId="2" borderId="62" xfId="0" applyNumberFormat="1" applyFont="1" applyFill="1" applyBorder="1" applyAlignment="1">
      <alignment horizontal="center"/>
    </xf>
    <xf numFmtId="0" fontId="0" fillId="3" borderId="62" xfId="0" applyFont="1" applyFill="1" applyBorder="1" applyAlignment="1">
      <alignment horizontal="right" wrapText="1"/>
    </xf>
    <xf numFmtId="0" fontId="0" fillId="0" borderId="62" xfId="0" applyFont="1" applyBorder="1" applyAlignment="1">
      <alignment horizontal="right" wrapText="1"/>
    </xf>
    <xf numFmtId="0" fontId="0" fillId="2" borderId="62" xfId="0" applyFont="1" applyFill="1" applyBorder="1" applyAlignment="1">
      <alignment horizontal="center"/>
    </xf>
    <xf numFmtId="171" fontId="0" fillId="0" borderId="62" xfId="0" applyNumberFormat="1" applyFont="1" applyBorder="1" applyAlignment="1">
      <alignment horizontal="center"/>
    </xf>
    <xf numFmtId="168" fontId="9" fillId="0" borderId="62" xfId="0" applyNumberFormat="1" applyFont="1" applyBorder="1" applyAlignment="1">
      <alignment horizontal="center"/>
    </xf>
    <xf numFmtId="1" fontId="0" fillId="0" borderId="62" xfId="0" applyNumberFormat="1" applyFont="1" applyBorder="1" applyAlignment="1">
      <alignment horizontal="center"/>
    </xf>
    <xf numFmtId="2" fontId="0" fillId="7" borderId="62" xfId="0" applyNumberFormat="1" applyFont="1" applyFill="1" applyBorder="1" applyAlignment="1">
      <alignment horizontal="center"/>
    </xf>
    <xf numFmtId="2" fontId="0" fillId="2" borderId="62" xfId="0" applyNumberFormat="1" applyFont="1" applyFill="1" applyBorder="1" applyAlignment="1">
      <alignment horizontal="center"/>
    </xf>
    <xf numFmtId="172" fontId="0" fillId="0" borderId="62" xfId="0" applyNumberFormat="1" applyFont="1" applyBorder="1" applyAlignment="1">
      <alignment horizontal="center"/>
    </xf>
    <xf numFmtId="174" fontId="0" fillId="0" borderId="62" xfId="0" applyNumberFormat="1" applyFont="1" applyBorder="1" applyAlignment="1">
      <alignment horizontal="center"/>
    </xf>
    <xf numFmtId="9" fontId="0" fillId="0" borderId="62" xfId="0" applyNumberFormat="1" applyFont="1" applyBorder="1" applyAlignment="1">
      <alignment horizontal="center"/>
    </xf>
    <xf numFmtId="2" fontId="36" fillId="2" borderId="6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" fontId="36" fillId="2" borderId="62" xfId="0" applyNumberFormat="1" applyFont="1" applyFill="1" applyBorder="1" applyAlignment="1">
      <alignment horizontal="center"/>
    </xf>
    <xf numFmtId="0" fontId="2" fillId="31" borderId="62" xfId="0" applyFont="1" applyFill="1" applyBorder="1" applyAlignment="1">
      <alignment horizontal="center"/>
    </xf>
    <xf numFmtId="0" fontId="24" fillId="32" borderId="0" xfId="0" applyFont="1" applyFill="1" applyAlignment="1">
      <alignment horizontal="center"/>
    </xf>
    <xf numFmtId="168" fontId="20" fillId="2" borderId="62" xfId="0" applyNumberFormat="1" applyFont="1" applyFill="1" applyBorder="1" applyAlignment="1">
      <alignment horizontal="center"/>
    </xf>
    <xf numFmtId="178" fontId="0" fillId="31" borderId="9" xfId="0" applyNumberFormat="1" applyFont="1" applyFill="1" applyBorder="1" applyAlignment="1">
      <alignment horizontal="center"/>
    </xf>
    <xf numFmtId="0" fontId="0" fillId="31" borderId="10" xfId="0" applyFont="1" applyFill="1" applyBorder="1" applyAlignment="1">
      <alignment horizontal="center"/>
    </xf>
    <xf numFmtId="2" fontId="0" fillId="0" borderId="62" xfId="0" applyNumberFormat="1" applyFont="1" applyFill="1" applyBorder="1" applyAlignment="1">
      <alignment horizontal="center"/>
    </xf>
    <xf numFmtId="172" fontId="36" fillId="2" borderId="62" xfId="0" applyNumberFormat="1" applyFont="1" applyFill="1" applyBorder="1" applyAlignment="1">
      <alignment horizontal="center"/>
    </xf>
    <xf numFmtId="2" fontId="2" fillId="0" borderId="62" xfId="0" applyNumberFormat="1" applyFont="1" applyFill="1" applyBorder="1" applyAlignment="1">
      <alignment horizontal="center"/>
    </xf>
    <xf numFmtId="168" fontId="37" fillId="2" borderId="62" xfId="0" applyNumberFormat="1" applyFont="1" applyFill="1" applyBorder="1" applyAlignment="1">
      <alignment horizontal="center"/>
    </xf>
    <xf numFmtId="0" fontId="36" fillId="14" borderId="62" xfId="0" applyFont="1" applyFill="1" applyBorder="1" applyAlignment="1">
      <alignment horizontal="center"/>
    </xf>
    <xf numFmtId="165" fontId="36" fillId="2" borderId="62" xfId="0" applyNumberFormat="1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2" fontId="0" fillId="14" borderId="62" xfId="0" applyNumberFormat="1" applyFont="1" applyFill="1" applyBorder="1" applyAlignment="1">
      <alignment horizontal="center"/>
    </xf>
    <xf numFmtId="0" fontId="24" fillId="0" borderId="62" xfId="0" applyFont="1" applyBorder="1" applyAlignment="1">
      <alignment horizontal="right"/>
    </xf>
    <xf numFmtId="172" fontId="0" fillId="2" borderId="6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62" xfId="0" applyFont="1" applyBorder="1" applyAlignment="1">
      <alignment horizontal="center"/>
    </xf>
    <xf numFmtId="0" fontId="2" fillId="0" borderId="86" xfId="0" applyFont="1" applyFill="1" applyBorder="1" applyAlignment="1"/>
    <xf numFmtId="0" fontId="2" fillId="0" borderId="87" xfId="0" applyFont="1" applyFill="1" applyBorder="1" applyAlignment="1"/>
    <xf numFmtId="0" fontId="5" fillId="0" borderId="62" xfId="0" applyFont="1" applyBorder="1" applyAlignment="1">
      <alignment horizontal="right"/>
    </xf>
    <xf numFmtId="1" fontId="4" fillId="0" borderId="62" xfId="0" applyNumberFormat="1" applyFont="1" applyBorder="1" applyAlignment="1">
      <alignment horizontal="center"/>
    </xf>
    <xf numFmtId="165" fontId="4" fillId="0" borderId="62" xfId="0" applyNumberFormat="1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68" fontId="21" fillId="0" borderId="62" xfId="0" applyNumberFormat="1" applyFont="1" applyFill="1" applyBorder="1" applyAlignment="1">
      <alignment horizontal="center"/>
    </xf>
    <xf numFmtId="168" fontId="0" fillId="0" borderId="62" xfId="0" applyNumberFormat="1" applyFont="1" applyFill="1" applyBorder="1" applyAlignment="1">
      <alignment horizontal="center"/>
    </xf>
    <xf numFmtId="0" fontId="7" fillId="0" borderId="62" xfId="0" applyFont="1" applyBorder="1" applyAlignment="1">
      <alignment horizontal="right"/>
    </xf>
    <xf numFmtId="0" fontId="7" fillId="0" borderId="62" xfId="0" applyFont="1" applyBorder="1"/>
    <xf numFmtId="0" fontId="12" fillId="2" borderId="62" xfId="0" applyFont="1" applyFill="1" applyBorder="1" applyAlignment="1">
      <alignment horizontal="center"/>
    </xf>
    <xf numFmtId="0" fontId="7" fillId="0" borderId="62" xfId="0" applyFont="1" applyBorder="1" applyAlignment="1">
      <alignment horizontal="center"/>
    </xf>
    <xf numFmtId="2" fontId="7" fillId="0" borderId="62" xfId="0" applyNumberFormat="1" applyFont="1" applyBorder="1" applyAlignment="1">
      <alignment horizontal="center"/>
    </xf>
    <xf numFmtId="2" fontId="12" fillId="2" borderId="62" xfId="0" applyNumberFormat="1" applyFont="1" applyFill="1" applyBorder="1" applyAlignment="1">
      <alignment horizontal="center"/>
    </xf>
    <xf numFmtId="165" fontId="7" fillId="0" borderId="62" xfId="0" applyNumberFormat="1" applyFont="1" applyBorder="1" applyAlignment="1">
      <alignment horizontal="center"/>
    </xf>
    <xf numFmtId="2" fontId="10" fillId="0" borderId="62" xfId="0" applyNumberFormat="1" applyFont="1" applyBorder="1" applyAlignment="1">
      <alignment horizontal="center"/>
    </xf>
    <xf numFmtId="165" fontId="10" fillId="0" borderId="62" xfId="0" applyNumberFormat="1" applyFont="1" applyBorder="1" applyAlignment="1">
      <alignment horizontal="center"/>
    </xf>
    <xf numFmtId="1" fontId="7" fillId="0" borderId="62" xfId="0" applyNumberFormat="1" applyFont="1" applyBorder="1" applyAlignment="1">
      <alignment horizontal="center"/>
    </xf>
    <xf numFmtId="13" fontId="7" fillId="0" borderId="62" xfId="0" applyNumberFormat="1" applyFont="1" applyBorder="1" applyAlignment="1">
      <alignment horizontal="center"/>
    </xf>
    <xf numFmtId="168" fontId="7" fillId="0" borderId="62" xfId="0" applyNumberFormat="1" applyFont="1" applyBorder="1" applyAlignment="1">
      <alignment horizontal="center"/>
    </xf>
    <xf numFmtId="2" fontId="56" fillId="2" borderId="62" xfId="0" applyNumberFormat="1" applyFont="1" applyFill="1" applyBorder="1" applyAlignment="1">
      <alignment horizontal="center"/>
    </xf>
    <xf numFmtId="0" fontId="0" fillId="32" borderId="62" xfId="0" applyFont="1" applyFill="1" applyBorder="1" applyAlignment="1">
      <alignment horizontal="center"/>
    </xf>
    <xf numFmtId="4" fontId="20" fillId="0" borderId="62" xfId="0" applyNumberFormat="1" applyFont="1" applyBorder="1" applyAlignment="1">
      <alignment horizontal="center"/>
    </xf>
    <xf numFmtId="0" fontId="25" fillId="22" borderId="62" xfId="0" applyFont="1" applyFill="1" applyBorder="1" applyAlignment="1"/>
    <xf numFmtId="3" fontId="25" fillId="0" borderId="57" xfId="0" applyNumberFormat="1" applyFont="1" applyBorder="1" applyAlignment="1">
      <alignment horizontal="center"/>
    </xf>
    <xf numFmtId="167" fontId="25" fillId="0" borderId="62" xfId="0" applyNumberFormat="1" applyFont="1" applyBorder="1" applyAlignment="1">
      <alignment horizontal="center"/>
    </xf>
    <xf numFmtId="0" fontId="0" fillId="0" borderId="89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57" xfId="0" applyFont="1" applyBorder="1" applyAlignment="1">
      <alignment horizontal="center"/>
    </xf>
    <xf numFmtId="3" fontId="36" fillId="14" borderId="62" xfId="0" applyNumberFormat="1" applyFont="1" applyFill="1" applyBorder="1" applyAlignment="1">
      <alignment horizontal="center"/>
    </xf>
    <xf numFmtId="166" fontId="36" fillId="0" borderId="62" xfId="0" applyNumberFormat="1" applyFont="1" applyBorder="1" applyAlignment="1">
      <alignment horizontal="center"/>
    </xf>
    <xf numFmtId="4" fontId="0" fillId="0" borderId="55" xfId="0" applyNumberFormat="1" applyFont="1" applyBorder="1" applyAlignment="1">
      <alignment horizontal="center"/>
    </xf>
    <xf numFmtId="0" fontId="0" fillId="0" borderId="55" xfId="0" applyFont="1" applyBorder="1" applyAlignment="1">
      <alignment horizontal="center"/>
    </xf>
    <xf numFmtId="4" fontId="36" fillId="2" borderId="57" xfId="0" applyNumberFormat="1" applyFont="1" applyFill="1" applyBorder="1" applyAlignment="1">
      <alignment horizontal="center"/>
    </xf>
    <xf numFmtId="4" fontId="20" fillId="0" borderId="57" xfId="0" applyNumberFormat="1" applyFont="1" applyFill="1" applyBorder="1" applyAlignment="1">
      <alignment horizontal="center"/>
    </xf>
    <xf numFmtId="0" fontId="0" fillId="0" borderId="86" xfId="0" applyFont="1" applyBorder="1" applyAlignment="1"/>
    <xf numFmtId="4" fontId="0" fillId="0" borderId="86" xfId="0" applyNumberFormat="1" applyFont="1" applyBorder="1" applyAlignment="1">
      <alignment horizontal="center"/>
    </xf>
    <xf numFmtId="0" fontId="0" fillId="0" borderId="86" xfId="0" applyFont="1" applyBorder="1" applyAlignment="1">
      <alignment horizontal="center"/>
    </xf>
    <xf numFmtId="0" fontId="0" fillId="0" borderId="92" xfId="0" applyFont="1" applyBorder="1"/>
    <xf numFmtId="4" fontId="3" fillId="0" borderId="93" xfId="0" applyNumberFormat="1" applyFont="1" applyFill="1" applyBorder="1" applyAlignment="1">
      <alignment horizontal="center"/>
    </xf>
    <xf numFmtId="9" fontId="36" fillId="2" borderId="62" xfId="0" applyNumberFormat="1" applyFont="1" applyFill="1" applyBorder="1" applyAlignment="1">
      <alignment horizontal="center"/>
    </xf>
    <xf numFmtId="9" fontId="0" fillId="0" borderId="62" xfId="0" applyNumberFormat="1" applyFont="1" applyFill="1" applyBorder="1" applyAlignment="1">
      <alignment horizontal="center"/>
    </xf>
    <xf numFmtId="0" fontId="2" fillId="0" borderId="0" xfId="0" applyFont="1" applyAlignment="1"/>
    <xf numFmtId="169" fontId="0" fillId="0" borderId="85" xfId="0" applyNumberFormat="1" applyFont="1" applyBorder="1" applyAlignment="1">
      <alignment horizontal="center"/>
    </xf>
    <xf numFmtId="3" fontId="20" fillId="0" borderId="62" xfId="0" applyNumberFormat="1" applyFont="1" applyBorder="1" applyAlignment="1">
      <alignment horizontal="center"/>
    </xf>
    <xf numFmtId="4" fontId="2" fillId="0" borderId="62" xfId="0" applyNumberFormat="1" applyFont="1" applyBorder="1" applyAlignment="1">
      <alignment horizontal="center"/>
    </xf>
    <xf numFmtId="3" fontId="29" fillId="0" borderId="62" xfId="0" applyNumberFormat="1" applyFont="1" applyFill="1" applyBorder="1" applyAlignment="1">
      <alignment horizontal="center"/>
    </xf>
    <xf numFmtId="4" fontId="36" fillId="14" borderId="62" xfId="0" applyNumberFormat="1" applyFont="1" applyFill="1" applyBorder="1" applyAlignment="1">
      <alignment horizontal="center"/>
    </xf>
    <xf numFmtId="180" fontId="36" fillId="2" borderId="62" xfId="1" applyNumberFormat="1" applyFont="1" applyFill="1" applyBorder="1" applyAlignment="1">
      <alignment horizontal="center"/>
    </xf>
    <xf numFmtId="4" fontId="2" fillId="0" borderId="62" xfId="0" applyNumberFormat="1" applyFont="1" applyFill="1" applyBorder="1" applyAlignment="1">
      <alignment horizontal="center"/>
    </xf>
    <xf numFmtId="2" fontId="36" fillId="14" borderId="62" xfId="0" applyNumberFormat="1" applyFont="1" applyFill="1" applyBorder="1" applyAlignment="1">
      <alignment horizontal="center"/>
    </xf>
    <xf numFmtId="0" fontId="25" fillId="22" borderId="62" xfId="0" applyFont="1" applyFill="1" applyBorder="1"/>
    <xf numFmtId="168" fontId="7" fillId="14" borderId="4" xfId="0" applyNumberFormat="1" applyFont="1" applyFill="1" applyBorder="1"/>
    <xf numFmtId="0" fontId="0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75" fontId="8" fillId="0" borderId="4" xfId="0" applyNumberFormat="1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4" fontId="3" fillId="0" borderId="62" xfId="0" applyNumberFormat="1" applyFont="1" applyBorder="1" applyAlignment="1">
      <alignment horizontal="center"/>
    </xf>
    <xf numFmtId="1" fontId="11" fillId="0" borderId="27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2" fontId="7" fillId="3" borderId="27" xfId="0" applyNumberFormat="1" applyFont="1" applyFill="1" applyBorder="1" applyAlignment="1">
      <alignment horizontal="center"/>
    </xf>
    <xf numFmtId="2" fontId="7" fillId="10" borderId="27" xfId="0" applyNumberFormat="1" applyFont="1" applyFill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1" fontId="7" fillId="0" borderId="27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68" fontId="7" fillId="0" borderId="27" xfId="0" applyNumberFormat="1" applyFont="1" applyBorder="1" applyAlignment="1">
      <alignment horizontal="center"/>
    </xf>
    <xf numFmtId="168" fontId="7" fillId="0" borderId="29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2" fontId="7" fillId="3" borderId="31" xfId="0" applyNumberFormat="1" applyFont="1" applyFill="1" applyBorder="1" applyAlignment="1">
      <alignment horizontal="center"/>
    </xf>
    <xf numFmtId="2" fontId="7" fillId="10" borderId="4" xfId="0" applyNumberFormat="1" applyFont="1" applyFill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8" fontId="7" fillId="0" borderId="32" xfId="0" applyNumberFormat="1" applyFont="1" applyBorder="1" applyAlignment="1">
      <alignment horizontal="center"/>
    </xf>
    <xf numFmtId="1" fontId="11" fillId="0" borderId="34" xfId="0" applyNumberFormat="1" applyFont="1" applyBorder="1" applyAlignment="1">
      <alignment horizontal="center"/>
    </xf>
    <xf numFmtId="2" fontId="11" fillId="0" borderId="34" xfId="0" applyNumberFormat="1" applyFont="1" applyBorder="1" applyAlignment="1">
      <alignment horizontal="center"/>
    </xf>
    <xf numFmtId="2" fontId="7" fillId="0" borderId="34" xfId="0" applyNumberFormat="1" applyFont="1" applyBorder="1" applyAlignment="1">
      <alignment horizontal="center"/>
    </xf>
    <xf numFmtId="2" fontId="7" fillId="10" borderId="34" xfId="0" applyNumberFormat="1" applyFont="1" applyFill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68" fontId="7" fillId="0" borderId="34" xfId="0" applyNumberFormat="1" applyFont="1" applyBorder="1" applyAlignment="1">
      <alignment horizontal="center"/>
    </xf>
    <xf numFmtId="168" fontId="7" fillId="0" borderId="35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2" fontId="11" fillId="0" borderId="37" xfId="0" applyNumberFormat="1" applyFont="1" applyBorder="1" applyAlignment="1">
      <alignment horizontal="center"/>
    </xf>
    <xf numFmtId="2" fontId="7" fillId="0" borderId="38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2" fontId="11" fillId="0" borderId="39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2" fontId="7" fillId="10" borderId="31" xfId="0" applyNumberFormat="1" applyFont="1" applyFill="1" applyBorder="1" applyAlignment="1">
      <alignment horizontal="center"/>
    </xf>
    <xf numFmtId="1" fontId="26" fillId="0" borderId="4" xfId="0" applyNumberFormat="1" applyFont="1" applyBorder="1" applyAlignment="1">
      <alignment horizontal="center"/>
    </xf>
    <xf numFmtId="1" fontId="11" fillId="0" borderId="41" xfId="0" applyNumberFormat="1" applyFont="1" applyBorder="1" applyAlignment="1">
      <alignment horizontal="center"/>
    </xf>
    <xf numFmtId="2" fontId="11" fillId="0" borderId="42" xfId="0" applyNumberFormat="1" applyFont="1" applyBorder="1" applyAlignment="1">
      <alignment horizontal="center"/>
    </xf>
    <xf numFmtId="2" fontId="7" fillId="0" borderId="43" xfId="0" applyNumberFormat="1" applyFont="1" applyBorder="1" applyAlignment="1">
      <alignment horizontal="center"/>
    </xf>
    <xf numFmtId="177" fontId="0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0" fillId="32" borderId="0" xfId="0" applyFont="1" applyFill="1" applyAlignment="1">
      <alignment horizontal="center"/>
    </xf>
    <xf numFmtId="0" fontId="2" fillId="32" borderId="0" xfId="0" applyFont="1" applyFill="1" applyAlignment="1">
      <alignment horizontal="center"/>
    </xf>
    <xf numFmtId="2" fontId="36" fillId="2" borderId="4" xfId="0" applyNumberFormat="1" applyFont="1" applyFill="1" applyBorder="1"/>
    <xf numFmtId="1" fontId="36" fillId="2" borderId="4" xfId="0" applyNumberFormat="1" applyFont="1" applyFill="1" applyBorder="1"/>
    <xf numFmtId="2" fontId="24" fillId="0" borderId="0" xfId="0" applyNumberFormat="1" applyFont="1"/>
    <xf numFmtId="0" fontId="26" fillId="0" borderId="74" xfId="4" applyBorder="1"/>
    <xf numFmtId="2" fontId="26" fillId="0" borderId="57" xfId="4" applyNumberFormat="1" applyBorder="1" applyAlignment="1">
      <alignment horizontal="center"/>
    </xf>
    <xf numFmtId="0" fontId="39" fillId="22" borderId="62" xfId="4" applyFont="1" applyFill="1" applyBorder="1" applyAlignment="1">
      <alignment horizontal="center"/>
    </xf>
    <xf numFmtId="0" fontId="26" fillId="0" borderId="79" xfId="4" applyBorder="1" applyAlignment="1">
      <alignment horizontal="center"/>
    </xf>
    <xf numFmtId="0" fontId="26" fillId="0" borderId="63" xfId="4" applyBorder="1" applyAlignment="1">
      <alignment horizontal="center"/>
    </xf>
    <xf numFmtId="0" fontId="26" fillId="23" borderId="62" xfId="4" applyFill="1" applyBorder="1" applyAlignment="1">
      <alignment horizontal="center"/>
    </xf>
    <xf numFmtId="0" fontId="26" fillId="32" borderId="62" xfId="4" applyFill="1" applyBorder="1" applyAlignment="1">
      <alignment horizontal="center"/>
    </xf>
    <xf numFmtId="0" fontId="44" fillId="0" borderId="62" xfId="4" applyFont="1" applyFill="1" applyBorder="1" applyAlignment="1">
      <alignment horizontal="center"/>
    </xf>
    <xf numFmtId="168" fontId="26" fillId="0" borderId="62" xfId="4" applyNumberFormat="1" applyFill="1" applyBorder="1" applyAlignment="1">
      <alignment horizontal="center"/>
    </xf>
    <xf numFmtId="0" fontId="56" fillId="14" borderId="62" xfId="4" applyFont="1" applyFill="1" applyBorder="1" applyAlignment="1">
      <alignment horizontal="center"/>
    </xf>
    <xf numFmtId="0" fontId="71" fillId="14" borderId="62" xfId="4" applyFont="1" applyFill="1" applyBorder="1" applyAlignment="1">
      <alignment horizontal="center"/>
    </xf>
    <xf numFmtId="0" fontId="42" fillId="0" borderId="62" xfId="4" applyFont="1" applyBorder="1" applyAlignment="1">
      <alignment horizontal="center"/>
    </xf>
    <xf numFmtId="0" fontId="71" fillId="0" borderId="62" xfId="4" applyFont="1" applyBorder="1" applyAlignment="1">
      <alignment horizontal="center"/>
    </xf>
    <xf numFmtId="0" fontId="56" fillId="0" borderId="62" xfId="4" applyFont="1" applyBorder="1" applyAlignment="1">
      <alignment horizontal="center"/>
    </xf>
    <xf numFmtId="2" fontId="71" fillId="14" borderId="62" xfId="4" applyNumberFormat="1" applyFont="1" applyFill="1" applyBorder="1" applyAlignment="1">
      <alignment horizontal="center"/>
    </xf>
    <xf numFmtId="2" fontId="71" fillId="0" borderId="62" xfId="4" applyNumberFormat="1" applyFont="1" applyBorder="1" applyAlignment="1">
      <alignment horizontal="center"/>
    </xf>
    <xf numFmtId="182" fontId="56" fillId="14" borderId="62" xfId="4" applyNumberFormat="1" applyFont="1" applyFill="1" applyBorder="1" applyAlignment="1">
      <alignment horizontal="center"/>
    </xf>
    <xf numFmtId="182" fontId="26" fillId="34" borderId="62" xfId="4" applyNumberFormat="1" applyFill="1" applyBorder="1" applyAlignment="1">
      <alignment horizontal="center"/>
    </xf>
    <xf numFmtId="0" fontId="26" fillId="34" borderId="62" xfId="4" applyFill="1" applyBorder="1" applyAlignment="1">
      <alignment horizontal="center"/>
    </xf>
    <xf numFmtId="182" fontId="26" fillId="32" borderId="62" xfId="4" applyNumberFormat="1" applyFill="1" applyBorder="1" applyAlignment="1">
      <alignment horizontal="center"/>
    </xf>
    <xf numFmtId="0" fontId="50" fillId="22" borderId="70" xfId="13" applyFont="1" applyFill="1" applyBorder="1" applyAlignment="1">
      <alignment horizontal="center"/>
    </xf>
    <xf numFmtId="0" fontId="50" fillId="22" borderId="56" xfId="13" applyFont="1" applyFill="1" applyBorder="1" applyAlignment="1">
      <alignment horizontal="center"/>
    </xf>
    <xf numFmtId="0" fontId="50" fillId="22" borderId="71" xfId="13" applyFont="1" applyFill="1" applyBorder="1" applyAlignment="1">
      <alignment horizontal="center"/>
    </xf>
    <xf numFmtId="0" fontId="26" fillId="0" borderId="62" xfId="4" applyBorder="1" applyAlignment="1">
      <alignment horizontal="right"/>
    </xf>
    <xf numFmtId="0" fontId="26" fillId="0" borderId="62" xfId="4" applyBorder="1"/>
    <xf numFmtId="168" fontId="26" fillId="0" borderId="56" xfId="4" applyNumberFormat="1" applyBorder="1" applyAlignment="1">
      <alignment horizontal="center"/>
    </xf>
    <xf numFmtId="168" fontId="71" fillId="14" borderId="62" xfId="4" applyNumberFormat="1" applyFont="1" applyFill="1" applyBorder="1" applyAlignment="1">
      <alignment horizontal="center"/>
    </xf>
    <xf numFmtId="0" fontId="26" fillId="0" borderId="1" xfId="4" applyBorder="1"/>
    <xf numFmtId="165" fontId="71" fillId="14" borderId="62" xfId="4" applyNumberFormat="1" applyFont="1" applyFill="1" applyBorder="1" applyAlignment="1">
      <alignment horizontal="center"/>
    </xf>
    <xf numFmtId="2" fontId="26" fillId="19" borderId="62" xfId="4" applyNumberFormat="1" applyFill="1" applyBorder="1" applyAlignment="1">
      <alignment horizontal="center"/>
    </xf>
    <xf numFmtId="0" fontId="26" fillId="0" borderId="62" xfId="4" applyFont="1" applyBorder="1" applyAlignment="1">
      <alignment horizontal="center"/>
    </xf>
    <xf numFmtId="2" fontId="56" fillId="14" borderId="62" xfId="4" applyNumberFormat="1" applyFont="1" applyFill="1" applyBorder="1" applyAlignment="1">
      <alignment horizontal="center"/>
    </xf>
    <xf numFmtId="0" fontId="42" fillId="23" borderId="62" xfId="4" applyFont="1" applyFill="1" applyBorder="1"/>
    <xf numFmtId="0" fontId="26" fillId="23" borderId="62" xfId="4" applyFill="1" applyBorder="1"/>
    <xf numFmtId="2" fontId="26" fillId="0" borderId="56" xfId="4" applyNumberFormat="1" applyBorder="1" applyAlignment="1">
      <alignment horizontal="center"/>
    </xf>
    <xf numFmtId="2" fontId="26" fillId="0" borderId="71" xfId="4" applyNumberFormat="1" applyBorder="1" applyAlignment="1">
      <alignment horizontal="center"/>
    </xf>
    <xf numFmtId="0" fontId="26" fillId="0" borderId="75" xfId="4" applyBorder="1" applyAlignment="1">
      <alignment horizontal="center"/>
    </xf>
    <xf numFmtId="0" fontId="26" fillId="0" borderId="68" xfId="4" applyBorder="1" applyAlignment="1">
      <alignment horizontal="center"/>
    </xf>
    <xf numFmtId="0" fontId="26" fillId="0" borderId="69" xfId="4" applyBorder="1" applyAlignment="1">
      <alignment horizontal="center"/>
    </xf>
    <xf numFmtId="2" fontId="26" fillId="0" borderId="62" xfId="4" applyNumberFormat="1" applyFill="1" applyBorder="1" applyAlignment="1">
      <alignment horizontal="center"/>
    </xf>
    <xf numFmtId="2" fontId="26" fillId="32" borderId="62" xfId="4" applyNumberFormat="1" applyFill="1" applyBorder="1" applyAlignment="1">
      <alignment horizontal="center"/>
    </xf>
    <xf numFmtId="0" fontId="0" fillId="0" borderId="62" xfId="6" applyFont="1" applyBorder="1" applyAlignment="1"/>
    <xf numFmtId="0" fontId="26" fillId="0" borderId="1" xfId="4" applyBorder="1" applyAlignment="1">
      <alignment horizontal="center"/>
    </xf>
    <xf numFmtId="9" fontId="26" fillId="0" borderId="62" xfId="14" applyFont="1" applyBorder="1" applyAlignment="1">
      <alignment horizontal="center"/>
    </xf>
    <xf numFmtId="0" fontId="26" fillId="0" borderId="55" xfId="4" applyBorder="1"/>
    <xf numFmtId="0" fontId="42" fillId="23" borderId="70" xfId="9" applyFont="1" applyFill="1" applyBorder="1" applyAlignment="1">
      <alignment horizontal="center"/>
    </xf>
    <xf numFmtId="2" fontId="42" fillId="23" borderId="56" xfId="9" applyNumberFormat="1" applyFont="1" applyFill="1" applyBorder="1" applyAlignment="1">
      <alignment horizontal="center"/>
    </xf>
    <xf numFmtId="0" fontId="42" fillId="23" borderId="71" xfId="9" applyFont="1" applyFill="1" applyBorder="1" applyAlignment="1">
      <alignment horizontal="center"/>
    </xf>
    <xf numFmtId="0" fontId="26" fillId="0" borderId="62" xfId="10" applyBorder="1" applyAlignment="1">
      <alignment horizontal="right"/>
    </xf>
    <xf numFmtId="0" fontId="26" fillId="0" borderId="62" xfId="9" applyFont="1" applyBorder="1" applyAlignment="1">
      <alignment horizontal="right"/>
    </xf>
    <xf numFmtId="0" fontId="55" fillId="0" borderId="62" xfId="9" applyFont="1" applyBorder="1" applyAlignment="1">
      <alignment horizontal="center"/>
    </xf>
    <xf numFmtId="0" fontId="26" fillId="0" borderId="62" xfId="0" applyFont="1" applyBorder="1" applyAlignment="1">
      <alignment horizontal="right"/>
    </xf>
    <xf numFmtId="2" fontId="26" fillId="0" borderId="62" xfId="9" applyNumberFormat="1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0" fontId="42" fillId="0" borderId="1" xfId="10" applyFont="1"/>
    <xf numFmtId="0" fontId="26" fillId="0" borderId="62" xfId="0" applyFont="1" applyBorder="1" applyAlignment="1">
      <alignment horizontal="center"/>
    </xf>
    <xf numFmtId="3" fontId="26" fillId="20" borderId="62" xfId="10" applyNumberFormat="1" applyFill="1" applyBorder="1" applyAlignment="1">
      <alignment horizontal="center"/>
    </xf>
    <xf numFmtId="0" fontId="26" fillId="0" borderId="62" xfId="10" applyBorder="1" applyAlignment="1">
      <alignment horizontal="center"/>
    </xf>
    <xf numFmtId="3" fontId="26" fillId="0" borderId="62" xfId="10" applyNumberFormat="1" applyBorder="1" applyAlignment="1">
      <alignment horizontal="center"/>
    </xf>
    <xf numFmtId="1" fontId="26" fillId="20" borderId="62" xfId="10" applyNumberFormat="1" applyFill="1" applyBorder="1" applyAlignment="1">
      <alignment horizontal="center"/>
    </xf>
    <xf numFmtId="2" fontId="26" fillId="0" borderId="62" xfId="10" applyNumberFormat="1" applyBorder="1" applyAlignment="1">
      <alignment horizontal="center"/>
    </xf>
    <xf numFmtId="0" fontId="26" fillId="20" borderId="62" xfId="10" applyFill="1" applyBorder="1" applyAlignment="1">
      <alignment horizontal="center"/>
    </xf>
    <xf numFmtId="2" fontId="56" fillId="14" borderId="62" xfId="10" applyNumberFormat="1" applyFont="1" applyFill="1" applyBorder="1" applyAlignment="1">
      <alignment horizontal="center"/>
    </xf>
    <xf numFmtId="2" fontId="26" fillId="0" borderId="62" xfId="10" applyNumberFormat="1" applyBorder="1" applyAlignment="1">
      <alignment horizontal="center" vertical="center"/>
    </xf>
    <xf numFmtId="168" fontId="26" fillId="0" borderId="62" xfId="10" applyNumberFormat="1" applyBorder="1" applyAlignment="1">
      <alignment horizontal="center"/>
    </xf>
    <xf numFmtId="2" fontId="26" fillId="20" borderId="62" xfId="10" applyNumberFormat="1" applyFill="1" applyBorder="1" applyAlignment="1">
      <alignment horizontal="center"/>
    </xf>
    <xf numFmtId="2" fontId="71" fillId="14" borderId="62" xfId="10" applyNumberFormat="1" applyFont="1" applyFill="1" applyBorder="1" applyAlignment="1">
      <alignment horizontal="center"/>
    </xf>
    <xf numFmtId="2" fontId="71" fillId="14" borderId="62" xfId="9" applyNumberFormat="1" applyFont="1" applyFill="1" applyBorder="1" applyAlignment="1">
      <alignment horizontal="center"/>
    </xf>
    <xf numFmtId="168" fontId="71" fillId="14" borderId="62" xfId="9" applyNumberFormat="1" applyFont="1" applyFill="1" applyBorder="1" applyAlignment="1">
      <alignment horizontal="center"/>
    </xf>
    <xf numFmtId="2" fontId="44" fillId="0" borderId="62" xfId="9" applyNumberFormat="1" applyFont="1" applyBorder="1" applyAlignment="1">
      <alignment horizontal="center"/>
    </xf>
    <xf numFmtId="2" fontId="26" fillId="20" borderId="62" xfId="9" applyNumberFormat="1" applyFont="1" applyFill="1" applyBorder="1" applyAlignment="1">
      <alignment horizontal="center"/>
    </xf>
    <xf numFmtId="2" fontId="26" fillId="0" borderId="56" xfId="9" applyNumberFormat="1" applyFont="1" applyBorder="1" applyAlignment="1">
      <alignment horizontal="center"/>
    </xf>
    <xf numFmtId="0" fontId="26" fillId="0" borderId="71" xfId="9" applyFont="1" applyBorder="1" applyAlignment="1">
      <alignment horizontal="center"/>
    </xf>
    <xf numFmtId="1" fontId="56" fillId="14" borderId="62" xfId="9" applyNumberFormat="1" applyFont="1" applyFill="1" applyBorder="1" applyAlignment="1">
      <alignment horizontal="center"/>
    </xf>
    <xf numFmtId="184" fontId="26" fillId="0" borderId="62" xfId="9" applyNumberFormat="1" applyFont="1" applyBorder="1" applyAlignment="1">
      <alignment horizontal="center"/>
    </xf>
    <xf numFmtId="0" fontId="56" fillId="14" borderId="62" xfId="0" applyFont="1" applyFill="1" applyBorder="1" applyAlignment="1">
      <alignment horizontal="center"/>
    </xf>
    <xf numFmtId="2" fontId="26" fillId="0" borderId="62" xfId="0" applyNumberFormat="1" applyFont="1" applyBorder="1" applyAlignment="1">
      <alignment horizontal="center"/>
    </xf>
    <xf numFmtId="2" fontId="56" fillId="14" borderId="62" xfId="0" applyNumberFormat="1" applyFont="1" applyFill="1" applyBorder="1" applyAlignment="1">
      <alignment horizontal="center"/>
    </xf>
    <xf numFmtId="165" fontId="26" fillId="0" borderId="62" xfId="0" applyNumberFormat="1" applyFont="1" applyBorder="1" applyAlignment="1">
      <alignment horizontal="center"/>
    </xf>
    <xf numFmtId="165" fontId="26" fillId="20" borderId="62" xfId="9" applyNumberFormat="1" applyFont="1" applyFill="1" applyBorder="1" applyAlignment="1">
      <alignment horizontal="center"/>
    </xf>
    <xf numFmtId="0" fontId="56" fillId="0" borderId="62" xfId="0" applyFont="1" applyBorder="1" applyAlignment="1">
      <alignment horizontal="center"/>
    </xf>
    <xf numFmtId="1" fontId="26" fillId="0" borderId="62" xfId="0" applyNumberFormat="1" applyFont="1" applyBorder="1" applyAlignment="1">
      <alignment horizontal="center"/>
    </xf>
    <xf numFmtId="13" fontId="26" fillId="0" borderId="62" xfId="0" applyNumberFormat="1" applyFont="1" applyBorder="1" applyAlignment="1">
      <alignment horizontal="center"/>
    </xf>
    <xf numFmtId="165" fontId="56" fillId="14" borderId="62" xfId="0" applyNumberFormat="1" applyFont="1" applyFill="1" applyBorder="1" applyAlignment="1">
      <alignment horizontal="center"/>
    </xf>
    <xf numFmtId="3" fontId="58" fillId="14" borderId="62" xfId="0" applyNumberFormat="1" applyFont="1" applyFill="1" applyBorder="1" applyAlignment="1">
      <alignment horizontal="center"/>
    </xf>
    <xf numFmtId="4" fontId="36" fillId="2" borderId="85" xfId="0" applyNumberFormat="1" applyFont="1" applyFill="1" applyBorder="1" applyAlignment="1">
      <alignment horizontal="center"/>
    </xf>
    <xf numFmtId="0" fontId="0" fillId="35" borderId="4" xfId="0" applyFont="1" applyFill="1" applyBorder="1" applyAlignment="1">
      <alignment horizontal="center"/>
    </xf>
    <xf numFmtId="168" fontId="0" fillId="35" borderId="2" xfId="0" applyNumberFormat="1" applyFont="1" applyFill="1" applyBorder="1" applyAlignment="1">
      <alignment horizontal="center"/>
    </xf>
    <xf numFmtId="2" fontId="0" fillId="35" borderId="4" xfId="0" applyNumberFormat="1" applyFont="1" applyFill="1" applyBorder="1"/>
    <xf numFmtId="2" fontId="0" fillId="36" borderId="1" xfId="0" applyNumberFormat="1" applyFont="1" applyFill="1" applyBorder="1"/>
    <xf numFmtId="0" fontId="4" fillId="0" borderId="0" xfId="0" applyFont="1" applyFill="1" applyAlignment="1"/>
    <xf numFmtId="0" fontId="9" fillId="0" borderId="0" xfId="0" applyFont="1" applyAlignment="1">
      <alignment horizontal="left"/>
    </xf>
    <xf numFmtId="0" fontId="24" fillId="0" borderId="85" xfId="0" applyFont="1" applyBorder="1" applyAlignment="1">
      <alignment horizontal="center"/>
    </xf>
    <xf numFmtId="0" fontId="24" fillId="0" borderId="86" xfId="0" applyFont="1" applyBorder="1" applyAlignment="1">
      <alignment horizontal="center"/>
    </xf>
    <xf numFmtId="0" fontId="24" fillId="0" borderId="87" xfId="0" applyFont="1" applyBorder="1" applyAlignment="1">
      <alignment horizontal="center"/>
    </xf>
    <xf numFmtId="0" fontId="20" fillId="23" borderId="62" xfId="0" applyFont="1" applyFill="1" applyBorder="1" applyAlignment="1">
      <alignment horizontal="center"/>
    </xf>
    <xf numFmtId="0" fontId="2" fillId="22" borderId="62" xfId="0" applyFont="1" applyFill="1" applyBorder="1" applyAlignment="1">
      <alignment horizontal="center" vertical="top" wrapText="1"/>
    </xf>
    <xf numFmtId="0" fontId="62" fillId="21" borderId="49" xfId="0" applyFont="1" applyFill="1" applyBorder="1" applyAlignment="1">
      <alignment horizontal="center"/>
    </xf>
    <xf numFmtId="0" fontId="62" fillId="21" borderId="52" xfId="0" applyFont="1" applyFill="1" applyBorder="1" applyAlignment="1">
      <alignment horizontal="center"/>
    </xf>
    <xf numFmtId="0" fontId="62" fillId="21" borderId="50" xfId="0" applyFont="1" applyFill="1" applyBorder="1" applyAlignment="1">
      <alignment horizontal="center"/>
    </xf>
    <xf numFmtId="0" fontId="0" fillId="22" borderId="62" xfId="0" applyFont="1" applyFill="1" applyBorder="1" applyAlignment="1">
      <alignment horizontal="center"/>
    </xf>
    <xf numFmtId="0" fontId="0" fillId="0" borderId="88" xfId="0" applyFont="1" applyBorder="1" applyAlignment="1">
      <alignment horizontal="center"/>
    </xf>
    <xf numFmtId="0" fontId="0" fillId="0" borderId="71" xfId="0" applyFont="1" applyBorder="1" applyAlignment="1">
      <alignment horizontal="center"/>
    </xf>
    <xf numFmtId="0" fontId="0" fillId="23" borderId="62" xfId="0" applyFont="1" applyFill="1" applyBorder="1" applyAlignment="1">
      <alignment horizontal="center"/>
    </xf>
    <xf numFmtId="0" fontId="2" fillId="22" borderId="62" xfId="0" applyFont="1" applyFill="1" applyBorder="1" applyAlignment="1">
      <alignment horizontal="center"/>
    </xf>
    <xf numFmtId="0" fontId="5" fillId="26" borderId="62" xfId="0" applyFont="1" applyFill="1" applyBorder="1" applyAlignment="1">
      <alignment horizontal="center"/>
    </xf>
    <xf numFmtId="0" fontId="5" fillId="27" borderId="62" xfId="0" applyFont="1" applyFill="1" applyBorder="1" applyAlignment="1">
      <alignment horizontal="center"/>
    </xf>
    <xf numFmtId="0" fontId="20" fillId="0" borderId="88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" fillId="22" borderId="89" xfId="0" applyFont="1" applyFill="1" applyBorder="1" applyAlignment="1">
      <alignment horizontal="center"/>
    </xf>
    <xf numFmtId="0" fontId="2" fillId="22" borderId="48" xfId="0" applyFont="1" applyFill="1" applyBorder="1" applyAlignment="1">
      <alignment horizontal="center"/>
    </xf>
    <xf numFmtId="0" fontId="2" fillId="22" borderId="82" xfId="0" applyFont="1" applyFill="1" applyBorder="1" applyAlignment="1">
      <alignment horizontal="center"/>
    </xf>
    <xf numFmtId="0" fontId="0" fillId="23" borderId="85" xfId="0" applyFont="1" applyFill="1" applyBorder="1" applyAlignment="1">
      <alignment horizontal="center"/>
    </xf>
    <xf numFmtId="0" fontId="0" fillId="23" borderId="86" xfId="0" applyFont="1" applyFill="1" applyBorder="1" applyAlignment="1">
      <alignment horizontal="center"/>
    </xf>
    <xf numFmtId="0" fontId="0" fillId="23" borderId="87" xfId="0" applyFont="1" applyFill="1" applyBorder="1" applyAlignment="1">
      <alignment horizontal="center"/>
    </xf>
    <xf numFmtId="0" fontId="24" fillId="22" borderId="62" xfId="0" applyFont="1" applyFill="1" applyBorder="1" applyAlignment="1">
      <alignment horizontal="center"/>
    </xf>
    <xf numFmtId="0" fontId="33" fillId="0" borderId="54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24" fillId="0" borderId="62" xfId="0" applyFont="1" applyBorder="1" applyAlignment="1">
      <alignment horizontal="left" wrapText="1"/>
    </xf>
    <xf numFmtId="0" fontId="0" fillId="0" borderId="62" xfId="0" applyBorder="1" applyAlignment="1">
      <alignment horizontal="left" wrapText="1"/>
    </xf>
    <xf numFmtId="0" fontId="25" fillId="23" borderId="49" xfId="0" applyFont="1" applyFill="1" applyBorder="1" applyAlignment="1">
      <alignment horizontal="center"/>
    </xf>
    <xf numFmtId="0" fontId="25" fillId="23" borderId="52" xfId="0" applyFont="1" applyFill="1" applyBorder="1" applyAlignment="1">
      <alignment horizontal="center"/>
    </xf>
    <xf numFmtId="0" fontId="25" fillId="23" borderId="50" xfId="0" applyFont="1" applyFill="1" applyBorder="1" applyAlignment="1">
      <alignment horizontal="center"/>
    </xf>
    <xf numFmtId="0" fontId="60" fillId="23" borderId="0" xfId="0" applyFont="1" applyFill="1" applyAlignment="1">
      <alignment horizontal="center"/>
    </xf>
    <xf numFmtId="0" fontId="33" fillId="0" borderId="49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left" wrapText="1"/>
    </xf>
    <xf numFmtId="0" fontId="0" fillId="0" borderId="62" xfId="0" applyFont="1" applyBorder="1" applyAlignment="1"/>
    <xf numFmtId="0" fontId="31" fillId="0" borderId="1" xfId="0" applyFont="1" applyBorder="1" applyAlignment="1">
      <alignment horizontal="center" vertical="center" wrapText="1"/>
    </xf>
    <xf numFmtId="0" fontId="32" fillId="23" borderId="49" xfId="0" applyFont="1" applyFill="1" applyBorder="1" applyAlignment="1">
      <alignment horizontal="center" vertical="center" wrapText="1"/>
    </xf>
    <xf numFmtId="0" fontId="32" fillId="23" borderId="52" xfId="0" applyFont="1" applyFill="1" applyBorder="1" applyAlignment="1">
      <alignment horizontal="center" vertical="center" wrapText="1"/>
    </xf>
    <xf numFmtId="0" fontId="32" fillId="23" borderId="50" xfId="0" applyFont="1" applyFill="1" applyBorder="1" applyAlignment="1">
      <alignment horizontal="center" vertical="center" wrapText="1"/>
    </xf>
    <xf numFmtId="0" fontId="32" fillId="23" borderId="49" xfId="0" applyFont="1" applyFill="1" applyBorder="1" applyAlignment="1">
      <alignment horizontal="center" vertical="center"/>
    </xf>
    <xf numFmtId="0" fontId="32" fillId="23" borderId="52" xfId="0" applyFont="1" applyFill="1" applyBorder="1" applyAlignment="1">
      <alignment horizontal="center" vertical="center"/>
    </xf>
    <xf numFmtId="0" fontId="32" fillId="23" borderId="50" xfId="0" applyFont="1" applyFill="1" applyBorder="1" applyAlignment="1">
      <alignment horizontal="center" vertical="center"/>
    </xf>
    <xf numFmtId="0" fontId="10" fillId="22" borderId="62" xfId="0" applyFont="1" applyFill="1" applyBorder="1" applyAlignment="1">
      <alignment horizontal="center"/>
    </xf>
    <xf numFmtId="0" fontId="37" fillId="0" borderId="88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0" fillId="0" borderId="85" xfId="0" applyFont="1" applyBorder="1" applyAlignment="1">
      <alignment horizontal="center" wrapText="1"/>
    </xf>
    <xf numFmtId="0" fontId="0" fillId="0" borderId="86" xfId="0" applyFont="1" applyBorder="1" applyAlignment="1">
      <alignment horizontal="center" wrapText="1"/>
    </xf>
    <xf numFmtId="0" fontId="0" fillId="0" borderId="87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22" borderId="85" xfId="0" applyFont="1" applyFill="1" applyBorder="1" applyAlignment="1">
      <alignment horizontal="center"/>
    </xf>
    <xf numFmtId="0" fontId="2" fillId="22" borderId="86" xfId="0" applyFont="1" applyFill="1" applyBorder="1" applyAlignment="1">
      <alignment horizontal="center"/>
    </xf>
    <xf numFmtId="0" fontId="2" fillId="22" borderId="87" xfId="0" applyFont="1" applyFill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20" fillId="0" borderId="86" xfId="0" applyFont="1" applyBorder="1" applyAlignment="1">
      <alignment horizontal="center"/>
    </xf>
    <xf numFmtId="0" fontId="20" fillId="0" borderId="87" xfId="0" applyFont="1" applyBorder="1" applyAlignment="1">
      <alignment horizontal="center"/>
    </xf>
    <xf numFmtId="0" fontId="37" fillId="22" borderId="62" xfId="0" applyFont="1" applyFill="1" applyBorder="1" applyAlignment="1">
      <alignment horizontal="center"/>
    </xf>
    <xf numFmtId="0" fontId="20" fillId="23" borderId="85" xfId="0" applyFont="1" applyFill="1" applyBorder="1" applyAlignment="1">
      <alignment horizontal="center"/>
    </xf>
    <xf numFmtId="0" fontId="20" fillId="23" borderId="86" xfId="0" applyFont="1" applyFill="1" applyBorder="1" applyAlignment="1">
      <alignment horizontal="center"/>
    </xf>
    <xf numFmtId="0" fontId="20" fillId="23" borderId="87" xfId="0" applyFont="1" applyFill="1" applyBorder="1" applyAlignment="1">
      <alignment horizontal="center"/>
    </xf>
    <xf numFmtId="0" fontId="66" fillId="0" borderId="85" xfId="0" applyFont="1" applyBorder="1" applyAlignment="1">
      <alignment horizontal="center"/>
    </xf>
    <xf numFmtId="0" fontId="66" fillId="0" borderId="8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5" fillId="0" borderId="3" xfId="0" applyFont="1" applyBorder="1"/>
    <xf numFmtId="0" fontId="25" fillId="22" borderId="62" xfId="0" applyFont="1" applyFill="1" applyBorder="1" applyAlignment="1">
      <alignment horizontal="center"/>
    </xf>
    <xf numFmtId="0" fontId="65" fillId="30" borderId="88" xfId="0" applyFont="1" applyFill="1" applyBorder="1" applyAlignment="1">
      <alignment horizontal="center"/>
    </xf>
    <xf numFmtId="0" fontId="65" fillId="30" borderId="1" xfId="0" applyFont="1" applyFill="1" applyBorder="1" applyAlignment="1">
      <alignment horizontal="center"/>
    </xf>
    <xf numFmtId="0" fontId="67" fillId="0" borderId="85" xfId="0" applyFont="1" applyBorder="1" applyAlignment="1">
      <alignment horizontal="center"/>
    </xf>
    <xf numFmtId="0" fontId="67" fillId="0" borderId="86" xfId="0" applyFont="1" applyBorder="1" applyAlignment="1">
      <alignment horizontal="center"/>
    </xf>
    <xf numFmtId="0" fontId="67" fillId="0" borderId="87" xfId="0" applyFont="1" applyBorder="1" applyAlignment="1">
      <alignment horizontal="center"/>
    </xf>
    <xf numFmtId="0" fontId="62" fillId="21" borderId="67" xfId="0" applyFont="1" applyFill="1" applyBorder="1" applyAlignment="1">
      <alignment horizontal="center"/>
    </xf>
    <xf numFmtId="0" fontId="62" fillId="21" borderId="68" xfId="0" applyFont="1" applyFill="1" applyBorder="1" applyAlignment="1">
      <alignment horizontal="center"/>
    </xf>
    <xf numFmtId="0" fontId="69" fillId="0" borderId="62" xfId="0" applyFont="1" applyBorder="1" applyAlignment="1">
      <alignment horizontal="center"/>
    </xf>
    <xf numFmtId="0" fontId="0" fillId="0" borderId="86" xfId="0" applyFont="1" applyBorder="1" applyAlignment="1">
      <alignment horizontal="center"/>
    </xf>
    <xf numFmtId="0" fontId="0" fillId="0" borderId="87" xfId="0" applyFont="1" applyBorder="1" applyAlignment="1">
      <alignment horizontal="center"/>
    </xf>
    <xf numFmtId="0" fontId="2" fillId="30" borderId="95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6" xfId="0" applyFont="1" applyBorder="1"/>
    <xf numFmtId="0" fontId="7" fillId="0" borderId="15" xfId="0" applyFont="1" applyBorder="1" applyAlignment="1">
      <alignment horizontal="center" vertical="center" wrapText="1"/>
    </xf>
    <xf numFmtId="0" fontId="42" fillId="33" borderId="2" xfId="0" applyFont="1" applyFill="1" applyBorder="1" applyAlignment="1">
      <alignment horizontal="center" vertical="center"/>
    </xf>
    <xf numFmtId="0" fontId="5" fillId="22" borderId="8" xfId="0" applyFont="1" applyFill="1" applyBorder="1"/>
    <xf numFmtId="0" fontId="5" fillId="22" borderId="3" xfId="0" applyFont="1" applyFill="1" applyBorder="1"/>
    <xf numFmtId="0" fontId="5" fillId="0" borderId="18" xfId="0" applyFont="1" applyBorder="1"/>
    <xf numFmtId="0" fontId="7" fillId="0" borderId="28" xfId="0" applyFont="1" applyBorder="1" applyAlignment="1">
      <alignment horizontal="center" vertical="center"/>
    </xf>
    <xf numFmtId="0" fontId="5" fillId="0" borderId="5" xfId="0" applyFont="1" applyBorder="1"/>
    <xf numFmtId="0" fontId="5" fillId="0" borderId="13" xfId="0" applyFont="1" applyBorder="1"/>
    <xf numFmtId="0" fontId="10" fillId="0" borderId="15" xfId="0" applyFont="1" applyBorder="1" applyAlignment="1">
      <alignment horizontal="center" vertical="center" wrapText="1"/>
    </xf>
    <xf numFmtId="168" fontId="7" fillId="0" borderId="15" xfId="0" applyNumberFormat="1" applyFont="1" applyBorder="1" applyAlignment="1">
      <alignment horizontal="center" vertical="center"/>
    </xf>
    <xf numFmtId="172" fontId="10" fillId="0" borderId="15" xfId="0" applyNumberFormat="1" applyFont="1" applyBorder="1" applyAlignment="1">
      <alignment horizontal="center" vertical="center" wrapText="1"/>
    </xf>
    <xf numFmtId="0" fontId="62" fillId="21" borderId="93" xfId="0" applyFont="1" applyFill="1" applyBorder="1" applyAlignment="1">
      <alignment horizontal="center"/>
    </xf>
    <xf numFmtId="0" fontId="63" fillId="21" borderId="93" xfId="0" applyFont="1" applyFill="1" applyBorder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5" fillId="22" borderId="11" xfId="0" applyFont="1" applyFill="1" applyBorder="1"/>
    <xf numFmtId="0" fontId="5" fillId="22" borderId="7" xfId="0" applyFont="1" applyFill="1" applyBorder="1"/>
    <xf numFmtId="0" fontId="0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11" xfId="0" applyFont="1" applyBorder="1"/>
    <xf numFmtId="0" fontId="7" fillId="0" borderId="25" xfId="0" applyFont="1" applyBorder="1" applyAlignment="1">
      <alignment horizontal="center" vertical="center"/>
    </xf>
    <xf numFmtId="0" fontId="5" fillId="0" borderId="25" xfId="0" applyFont="1" applyBorder="1"/>
    <xf numFmtId="0" fontId="7" fillId="0" borderId="36" xfId="0" applyFont="1" applyBorder="1" applyAlignment="1">
      <alignment horizontal="center" vertical="center"/>
    </xf>
    <xf numFmtId="0" fontId="5" fillId="0" borderId="40" xfId="0" applyFont="1" applyBorder="1"/>
    <xf numFmtId="0" fontId="0" fillId="0" borderId="102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4" fillId="21" borderId="12" xfId="0" applyFont="1" applyFill="1" applyBorder="1" applyAlignment="1">
      <alignment horizontal="center"/>
    </xf>
    <xf numFmtId="0" fontId="0" fillId="2" borderId="96" xfId="0" applyFont="1" applyFill="1" applyBorder="1" applyAlignment="1">
      <alignment horizontal="center"/>
    </xf>
    <xf numFmtId="168" fontId="0" fillId="12" borderId="15" xfId="0" applyNumberFormat="1" applyFont="1" applyFill="1" applyBorder="1" applyAlignment="1">
      <alignment horizontal="center" vertical="center"/>
    </xf>
    <xf numFmtId="168" fontId="0" fillId="0" borderId="15" xfId="0" applyNumberFormat="1" applyFont="1" applyBorder="1" applyAlignment="1">
      <alignment horizontal="center" vertical="center"/>
    </xf>
    <xf numFmtId="1" fontId="0" fillId="0" borderId="15" xfId="0" applyNumberFormat="1" applyFont="1" applyBorder="1" applyAlignment="1">
      <alignment horizontal="center" vertical="center"/>
    </xf>
    <xf numFmtId="172" fontId="0" fillId="2" borderId="15" xfId="0" applyNumberFormat="1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5" fillId="0" borderId="46" xfId="0" applyFont="1" applyBorder="1"/>
    <xf numFmtId="0" fontId="0" fillId="1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center"/>
    </xf>
    <xf numFmtId="0" fontId="26" fillId="0" borderId="1" xfId="4" applyAlignment="1">
      <alignment horizontal="left" wrapText="1"/>
    </xf>
    <xf numFmtId="0" fontId="70" fillId="21" borderId="49" xfId="4" applyFont="1" applyFill="1" applyBorder="1" applyAlignment="1">
      <alignment horizontal="center"/>
    </xf>
    <xf numFmtId="0" fontId="26" fillId="21" borderId="52" xfId="4" applyFill="1" applyBorder="1" applyAlignment="1">
      <alignment horizontal="center"/>
    </xf>
    <xf numFmtId="0" fontId="26" fillId="21" borderId="50" xfId="4" applyFill="1" applyBorder="1" applyAlignment="1">
      <alignment horizontal="center"/>
    </xf>
    <xf numFmtId="0" fontId="40" fillId="23" borderId="62" xfId="4" applyFont="1" applyFill="1" applyBorder="1" applyAlignment="1">
      <alignment horizontal="center"/>
    </xf>
    <xf numFmtId="0" fontId="42" fillId="23" borderId="67" xfId="4" applyFont="1" applyFill="1" applyBorder="1" applyAlignment="1">
      <alignment horizontal="center"/>
    </xf>
    <xf numFmtId="0" fontId="42" fillId="23" borderId="68" xfId="4" applyFont="1" applyFill="1" applyBorder="1" applyAlignment="1">
      <alignment horizontal="center"/>
    </xf>
    <xf numFmtId="0" fontId="42" fillId="23" borderId="69" xfId="4" applyFont="1" applyFill="1" applyBorder="1" applyAlignment="1">
      <alignment horizontal="center"/>
    </xf>
    <xf numFmtId="0" fontId="26" fillId="0" borderId="76" xfId="4" applyBorder="1" applyAlignment="1">
      <alignment horizontal="center"/>
    </xf>
    <xf numFmtId="0" fontId="26" fillId="0" borderId="59" xfId="4" applyBorder="1" applyAlignment="1">
      <alignment horizontal="center"/>
    </xf>
    <xf numFmtId="0" fontId="26" fillId="0" borderId="60" xfId="4" applyBorder="1" applyAlignment="1">
      <alignment horizontal="center"/>
    </xf>
    <xf numFmtId="0" fontId="70" fillId="22" borderId="49" xfId="9" applyFont="1" applyFill="1" applyBorder="1" applyAlignment="1">
      <alignment horizontal="center"/>
    </xf>
    <xf numFmtId="0" fontId="70" fillId="22" borderId="52" xfId="9" applyFont="1" applyFill="1" applyBorder="1" applyAlignment="1">
      <alignment horizontal="center"/>
    </xf>
    <xf numFmtId="0" fontId="70" fillId="22" borderId="50" xfId="9" applyFont="1" applyFill="1" applyBorder="1" applyAlignment="1">
      <alignment horizontal="center"/>
    </xf>
    <xf numFmtId="0" fontId="50" fillId="23" borderId="62" xfId="13" applyFont="1" applyFill="1" applyBorder="1" applyAlignment="1">
      <alignment horizontal="center"/>
    </xf>
    <xf numFmtId="0" fontId="42" fillId="23" borderId="62" xfId="4" applyFont="1" applyFill="1" applyBorder="1" applyAlignment="1">
      <alignment horizontal="center"/>
    </xf>
    <xf numFmtId="0" fontId="42" fillId="22" borderId="62" xfId="4" applyFont="1" applyFill="1" applyBorder="1" applyAlignment="1">
      <alignment horizontal="center"/>
    </xf>
    <xf numFmtId="0" fontId="42" fillId="22" borderId="85" xfId="4" applyFont="1" applyFill="1" applyBorder="1" applyAlignment="1">
      <alignment horizontal="center"/>
    </xf>
    <xf numFmtId="0" fontId="42" fillId="22" borderId="86" xfId="4" applyFont="1" applyFill="1" applyBorder="1" applyAlignment="1">
      <alignment horizontal="center"/>
    </xf>
    <xf numFmtId="0" fontId="42" fillId="22" borderId="87" xfId="4" applyFont="1" applyFill="1" applyBorder="1" applyAlignment="1">
      <alignment horizontal="center"/>
    </xf>
    <xf numFmtId="0" fontId="48" fillId="22" borderId="70" xfId="4" applyFont="1" applyFill="1" applyBorder="1" applyAlignment="1">
      <alignment horizontal="center"/>
    </xf>
    <xf numFmtId="0" fontId="48" fillId="22" borderId="1" xfId="4" applyFont="1" applyFill="1" applyBorder="1" applyAlignment="1">
      <alignment horizontal="center"/>
    </xf>
    <xf numFmtId="0" fontId="48" fillId="22" borderId="71" xfId="4" applyFont="1" applyFill="1" applyBorder="1" applyAlignment="1">
      <alignment horizontal="center"/>
    </xf>
    <xf numFmtId="0" fontId="42" fillId="22" borderId="85" xfId="9" applyFont="1" applyFill="1" applyBorder="1" applyAlignment="1">
      <alignment horizontal="center"/>
    </xf>
    <xf numFmtId="0" fontId="42" fillId="22" borderId="86" xfId="9" applyFont="1" applyFill="1" applyBorder="1" applyAlignment="1">
      <alignment horizontal="center"/>
    </xf>
    <xf numFmtId="0" fontId="42" fillId="22" borderId="87" xfId="9" applyFont="1" applyFill="1" applyBorder="1" applyAlignment="1">
      <alignment horizontal="center"/>
    </xf>
    <xf numFmtId="0" fontId="70" fillId="21" borderId="49" xfId="9" applyFont="1" applyFill="1" applyBorder="1" applyAlignment="1">
      <alignment horizontal="center"/>
    </xf>
    <xf numFmtId="0" fontId="70" fillId="21" borderId="52" xfId="9" applyFont="1" applyFill="1" applyBorder="1" applyAlignment="1">
      <alignment horizontal="center"/>
    </xf>
    <xf numFmtId="0" fontId="70" fillId="21" borderId="50" xfId="9" applyFont="1" applyFill="1" applyBorder="1" applyAlignment="1">
      <alignment horizontal="center"/>
    </xf>
    <xf numFmtId="0" fontId="42" fillId="22" borderId="99" xfId="10" applyFont="1" applyFill="1" applyBorder="1" applyAlignment="1">
      <alignment horizontal="center"/>
    </xf>
    <xf numFmtId="0" fontId="42" fillId="22" borderId="100" xfId="10" applyFont="1" applyFill="1" applyBorder="1" applyAlignment="1">
      <alignment horizontal="center"/>
    </xf>
    <xf numFmtId="0" fontId="42" fillId="22" borderId="101" xfId="10" applyFont="1" applyFill="1" applyBorder="1" applyAlignment="1">
      <alignment horizontal="center"/>
    </xf>
    <xf numFmtId="0" fontId="42" fillId="22" borderId="90" xfId="9" applyFont="1" applyFill="1" applyBorder="1" applyAlignment="1">
      <alignment horizontal="center"/>
    </xf>
    <xf numFmtId="0" fontId="42" fillId="22" borderId="97" xfId="9" applyFont="1" applyFill="1" applyBorder="1" applyAlignment="1">
      <alignment horizontal="center"/>
    </xf>
    <xf numFmtId="0" fontId="42" fillId="22" borderId="98" xfId="9" applyFont="1" applyFill="1" applyBorder="1" applyAlignment="1">
      <alignment horizontal="center"/>
    </xf>
    <xf numFmtId="0" fontId="42" fillId="22" borderId="85" xfId="15" applyFont="1" applyFill="1" applyBorder="1" applyAlignment="1">
      <alignment horizontal="center"/>
    </xf>
    <xf numFmtId="0" fontId="42" fillId="22" borderId="86" xfId="15" applyFont="1" applyFill="1" applyBorder="1" applyAlignment="1">
      <alignment horizontal="center"/>
    </xf>
    <xf numFmtId="0" fontId="42" fillId="22" borderId="87" xfId="15" applyFont="1" applyFill="1" applyBorder="1" applyAlignment="1">
      <alignment horizontal="center"/>
    </xf>
    <xf numFmtId="0" fontId="42" fillId="22" borderId="85" xfId="0" applyFont="1" applyFill="1" applyBorder="1" applyAlignment="1">
      <alignment horizontal="center"/>
    </xf>
    <xf numFmtId="0" fontId="42" fillId="22" borderId="86" xfId="0" applyFont="1" applyFill="1" applyBorder="1" applyAlignment="1">
      <alignment horizontal="center"/>
    </xf>
    <xf numFmtId="0" fontId="42" fillId="22" borderId="87" xfId="0" applyFont="1" applyFill="1" applyBorder="1" applyAlignment="1">
      <alignment horizontal="center"/>
    </xf>
  </cellXfs>
  <cellStyles count="16">
    <cellStyle name="Incorrecto" xfId="3" builtinId="27"/>
    <cellStyle name="Millares [0]" xfId="1" builtinId="6"/>
    <cellStyle name="Millares [0] 2" xfId="7" xr:uid="{00000000-0005-0000-0000-000002000000}"/>
    <cellStyle name="Millares 2 3" xfId="5" xr:uid="{00000000-0005-0000-0000-000003000000}"/>
    <cellStyle name="Normal" xfId="0" builtinId="0"/>
    <cellStyle name="Normal 2" xfId="11" xr:uid="{00000000-0005-0000-0000-000006000000}"/>
    <cellStyle name="Normal 2 2" xfId="4" xr:uid="{00000000-0005-0000-0000-000007000000}"/>
    <cellStyle name="Normal 3" xfId="6" xr:uid="{00000000-0005-0000-0000-000008000000}"/>
    <cellStyle name="Normal 8" xfId="10" xr:uid="{00000000-0005-0000-0000-000009000000}"/>
    <cellStyle name="Normal_LAGUNA FACULTATIVA" xfId="9" xr:uid="{00000000-0005-0000-0000-00000B000000}"/>
    <cellStyle name="Normal_Planta de Tratamiento Vernon 01" xfId="15" xr:uid="{00000000-0005-0000-0000-00000C000000}"/>
    <cellStyle name="Normal_UASB" xfId="13" xr:uid="{00000000-0005-0000-0000-00000D000000}"/>
    <cellStyle name="Porcentaje" xfId="2" builtinId="5"/>
    <cellStyle name="Porcentaje 2" xfId="14" xr:uid="{00000000-0005-0000-0000-00000F000000}"/>
    <cellStyle name="Porcentaje 3" xfId="12" xr:uid="{00000000-0005-0000-0000-000010000000}"/>
    <cellStyle name="Porcentaje 4" xfId="8" xr:uid="{00000000-0005-0000-0000-000011000000}"/>
  </cellStyles>
  <dxfs count="3">
    <dxf>
      <fill>
        <patternFill patternType="solid">
          <fgColor rgb="FFFFFFFF"/>
          <bgColor rgb="FFFFFF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66FF"/>
      <color rgb="FF9933FF"/>
      <color rgb="FFCC99FF"/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microsoft.com/office/2007/relationships/hdphoto" Target="../media/hdphoto2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8.png"/><Relationship Id="rId5" Type="http://schemas.microsoft.com/office/2007/relationships/hdphoto" Target="../media/hdphoto3.wdp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243097</xdr:colOff>
      <xdr:row>34</xdr:row>
      <xdr:rowOff>165239</xdr:rowOff>
    </xdr:from>
    <xdr:ext cx="4215708" cy="235088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401" y="6901761"/>
          <a:ext cx="4215708" cy="23508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𝐽_𝑡𝑢𝑏𝑒𝑟𝑖𝑎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</a:t>
          </a:r>
          <a:r>
            <a:rPr lang="en-US" sz="110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en-US" sz="11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𝑄_𝑏/(</a:t>
          </a:r>
          <a:r>
            <a:rPr lang="en-US" sz="110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r>
            <a:rPr lang="en-US" sz="11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7,113〖×(∅_𝑡𝑢𝑏𝑒𝑟𝑖𝑎/1000)〗^2,596 ))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^(1/0,532)</a:t>
          </a:r>
          <a:endParaRPr sz="1100"/>
        </a:p>
      </xdr:txBody>
    </xdr:sp>
    <xdr:clientData fLocksWithSheet="0"/>
  </xdr:oneCellAnchor>
  <xdr:oneCellAnchor>
    <xdr:from>
      <xdr:col>5</xdr:col>
      <xdr:colOff>187173</xdr:colOff>
      <xdr:row>60</xdr:row>
      <xdr:rowOff>183161</xdr:rowOff>
    </xdr:from>
    <xdr:ext cx="4703345" cy="345908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897716" y="12151531"/>
          <a:ext cx="4703345" cy="34590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𝑃_𝑏𝑜𝑚𝑏𝑎 [𝑐𝑣]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=((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1000 𝐾𝑔/𝑚^3 × 𝑄_𝑏×𝐻_𝑚𝑎𝑛)/(75×∩_𝑏𝑜𝑚𝑏𝑎 ))</a:t>
          </a:r>
          <a:endParaRPr sz="1100"/>
        </a:p>
      </xdr:txBody>
    </xdr:sp>
    <xdr:clientData fLocksWithSheet="0"/>
  </xdr:oneCellAnchor>
  <xdr:oneCellAnchor>
    <xdr:from>
      <xdr:col>4</xdr:col>
      <xdr:colOff>2079901</xdr:colOff>
      <xdr:row>66</xdr:row>
      <xdr:rowOff>15323</xdr:rowOff>
    </xdr:from>
    <xdr:ext cx="3609975" cy="344511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705068" y="13519656"/>
          <a:ext cx="3609975" cy="34451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𝑃_𝑚𝑜𝑡𝑜𝑏𝑜𝑚𝑏𝑎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=(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𝑃_𝑏𝑜𝑚𝑏𝑎/∩_𝑚𝑜𝑡𝑜𝑟 )</a:t>
          </a:r>
          <a:endParaRPr sz="1100"/>
        </a:p>
      </xdr:txBody>
    </xdr:sp>
    <xdr:clientData fLocksWithSheet="0"/>
  </xdr:oneCellAnchor>
  <xdr:oneCellAnchor>
    <xdr:from>
      <xdr:col>5</xdr:col>
      <xdr:colOff>638175</xdr:colOff>
      <xdr:row>62</xdr:row>
      <xdr:rowOff>66675</xdr:rowOff>
    </xdr:from>
    <xdr:ext cx="3609975" cy="2952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545775" y="3637125"/>
          <a:ext cx="36004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𝑃_𝑏𝑜𝑚𝑏𝑎 [𝐻𝑃]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=(</a:t>
          </a:r>
          <a:r>
            <a:rPr lang="en-US" sz="11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〖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1,014×</a:t>
          </a:r>
          <a:r>
            <a:rPr lang="en-US" sz="11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𝑃〗_𝑏𝑜𝑚𝑏𝑎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 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[</a:t>
          </a:r>
          <a:r>
            <a:rPr lang="en-US" sz="11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𝑐𝑣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]</a:t>
          </a:r>
          <a:endParaRPr sz="1400"/>
        </a:p>
      </xdr:txBody>
    </xdr:sp>
    <xdr:clientData fLocksWithSheet="0"/>
  </xdr:oneCellAnchor>
  <xdr:oneCellAnchor>
    <xdr:from>
      <xdr:col>4</xdr:col>
      <xdr:colOff>333375</xdr:colOff>
      <xdr:row>24</xdr:row>
      <xdr:rowOff>104775</xdr:rowOff>
    </xdr:from>
    <xdr:ext cx="4562475" cy="3905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069525" y="3589500"/>
          <a:ext cx="455295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∅_𝑡𝑢𝑏𝑒𝑟𝑖𝑎=1,3(〖𝑄_𝑏^ 〗^(1⁄2)×𝑋^(1⁄4) 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; 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𝑋=(𝑁º 𝑑𝑒 ℎ𝑜𝑟𝑎𝑠 𝑑𝑒 𝑜𝑝𝑒𝑟𝑎𝑐𝑖ó𝑛 𝑑𝑒 𝑙𝑎 𝑏𝑜𝑚𝑏𝑎)/24ℎ𝑠</a:t>
          </a:r>
          <a:endParaRPr sz="1100" i="1"/>
        </a:p>
      </xdr:txBody>
    </xdr:sp>
    <xdr:clientData fLocksWithSheet="0"/>
  </xdr:oneCellAnchor>
  <xdr:oneCellAnchor>
    <xdr:from>
      <xdr:col>6</xdr:col>
      <xdr:colOff>597314</xdr:colOff>
      <xdr:row>36</xdr:row>
      <xdr:rowOff>10491</xdr:rowOff>
    </xdr:from>
    <xdr:ext cx="1571625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75901" y="7133534"/>
          <a:ext cx="1571625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459827</xdr:colOff>
      <xdr:row>41</xdr:row>
      <xdr:rowOff>84081</xdr:rowOff>
    </xdr:from>
    <xdr:ext cx="2716596" cy="1998281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40465" y="8025960"/>
          <a:ext cx="2716596" cy="1998281"/>
        </a:xfrm>
        <a:prstGeom prst="rect">
          <a:avLst/>
        </a:prstGeom>
        <a:ln w="3175" cap="sq" cmpd="thickThin">
          <a:solidFill>
            <a:sysClr val="windowText" lastClr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 fLocksWithSheet="0"/>
  </xdr:oneCellAnchor>
  <xdr:oneCellAnchor>
    <xdr:from>
      <xdr:col>14</xdr:col>
      <xdr:colOff>31854</xdr:colOff>
      <xdr:row>0</xdr:row>
      <xdr:rowOff>0</xdr:rowOff>
    </xdr:from>
    <xdr:ext cx="5638800" cy="384810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865085" y="0"/>
          <a:ext cx="5638800" cy="3848100"/>
        </a:xfrm>
        <a:prstGeom prst="rect">
          <a:avLst/>
        </a:prstGeom>
        <a:solidFill>
          <a:srgbClr val="FFFFFF">
            <a:shade val="85000"/>
          </a:srgbClr>
        </a:solidFill>
        <a:ln w="3175" cap="sq">
          <a:solidFill>
            <a:schemeClr val="tx1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297180</xdr:colOff>
          <xdr:row>65</xdr:row>
          <xdr:rowOff>60960</xdr:rowOff>
        </xdr:from>
        <xdr:to>
          <xdr:col>14</xdr:col>
          <xdr:colOff>403860</xdr:colOff>
          <xdr:row>65</xdr:row>
          <xdr:rowOff>160020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25</xdr:col>
      <xdr:colOff>8031</xdr:colOff>
      <xdr:row>26</xdr:row>
      <xdr:rowOff>0</xdr:rowOff>
    </xdr:from>
    <xdr:to>
      <xdr:col>44</xdr:col>
      <xdr:colOff>0</xdr:colOff>
      <xdr:row>27</xdr:row>
      <xdr:rowOff>185133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294335" y="5024783"/>
          <a:ext cx="15273382" cy="378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32844</xdr:colOff>
      <xdr:row>144</xdr:row>
      <xdr:rowOff>177361</xdr:rowOff>
    </xdr:from>
    <xdr:ext cx="285750" cy="2042949"/>
    <xdr:sp macro="" textlink="">
      <xdr:nvSpPr>
        <xdr:cNvPr id="310" name="Shape 4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11495689" y="28423913"/>
          <a:ext cx="285750" cy="2042949"/>
        </a:xfrm>
        <a:prstGeom prst="rect">
          <a:avLst/>
        </a:prstGeom>
        <a:solidFill>
          <a:schemeClr val="accen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117</xdr:row>
      <xdr:rowOff>171450</xdr:rowOff>
    </xdr:from>
    <xdr:ext cx="1743075" cy="1638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479225" y="2965613"/>
          <a:ext cx="1733550" cy="1628775"/>
        </a:xfrm>
        <a:prstGeom prst="rect">
          <a:avLst/>
        </a:prstGeom>
        <a:solidFill>
          <a:srgbClr val="DBEEF4">
            <a:alpha val="58431"/>
          </a:srgb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600075</xdr:colOff>
      <xdr:row>145</xdr:row>
      <xdr:rowOff>7883</xdr:rowOff>
    </xdr:from>
    <xdr:ext cx="285750" cy="19716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461609" y="28451504"/>
          <a:ext cx="285750" cy="1971675"/>
        </a:xfrm>
        <a:prstGeom prst="rect">
          <a:avLst/>
        </a:prstGeom>
        <a:solidFill>
          <a:schemeClr val="accen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857250</xdr:colOff>
      <xdr:row>144</xdr:row>
      <xdr:rowOff>74558</xdr:rowOff>
    </xdr:from>
    <xdr:ext cx="3524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 rot="474352">
          <a:off x="10974917" y="28956475"/>
          <a:ext cx="352425" cy="38100"/>
          <a:chOff x="5169788" y="3760950"/>
          <a:chExt cx="352425" cy="38100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70475"/>
            <a:chExt cx="352425" cy="19050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169788" y="3770475"/>
              <a:ext cx="3524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" name="Shape 8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CxnSpPr/>
          </xdr:nvCxnSpPr>
          <xdr:spPr>
            <a:xfrm flipH="1">
              <a:off x="5169788" y="3770475"/>
              <a:ext cx="3524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274254</xdr:colOff>
      <xdr:row>144</xdr:row>
      <xdr:rowOff>102804</xdr:rowOff>
    </xdr:from>
    <xdr:ext cx="257175" cy="2857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 rot="16200000">
          <a:off x="10506221" y="28870421"/>
          <a:ext cx="28575" cy="257175"/>
          <a:chOff x="5331713" y="308136"/>
          <a:chExt cx="28575" cy="6943725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9" name="Shape 7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" name="Shape 11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76200</xdr:colOff>
      <xdr:row>145</xdr:row>
      <xdr:rowOff>-9525</xdr:rowOff>
    </xdr:from>
    <xdr:ext cx="276225" cy="19621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217413" y="2808450"/>
          <a:ext cx="257175" cy="194310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146</xdr:row>
      <xdr:rowOff>9525</xdr:rowOff>
    </xdr:from>
    <xdr:ext cx="171450" cy="228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148</xdr:row>
      <xdr:rowOff>19050</xdr:rowOff>
    </xdr:from>
    <xdr:ext cx="171450" cy="228600"/>
    <xdr:sp macro="" textlink="">
      <xdr:nvSpPr>
        <xdr:cNvPr id="12" name="Shape 17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150</xdr:row>
      <xdr:rowOff>47625</xdr:rowOff>
    </xdr:from>
    <xdr:ext cx="171450" cy="228600"/>
    <xdr:sp macro="" textlink="">
      <xdr:nvSpPr>
        <xdr:cNvPr id="13" name="Shape 1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152</xdr:row>
      <xdr:rowOff>85725</xdr:rowOff>
    </xdr:from>
    <xdr:ext cx="171450" cy="228600"/>
    <xdr:sp macro="" textlink="">
      <xdr:nvSpPr>
        <xdr:cNvPr id="14" name="Shape 17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273597</xdr:colOff>
      <xdr:row>155</xdr:row>
      <xdr:rowOff>76200</xdr:rowOff>
    </xdr:from>
    <xdr:ext cx="352425" cy="381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12169264" y="31170033"/>
          <a:ext cx="352425" cy="38100"/>
          <a:chOff x="5169788" y="3760950"/>
          <a:chExt cx="352425" cy="38100"/>
        </a:xfrm>
      </xdr:grpSpPr>
      <xdr:grpSp>
        <xdr:nvGrp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70475"/>
            <a:chExt cx="352425" cy="19050"/>
          </a:xfrm>
        </xdr:grpSpPr>
        <xdr:sp macro="" textlink="">
          <xdr:nvSpPr>
            <xdr:cNvPr id="18" name="Shape 7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5169788" y="3770475"/>
              <a:ext cx="3524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/>
          </xdr:nvCxnSpPr>
          <xdr:spPr>
            <a:xfrm flipH="1">
              <a:off x="5169788" y="3770475"/>
              <a:ext cx="3524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5</xdr:col>
      <xdr:colOff>733425</xdr:colOff>
      <xdr:row>144</xdr:row>
      <xdr:rowOff>161925</xdr:rowOff>
    </xdr:from>
    <xdr:ext cx="38100" cy="199072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11740092" y="29043842"/>
          <a:ext cx="38100" cy="1990725"/>
          <a:chOff x="5326950" y="-100235381"/>
          <a:chExt cx="38100" cy="208030760"/>
        </a:xfrm>
      </xdr:grpSpPr>
      <xdr:grpSp>
        <xdr:nvGrpSpPr>
          <xdr:cNvPr id="24" name="Shape 24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GrpSpPr/>
        </xdr:nvGrpSpPr>
        <xdr:grpSpPr>
          <a:xfrm>
            <a:off x="5326950" y="-100235381"/>
            <a:ext cx="38100" cy="208030760"/>
            <a:chOff x="4350638" y="2784638"/>
            <a:chExt cx="1990725" cy="1990725"/>
          </a:xfrm>
        </xdr:grpSpPr>
        <xdr:sp macro="" textlink="">
          <xdr:nvSpPr>
            <xdr:cNvPr id="20" name="Shape 7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4350638" y="3770475"/>
              <a:ext cx="19907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CxnSpPr/>
          </xdr:nvCxnSpPr>
          <xdr:spPr>
            <a:xfrm rot="-5400000" flipH="1">
              <a:off x="4350638" y="3770475"/>
              <a:ext cx="19907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314325</xdr:colOff>
      <xdr:row>145</xdr:row>
      <xdr:rowOff>-19050</xdr:rowOff>
    </xdr:from>
    <xdr:ext cx="3743325" cy="20383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3483863" y="2770350"/>
          <a:ext cx="3724275" cy="201930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78499</xdr:colOff>
      <xdr:row>144</xdr:row>
      <xdr:rowOff>168494</xdr:rowOff>
    </xdr:from>
    <xdr:ext cx="133350" cy="19907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 rot="10800000">
          <a:off x="10674240" y="28415046"/>
          <a:ext cx="133350" cy="1990725"/>
        </a:xfrm>
        <a:prstGeom prst="triangle">
          <a:avLst>
            <a:gd name="adj" fmla="val 99999"/>
          </a:avLst>
        </a:prstGeom>
        <a:solidFill>
          <a:schemeClr val="accen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104775</xdr:colOff>
      <xdr:row>156</xdr:row>
      <xdr:rowOff>28575</xdr:rowOff>
    </xdr:from>
    <xdr:ext cx="209550" cy="6286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 rot="10800000">
          <a:off x="5250750" y="3475200"/>
          <a:ext cx="190500" cy="6096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323850</xdr:colOff>
      <xdr:row>144</xdr:row>
      <xdr:rowOff>0</xdr:rowOff>
    </xdr:from>
    <xdr:ext cx="3714750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3108517" y="28881917"/>
          <a:ext cx="3714750" cy="38100"/>
          <a:chOff x="3488625" y="3760949"/>
          <a:chExt cx="3714750" cy="38100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GrpSpPr/>
        </xdr:nvGrpSpPr>
        <xdr:grpSpPr>
          <a:xfrm>
            <a:off x="3488625" y="3760949"/>
            <a:ext cx="3714750" cy="38100"/>
            <a:chOff x="3488625" y="3775238"/>
            <a:chExt cx="3714750" cy="9525"/>
          </a:xfrm>
        </xdr:grpSpPr>
        <xdr:sp macro="" textlink="">
          <xdr:nvSpPr>
            <xdr:cNvPr id="30" name="Shape 7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/>
          </xdr:nvSpPr>
          <xdr:spPr>
            <a:xfrm>
              <a:off x="3488625" y="3775238"/>
              <a:ext cx="37147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1" name="Shape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CxnSpPr/>
          </xdr:nvCxnSpPr>
          <xdr:spPr>
            <a:xfrm rot="10800000" flipH="1">
              <a:off x="3488625" y="3775238"/>
              <a:ext cx="37147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323850</xdr:colOff>
      <xdr:row>155</xdr:row>
      <xdr:rowOff>123825</xdr:rowOff>
    </xdr:from>
    <xdr:ext cx="3743325" cy="2038350"/>
    <xdr:sp macro="" textlink="">
      <xdr:nvSpPr>
        <xdr:cNvPr id="32" name="Shape 26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3483863" y="2770350"/>
          <a:ext cx="3724275" cy="2019300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390525</xdr:colOff>
      <xdr:row>145</xdr:row>
      <xdr:rowOff>-9525</xdr:rowOff>
    </xdr:from>
    <xdr:ext cx="1362075" cy="981075"/>
    <xdr:sp macro="" textlink="">
      <xdr:nvSpPr>
        <xdr:cNvPr id="33" name="Shape 3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674488" y="3298988"/>
          <a:ext cx="1343025" cy="962025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400050</xdr:colOff>
      <xdr:row>150</xdr:row>
      <xdr:rowOff>-9525</xdr:rowOff>
    </xdr:from>
    <xdr:ext cx="1362075" cy="98107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674488" y="3298988"/>
          <a:ext cx="1343025" cy="962025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419100</xdr:colOff>
      <xdr:row>155</xdr:row>
      <xdr:rowOff>142875</xdr:rowOff>
    </xdr:from>
    <xdr:ext cx="1362075" cy="10001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674488" y="3289463"/>
          <a:ext cx="1343025" cy="981075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428625</xdr:colOff>
      <xdr:row>161</xdr:row>
      <xdr:rowOff>-19050</xdr:rowOff>
    </xdr:from>
    <xdr:ext cx="1362075" cy="981075"/>
    <xdr:sp macro="" textlink="">
      <xdr:nvSpPr>
        <xdr:cNvPr id="36" name="Shape 3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4674488" y="3298988"/>
          <a:ext cx="1343025" cy="962025"/>
        </a:xfrm>
        <a:prstGeom prst="rect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304800</xdr:colOff>
      <xdr:row>144</xdr:row>
      <xdr:rowOff>180975</xdr:rowOff>
    </xdr:from>
    <xdr:ext cx="38100" cy="971550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17216967" y="29062892"/>
          <a:ext cx="38100" cy="971550"/>
          <a:chOff x="5326950" y="-20994525"/>
          <a:chExt cx="38100" cy="49549051"/>
        </a:xfrm>
      </xdr:grpSpPr>
      <xdr:grpSp>
        <xdr:nvGrpSpPr>
          <xdr:cNvPr id="38" name="Shape 3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GrpSpPr/>
        </xdr:nvGrpSpPr>
        <xdr:grpSpPr>
          <a:xfrm>
            <a:off x="5326950" y="-20994525"/>
            <a:ext cx="38100" cy="49549051"/>
            <a:chOff x="4860225" y="3294225"/>
            <a:chExt cx="971550" cy="971550"/>
          </a:xfrm>
        </xdr:grpSpPr>
        <xdr:sp macro="" textlink="">
          <xdr:nvSpPr>
            <xdr:cNvPr id="39" name="Shape 7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/>
          </xdr:nvSpPr>
          <xdr:spPr>
            <a:xfrm>
              <a:off x="4860225" y="3770475"/>
              <a:ext cx="971550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34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CxnSpPr/>
          </xdr:nvCxnSpPr>
          <xdr:spPr>
            <a:xfrm rot="-5400000" flipH="1">
              <a:off x="4860225" y="3770475"/>
              <a:ext cx="971550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85725</xdr:colOff>
      <xdr:row>18</xdr:row>
      <xdr:rowOff>0</xdr:rowOff>
    </xdr:from>
    <xdr:ext cx="619125" cy="619125"/>
    <xdr:sp macro="" textlink="">
      <xdr:nvSpPr>
        <xdr:cNvPr id="41" name="Shape 3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041200" y="3475200"/>
          <a:ext cx="609600" cy="609600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809625</xdr:colOff>
      <xdr:row>17</xdr:row>
      <xdr:rowOff>171450</xdr:rowOff>
    </xdr:from>
    <xdr:ext cx="38100" cy="600075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10927292" y="3409950"/>
          <a:ext cx="38100" cy="600075"/>
          <a:chOff x="5326950" y="-5671181"/>
          <a:chExt cx="38100" cy="18902363"/>
        </a:xfrm>
      </xdr:grpSpPr>
      <xdr:grpSp>
        <xdr:nvGrpSpPr>
          <xdr:cNvPr id="43" name="Shape 36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GrpSpPr/>
        </xdr:nvGrpSpPr>
        <xdr:grpSpPr>
          <a:xfrm>
            <a:off x="5326950" y="-5671181"/>
            <a:ext cx="38100" cy="18902363"/>
            <a:chOff x="5045963" y="3479963"/>
            <a:chExt cx="600075" cy="600075"/>
          </a:xfrm>
        </xdr:grpSpPr>
        <xdr:sp macro="" textlink="">
          <xdr:nvSpPr>
            <xdr:cNvPr id="44" name="Shape 7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5045963" y="3770475"/>
              <a:ext cx="6000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" name="Shape 37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CxnSpPr/>
          </xdr:nvCxnSpPr>
          <xdr:spPr>
            <a:xfrm rot="-5400000" flipH="1">
              <a:off x="5045963" y="3770475"/>
              <a:ext cx="60007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38100</xdr:colOff>
      <xdr:row>9</xdr:row>
      <xdr:rowOff>28575</xdr:rowOff>
    </xdr:from>
    <xdr:ext cx="600075" cy="1438275"/>
    <xdr:sp macro="" textlink="">
      <xdr:nvSpPr>
        <xdr:cNvPr id="46" name="Shape 3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5050725" y="3065625"/>
          <a:ext cx="590550" cy="1428750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666750</xdr:colOff>
      <xdr:row>9</xdr:row>
      <xdr:rowOff>28575</xdr:rowOff>
    </xdr:from>
    <xdr:ext cx="933450" cy="609600"/>
    <xdr:sp macro="" textlink="">
      <xdr:nvSpPr>
        <xdr:cNvPr id="47" name="Shape 3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4884038" y="3479963"/>
          <a:ext cx="923925" cy="6000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409575</xdr:colOff>
      <xdr:row>29</xdr:row>
      <xdr:rowOff>152400</xdr:rowOff>
    </xdr:from>
    <xdr:ext cx="38100" cy="219075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13194242" y="5750983"/>
          <a:ext cx="38100" cy="219075"/>
          <a:chOff x="5326950" y="3670463"/>
          <a:chExt cx="38100" cy="219075"/>
        </a:xfrm>
      </xdr:grpSpPr>
      <xdr:grpSp>
        <xdr:nvGrpSpPr>
          <xdr:cNvPr id="53" name="Shape 4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GrpSpPr/>
        </xdr:nvGrpSpPr>
        <xdr:grpSpPr>
          <a:xfrm>
            <a:off x="5326950" y="3670463"/>
            <a:ext cx="38100" cy="219075"/>
            <a:chOff x="5336625" y="3670463"/>
            <a:chExt cx="18900" cy="219000"/>
          </a:xfrm>
        </xdr:grpSpPr>
        <xdr:sp macro="" textlink="">
          <xdr:nvSpPr>
            <xdr:cNvPr id="54" name="Shape 7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SpPr/>
          </xdr:nvSpPr>
          <xdr:spPr>
            <a:xfrm>
              <a:off x="5336625" y="3670463"/>
              <a:ext cx="18900" cy="219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5" name="Shape 43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CxnSpPr>
              <a:endCxn id="44" idx="0"/>
            </xdr:cNvCxnSpPr>
          </xdr:nvCxnSpPr>
          <xdr:spPr>
            <a:xfrm flipH="1">
              <a:off x="5336625" y="3670463"/>
              <a:ext cx="18900" cy="2190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428625</xdr:colOff>
      <xdr:row>32</xdr:row>
      <xdr:rowOff>38100</xdr:rowOff>
    </xdr:from>
    <xdr:ext cx="38100" cy="27622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13213292" y="6239933"/>
          <a:ext cx="38100" cy="276225"/>
          <a:chOff x="5326950" y="-225263"/>
          <a:chExt cx="38100" cy="8010525"/>
        </a:xfrm>
      </xdr:grpSpPr>
      <xdr:grpSp>
        <xdr:nvGrpSpPr>
          <xdr:cNvPr id="57" name="Shape 4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GrpSpPr/>
        </xdr:nvGrpSpPr>
        <xdr:grpSpPr>
          <a:xfrm>
            <a:off x="5326950" y="-225263"/>
            <a:ext cx="38100" cy="8010525"/>
            <a:chOff x="5207888" y="3641888"/>
            <a:chExt cx="276225" cy="276225"/>
          </a:xfrm>
        </xdr:grpSpPr>
        <xdr:sp macro="" textlink="">
          <xdr:nvSpPr>
            <xdr:cNvPr id="58" name="Shape 7">
              <a:extLst>
                <a:ext uri="{FF2B5EF4-FFF2-40B4-BE49-F238E27FC236}">
                  <a16:creationId xmlns:a16="http://schemas.microsoft.com/office/drawing/2014/main" id="{00000000-0008-0000-0100-00003A000000}"/>
                </a:ext>
              </a:extLst>
            </xdr:cNvPr>
            <xdr:cNvSpPr/>
          </xdr:nvSpPr>
          <xdr:spPr>
            <a:xfrm>
              <a:off x="5207888" y="3775238"/>
              <a:ext cx="2762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9" name="Shape 46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CxnSpPr/>
          </xdr:nvCxnSpPr>
          <xdr:spPr>
            <a:xfrm rot="5400000" flipH="1">
              <a:off x="5207888" y="3775238"/>
              <a:ext cx="27622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123825</xdr:colOff>
      <xdr:row>30</xdr:row>
      <xdr:rowOff>85725</xdr:rowOff>
    </xdr:from>
    <xdr:ext cx="2295525" cy="1419225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12019492" y="5885392"/>
          <a:ext cx="2295525" cy="1419225"/>
          <a:chOff x="4198238" y="3070388"/>
          <a:chExt cx="2295525" cy="1419226"/>
        </a:xfrm>
      </xdr:grpSpPr>
      <xdr:grpSp>
        <xdr:nvGrpSpPr>
          <xdr:cNvPr id="61" name="Shape 47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GrpSpPr/>
        </xdr:nvGrpSpPr>
        <xdr:grpSpPr>
          <a:xfrm>
            <a:off x="4198238" y="3070388"/>
            <a:ext cx="2295525" cy="1419226"/>
            <a:chOff x="4198238" y="3070388"/>
            <a:chExt cx="2295525" cy="1419226"/>
          </a:xfrm>
        </xdr:grpSpPr>
        <xdr:sp macro="" textlink="">
          <xdr:nvSpPr>
            <xdr:cNvPr id="62" name="Shape 7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SpPr/>
          </xdr:nvSpPr>
          <xdr:spPr>
            <a:xfrm>
              <a:off x="4198238" y="3070388"/>
              <a:ext cx="2295525" cy="1419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" name="Shape 48">
              <a:extLst>
                <a:ext uri="{FF2B5EF4-FFF2-40B4-BE49-F238E27FC236}">
                  <a16:creationId xmlns:a16="http://schemas.microsoft.com/office/drawing/2014/main" id="{00000000-0008-0000-0100-00003F000000}"/>
                </a:ext>
              </a:extLst>
            </xdr:cNvPr>
            <xdr:cNvGrpSpPr/>
          </xdr:nvGrpSpPr>
          <xdr:grpSpPr>
            <a:xfrm>
              <a:off x="4198238" y="3070388"/>
              <a:ext cx="2295525" cy="1419225"/>
              <a:chOff x="11112442" y="8858250"/>
              <a:chExt cx="2298758" cy="1362073"/>
            </a:xfrm>
          </xdr:grpSpPr>
          <xdr:sp macro="" textlink="">
            <xdr:nvSpPr>
              <xdr:cNvPr id="64" name="Shape 49">
                <a:extLst>
                  <a:ext uri="{FF2B5EF4-FFF2-40B4-BE49-F238E27FC236}">
                    <a16:creationId xmlns:a16="http://schemas.microsoft.com/office/drawing/2014/main" id="{00000000-0008-0000-0100-000040000000}"/>
                  </a:ext>
                </a:extLst>
              </xdr:cNvPr>
              <xdr:cNvSpPr/>
            </xdr:nvSpPr>
            <xdr:spPr>
              <a:xfrm>
                <a:off x="11112442" y="8858250"/>
                <a:ext cx="2298750" cy="13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65" name="Shape 50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SpPr/>
            </xdr:nvSpPr>
            <xdr:spPr>
              <a:xfrm>
                <a:off x="11134725" y="8867775"/>
                <a:ext cx="704850" cy="38100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66" name="Shape 51">
                <a:extLst>
                  <a:ext uri="{FF2B5EF4-FFF2-40B4-BE49-F238E27FC236}">
                    <a16:creationId xmlns:a16="http://schemas.microsoft.com/office/drawing/2014/main" id="{00000000-0008-0000-0100-000042000000}"/>
                  </a:ext>
                </a:extLst>
              </xdr:cNvPr>
              <xdr:cNvSpPr/>
            </xdr:nvSpPr>
            <xdr:spPr>
              <a:xfrm rot="5400000">
                <a:off x="11815761" y="8882062"/>
                <a:ext cx="390525" cy="342901"/>
              </a:xfrm>
              <a:prstGeom prst="trapezoid">
                <a:avLst>
                  <a:gd name="adj" fmla="val 25000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67" name="Shape 44">
                <a:extLst>
                  <a:ext uri="{FF2B5EF4-FFF2-40B4-BE49-F238E27FC236}">
                    <a16:creationId xmlns:a16="http://schemas.microsoft.com/office/drawing/2014/main" id="{00000000-0008-0000-0100-000043000000}"/>
                  </a:ext>
                </a:extLst>
              </xdr:cNvPr>
              <xdr:cNvSpPr/>
            </xdr:nvSpPr>
            <xdr:spPr>
              <a:xfrm>
                <a:off x="12192000" y="8943975"/>
                <a:ext cx="161925" cy="22860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68" name="Shape 52">
                <a:extLst>
                  <a:ext uri="{FF2B5EF4-FFF2-40B4-BE49-F238E27FC236}">
                    <a16:creationId xmlns:a16="http://schemas.microsoft.com/office/drawing/2014/main" id="{00000000-0008-0000-0100-000044000000}"/>
                  </a:ext>
                </a:extLst>
              </xdr:cNvPr>
              <xdr:cNvSpPr/>
            </xdr:nvSpPr>
            <xdr:spPr>
              <a:xfrm rot="-5400000">
                <a:off x="12339636" y="8882062"/>
                <a:ext cx="390525" cy="342901"/>
              </a:xfrm>
              <a:prstGeom prst="trapezoid">
                <a:avLst>
                  <a:gd name="adj" fmla="val 25000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69" name="Shape 53">
                <a:extLst>
                  <a:ext uri="{FF2B5EF4-FFF2-40B4-BE49-F238E27FC236}">
                    <a16:creationId xmlns:a16="http://schemas.microsoft.com/office/drawing/2014/main" id="{00000000-0008-0000-0100-000045000000}"/>
                  </a:ext>
                </a:extLst>
              </xdr:cNvPr>
              <xdr:cNvSpPr/>
            </xdr:nvSpPr>
            <xdr:spPr>
              <a:xfrm>
                <a:off x="12696825" y="8867775"/>
                <a:ext cx="704850" cy="38100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70" name="Shape 54">
                <a:extLst>
                  <a:ext uri="{FF2B5EF4-FFF2-40B4-BE49-F238E27FC236}">
                    <a16:creationId xmlns:a16="http://schemas.microsoft.com/office/drawing/2014/main" id="{00000000-0008-0000-0100-000046000000}"/>
                  </a:ext>
                </a:extLst>
              </xdr:cNvPr>
              <xdr:cNvSpPr/>
            </xdr:nvSpPr>
            <xdr:spPr>
              <a:xfrm>
                <a:off x="11115675" y="9544051"/>
                <a:ext cx="1038225" cy="514349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71" name="Shape 55">
                <a:extLst>
                  <a:ext uri="{FF2B5EF4-FFF2-40B4-BE49-F238E27FC236}">
                    <a16:creationId xmlns:a16="http://schemas.microsoft.com/office/drawing/2014/main" id="{00000000-0008-0000-0100-000047000000}"/>
                  </a:ext>
                </a:extLst>
              </xdr:cNvPr>
              <xdr:cNvSpPr/>
            </xdr:nvSpPr>
            <xdr:spPr>
              <a:xfrm flipH="1">
                <a:off x="11858625" y="9544050"/>
                <a:ext cx="304800" cy="51435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cxnSp macro="">
            <xdr:nvCxnSpPr>
              <xdr:cNvPr id="72" name="Shape 56">
                <a:extLst>
                  <a:ext uri="{FF2B5EF4-FFF2-40B4-BE49-F238E27FC236}">
                    <a16:creationId xmlns:a16="http://schemas.microsoft.com/office/drawing/2014/main" id="{00000000-0008-0000-0100-000048000000}"/>
                  </a:ext>
                </a:extLst>
              </xdr:cNvPr>
              <xdr:cNvCxnSpPr>
                <a:endCxn id="57" idx="0"/>
              </xdr:cNvCxnSpPr>
            </xdr:nvCxnSpPr>
            <xdr:spPr>
              <a:xfrm>
                <a:off x="11112442" y="9862383"/>
                <a:ext cx="881700" cy="624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4A7DBA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grpSp>
            <xdr:nvGrpSpPr>
              <xdr:cNvPr id="73" name="Shape 58">
                <a:extLst>
                  <a:ext uri="{FF2B5EF4-FFF2-40B4-BE49-F238E27FC236}">
                    <a16:creationId xmlns:a16="http://schemas.microsoft.com/office/drawing/2014/main" id="{00000000-0008-0000-0100-000049000000}"/>
                  </a:ext>
                </a:extLst>
              </xdr:cNvPr>
              <xdr:cNvGrpSpPr/>
            </xdr:nvGrpSpPr>
            <xdr:grpSpPr>
              <a:xfrm>
                <a:off x="12158921" y="9525001"/>
                <a:ext cx="1252279" cy="695322"/>
                <a:chOff x="11701721" y="7620001"/>
                <a:chExt cx="1252279" cy="695322"/>
              </a:xfrm>
            </xdr:grpSpPr>
            <xdr:cxnSp macro="">
              <xdr:nvCxnSpPr>
                <xdr:cNvPr id="74" name="Shape 59">
                  <a:extLst>
                    <a:ext uri="{FF2B5EF4-FFF2-40B4-BE49-F238E27FC236}">
                      <a16:creationId xmlns:a16="http://schemas.microsoft.com/office/drawing/2014/main" id="{00000000-0008-0000-0100-00004A000000}"/>
                    </a:ext>
                  </a:extLst>
                </xdr:cNvPr>
                <xdr:cNvCxnSpPr/>
              </xdr:nvCxnSpPr>
              <xdr:spPr>
                <a:xfrm>
                  <a:off x="12230100" y="8248650"/>
                  <a:ext cx="723900" cy="1588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" name="Shape 60">
                  <a:extLst>
                    <a:ext uri="{FF2B5EF4-FFF2-40B4-BE49-F238E27FC236}">
                      <a16:creationId xmlns:a16="http://schemas.microsoft.com/office/drawing/2014/main" id="{00000000-0008-0000-0100-00004B000000}"/>
                    </a:ext>
                  </a:extLst>
                </xdr:cNvPr>
                <xdr:cNvCxnSpPr/>
              </xdr:nvCxnSpPr>
              <xdr:spPr>
                <a:xfrm>
                  <a:off x="11701721" y="8152158"/>
                  <a:ext cx="175953" cy="16316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" name="Shape 61">
                  <a:extLst>
                    <a:ext uri="{FF2B5EF4-FFF2-40B4-BE49-F238E27FC236}">
                      <a16:creationId xmlns:a16="http://schemas.microsoft.com/office/drawing/2014/main" id="{00000000-0008-0000-0100-00004C000000}"/>
                    </a:ext>
                  </a:extLst>
                </xdr:cNvPr>
                <xdr:cNvCxnSpPr/>
              </xdr:nvCxnSpPr>
              <xdr:spPr>
                <a:xfrm rot="10800000" flipH="1">
                  <a:off x="11858625" y="8248650"/>
                  <a:ext cx="390525" cy="57151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62">
                  <a:extLst>
                    <a:ext uri="{FF2B5EF4-FFF2-40B4-BE49-F238E27FC236}">
                      <a16:creationId xmlns:a16="http://schemas.microsoft.com/office/drawing/2014/main" id="{00000000-0008-0000-0100-00004D000000}"/>
                    </a:ext>
                  </a:extLst>
                </xdr:cNvPr>
                <xdr:cNvCxnSpPr/>
              </xdr:nvCxnSpPr>
              <xdr:spPr>
                <a:xfrm rot="-5400000">
                  <a:off x="11558590" y="7967663"/>
                  <a:ext cx="638173" cy="2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63">
                  <a:extLst>
                    <a:ext uri="{FF2B5EF4-FFF2-40B4-BE49-F238E27FC236}">
                      <a16:creationId xmlns:a16="http://schemas.microsoft.com/office/drawing/2014/main" id="{00000000-0008-0000-0100-00004E000000}"/>
                    </a:ext>
                  </a:extLst>
                </xdr:cNvPr>
                <xdr:cNvCxnSpPr/>
              </xdr:nvCxnSpPr>
              <xdr:spPr>
                <a:xfrm rot="-5400000">
                  <a:off x="11939587" y="7929563"/>
                  <a:ext cx="62865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64">
                  <a:extLst>
                    <a:ext uri="{FF2B5EF4-FFF2-40B4-BE49-F238E27FC236}">
                      <a16:creationId xmlns:a16="http://schemas.microsoft.com/office/drawing/2014/main" id="{00000000-0008-0000-0100-00004F000000}"/>
                    </a:ext>
                  </a:extLst>
                </xdr:cNvPr>
                <xdr:cNvCxnSpPr/>
              </xdr:nvCxnSpPr>
              <xdr:spPr>
                <a:xfrm>
                  <a:off x="11706225" y="7639050"/>
                  <a:ext cx="1200150" cy="1588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5">
                  <a:extLst>
                    <a:ext uri="{FF2B5EF4-FFF2-40B4-BE49-F238E27FC236}">
                      <a16:creationId xmlns:a16="http://schemas.microsoft.com/office/drawing/2014/main" id="{00000000-0008-0000-0100-000050000000}"/>
                    </a:ext>
                  </a:extLst>
                </xdr:cNvPr>
                <xdr:cNvCxnSpPr/>
              </xdr:nvCxnSpPr>
              <xdr:spPr>
                <a:xfrm rot="-5400000" flipH="1">
                  <a:off x="12630150" y="7953374"/>
                  <a:ext cx="61912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323850</xdr:colOff>
      <xdr:row>116</xdr:row>
      <xdr:rowOff>95250</xdr:rowOff>
    </xdr:from>
    <xdr:ext cx="3486150" cy="1000125"/>
    <xdr:grpSp>
      <xdr:nvGrpSpPr>
        <xdr:cNvPr id="81" name="Shape 2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pSpPr/>
      </xdr:nvGrpSpPr>
      <xdr:grpSpPr>
        <a:xfrm>
          <a:off x="8589433" y="23166917"/>
          <a:ext cx="3486150" cy="1000125"/>
          <a:chOff x="3602925" y="3279938"/>
          <a:chExt cx="3486150" cy="1000125"/>
        </a:xfrm>
      </xdr:grpSpPr>
      <xdr:grpSp>
        <xdr:nvGrpSpPr>
          <xdr:cNvPr id="82" name="Shape 66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GrpSpPr/>
        </xdr:nvGrpSpPr>
        <xdr:grpSpPr>
          <a:xfrm>
            <a:off x="3602925" y="3279938"/>
            <a:ext cx="3486150" cy="1000125"/>
            <a:chOff x="3607688" y="3279938"/>
            <a:chExt cx="3476625" cy="1000125"/>
          </a:xfrm>
        </xdr:grpSpPr>
        <xdr:sp macro="" textlink="">
          <xdr:nvSpPr>
            <xdr:cNvPr id="83" name="Shape 7">
              <a:extLst>
                <a:ext uri="{FF2B5EF4-FFF2-40B4-BE49-F238E27FC236}">
                  <a16:creationId xmlns:a16="http://schemas.microsoft.com/office/drawing/2014/main" id="{00000000-0008-0000-0100-000053000000}"/>
                </a:ext>
              </a:extLst>
            </xdr:cNvPr>
            <xdr:cNvSpPr/>
          </xdr:nvSpPr>
          <xdr:spPr>
            <a:xfrm>
              <a:off x="3607688" y="3279938"/>
              <a:ext cx="3476625" cy="1000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" name="Shape 67">
              <a:extLst>
                <a:ext uri="{FF2B5EF4-FFF2-40B4-BE49-F238E27FC236}">
                  <a16:creationId xmlns:a16="http://schemas.microsoft.com/office/drawing/2014/main" id="{00000000-0008-0000-0100-000054000000}"/>
                </a:ext>
              </a:extLst>
            </xdr:cNvPr>
            <xdr:cNvCxnSpPr/>
          </xdr:nvCxnSpPr>
          <xdr:spPr>
            <a:xfrm>
              <a:off x="3607688" y="3279938"/>
              <a:ext cx="3476625" cy="10001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2</xdr:col>
      <xdr:colOff>323850</xdr:colOff>
      <xdr:row>117</xdr:row>
      <xdr:rowOff>104775</xdr:rowOff>
    </xdr:from>
    <xdr:ext cx="3810000" cy="1476375"/>
    <xdr:grpSp>
      <xdr:nvGrpSpPr>
        <xdr:cNvPr id="85" name="Shape 2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/>
      </xdr:nvGrpSpPr>
      <xdr:grpSpPr>
        <a:xfrm>
          <a:off x="8589433" y="23377525"/>
          <a:ext cx="3810000" cy="1476375"/>
          <a:chOff x="3441000" y="3041813"/>
          <a:chExt cx="3810000" cy="1476375"/>
        </a:xfrm>
      </xdr:grpSpPr>
      <xdr:grpSp>
        <xdr:nvGrpSpPr>
          <xdr:cNvPr id="86" name="Shape 68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GrpSpPr/>
        </xdr:nvGrpSpPr>
        <xdr:grpSpPr>
          <a:xfrm>
            <a:off x="3441000" y="3041813"/>
            <a:ext cx="3810000" cy="1476375"/>
            <a:chOff x="3445763" y="3041813"/>
            <a:chExt cx="3800475" cy="1476375"/>
          </a:xfrm>
        </xdr:grpSpPr>
        <xdr:sp macro="" textlink="">
          <xdr:nvSpPr>
            <xdr:cNvPr id="87" name="Shape 7">
              <a:extLst>
                <a:ext uri="{FF2B5EF4-FFF2-40B4-BE49-F238E27FC236}">
                  <a16:creationId xmlns:a16="http://schemas.microsoft.com/office/drawing/2014/main" id="{00000000-0008-0000-0100-000057000000}"/>
                </a:ext>
              </a:extLst>
            </xdr:cNvPr>
            <xdr:cNvSpPr/>
          </xdr:nvSpPr>
          <xdr:spPr>
            <a:xfrm>
              <a:off x="3445763" y="3041813"/>
              <a:ext cx="3800475" cy="1476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" name="Shape 69">
              <a:extLst>
                <a:ext uri="{FF2B5EF4-FFF2-40B4-BE49-F238E27FC236}">
                  <a16:creationId xmlns:a16="http://schemas.microsoft.com/office/drawing/2014/main" id="{00000000-0008-0000-0100-000058000000}"/>
                </a:ext>
              </a:extLst>
            </xdr:cNvPr>
            <xdr:cNvCxnSpPr/>
          </xdr:nvCxnSpPr>
          <xdr:spPr>
            <a:xfrm>
              <a:off x="3445763" y="3041813"/>
              <a:ext cx="3800475" cy="147637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666750</xdr:colOff>
      <xdr:row>116</xdr:row>
      <xdr:rowOff>47625</xdr:rowOff>
    </xdr:from>
    <xdr:ext cx="238125" cy="28575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GrpSpPr/>
      </xdr:nvGrpSpPr>
      <xdr:grpSpPr>
        <a:xfrm>
          <a:off x="13451417" y="23119292"/>
          <a:ext cx="238125" cy="28575"/>
          <a:chOff x="5226938" y="3765713"/>
          <a:chExt cx="238125" cy="28575"/>
        </a:xfrm>
      </xdr:grpSpPr>
      <xdr:grpSp>
        <xdr:nvGrpSpPr>
          <xdr:cNvPr id="90" name="Shape 70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GrpSpPr/>
        </xdr:nvGrpSpPr>
        <xdr:grpSpPr>
          <a:xfrm>
            <a:off x="5226938" y="3765713"/>
            <a:ext cx="238125" cy="28575"/>
            <a:chOff x="5226938" y="3775238"/>
            <a:chExt cx="238125" cy="9525"/>
          </a:xfrm>
        </xdr:grpSpPr>
        <xdr:sp macro="" textlink="">
          <xdr:nvSpPr>
            <xdr:cNvPr id="91" name="Shape 7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/>
          </xdr:nvSpPr>
          <xdr:spPr>
            <a:xfrm>
              <a:off x="5226938" y="3775238"/>
              <a:ext cx="2381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" name="Shape 71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CxnSpPr/>
          </xdr:nvCxnSpPr>
          <xdr:spPr>
            <a:xfrm rot="10800000" flipH="1">
              <a:off x="5226938" y="3775238"/>
              <a:ext cx="23812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9525</xdr:colOff>
      <xdr:row>124</xdr:row>
      <xdr:rowOff>171450</xdr:rowOff>
    </xdr:from>
    <xdr:ext cx="23812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11905192" y="24851783"/>
          <a:ext cx="238125" cy="38100"/>
          <a:chOff x="5226938" y="3760950"/>
          <a:chExt cx="238125" cy="38100"/>
        </a:xfrm>
      </xdr:grpSpPr>
      <xdr:grpSp>
        <xdr:nvGrpSpPr>
          <xdr:cNvPr id="94" name="Shape 72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GrpSpPr/>
        </xdr:nvGrpSpPr>
        <xdr:grpSpPr>
          <a:xfrm>
            <a:off x="5226938" y="3760950"/>
            <a:ext cx="238125" cy="38100"/>
            <a:chOff x="5226938" y="3770475"/>
            <a:chExt cx="238125" cy="19050"/>
          </a:xfrm>
        </xdr:grpSpPr>
        <xdr:sp macro="" textlink="">
          <xdr:nvSpPr>
            <xdr:cNvPr id="95" name="Shape 7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/>
          </xdr:nvSpPr>
          <xdr:spPr>
            <a:xfrm>
              <a:off x="5226938" y="3770475"/>
              <a:ext cx="2381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" name="Shape 73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CxnSpPr/>
          </xdr:nvCxnSpPr>
          <xdr:spPr>
            <a:xfrm rot="10800000" flipH="1">
              <a:off x="5226938" y="3770475"/>
              <a:ext cx="2381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5</xdr:col>
      <xdr:colOff>838200</xdr:colOff>
      <xdr:row>130</xdr:row>
      <xdr:rowOff>0</xdr:rowOff>
    </xdr:from>
    <xdr:ext cx="2057400" cy="571500"/>
    <xdr:sp macro="" textlink="">
      <xdr:nvSpPr>
        <xdr:cNvPr id="97" name="Shape 74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4322063" y="3499013"/>
          <a:ext cx="2047875" cy="561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129</xdr:row>
      <xdr:rowOff>219075</xdr:rowOff>
    </xdr:from>
    <xdr:ext cx="28575" cy="542925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GrpSpPr/>
      </xdr:nvGrpSpPr>
      <xdr:grpSpPr>
        <a:xfrm>
          <a:off x="12133792" y="25881965"/>
          <a:ext cx="28575" cy="542925"/>
          <a:chOff x="5331713" y="3508538"/>
          <a:chExt cx="28575" cy="542925"/>
        </a:xfrm>
      </xdr:grpSpPr>
      <xdr:grpSp>
        <xdr:nvGrpSpPr>
          <xdr:cNvPr id="103" name="Shape 77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GrpSpPr/>
        </xdr:nvGrpSpPr>
        <xdr:grpSpPr>
          <a:xfrm>
            <a:off x="5331713" y="3508538"/>
            <a:ext cx="28575" cy="542925"/>
            <a:chOff x="5341238" y="3508538"/>
            <a:chExt cx="9525" cy="542925"/>
          </a:xfrm>
        </xdr:grpSpPr>
        <xdr:sp macro="" textlink="">
          <xdr:nvSpPr>
            <xdr:cNvPr id="104" name="Shape 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/>
          </xdr:nvSpPr>
          <xdr:spPr>
            <a:xfrm>
              <a:off x="5341238" y="3508538"/>
              <a:ext cx="9525" cy="542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" name="Shape 7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CxnSpPr/>
          </xdr:nvCxnSpPr>
          <xdr:spPr>
            <a:xfrm>
              <a:off x="5341238" y="3508538"/>
              <a:ext cx="9525" cy="542925"/>
            </a:xfrm>
            <a:prstGeom prst="straightConnector1">
              <a:avLst/>
            </a:prstGeom>
            <a:noFill/>
            <a:ln w="9525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7</xdr:col>
      <xdr:colOff>9525</xdr:colOff>
      <xdr:row>131</xdr:row>
      <xdr:rowOff>9525</xdr:rowOff>
    </xdr:from>
    <xdr:ext cx="38100" cy="36195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GrpSpPr/>
      </xdr:nvGrpSpPr>
      <xdr:grpSpPr>
        <a:xfrm rot="312693">
          <a:off x="12794192" y="26097442"/>
          <a:ext cx="38100" cy="361950"/>
          <a:chOff x="5326950" y="3599025"/>
          <a:chExt cx="38100" cy="361950"/>
        </a:xfrm>
      </xdr:grpSpPr>
      <xdr:grpSp>
        <xdr:nvGrpSpPr>
          <xdr:cNvPr id="107" name="Shape 79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GrpSpPr/>
        </xdr:nvGrpSpPr>
        <xdr:grpSpPr>
          <a:xfrm>
            <a:off x="5326950" y="3599025"/>
            <a:ext cx="38100" cy="361950"/>
            <a:chOff x="5341238" y="3599025"/>
            <a:chExt cx="9525" cy="361950"/>
          </a:xfrm>
        </xdr:grpSpPr>
        <xdr:sp macro="" textlink="">
          <xdr:nvSpPr>
            <xdr:cNvPr id="108" name="Shape 7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/>
          </xdr:nvSpPr>
          <xdr:spPr>
            <a:xfrm>
              <a:off x="5341238" y="3599025"/>
              <a:ext cx="9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" name="Shape 80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CxnSpPr/>
          </xdr:nvCxnSpPr>
          <xdr:spPr>
            <a:xfrm rot="10800000">
              <a:off x="5341238" y="3599025"/>
              <a:ext cx="9525" cy="3619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10</xdr:col>
      <xdr:colOff>714375</xdr:colOff>
      <xdr:row>145</xdr:row>
      <xdr:rowOff>-19050</xdr:rowOff>
    </xdr:from>
    <xdr:ext cx="628650" cy="2019300"/>
    <xdr:sp macro="" textlink="">
      <xdr:nvSpPr>
        <xdr:cNvPr id="110" name="Shape 8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041200" y="2779875"/>
          <a:ext cx="609600" cy="2000250"/>
        </a:xfrm>
        <a:custGeom>
          <a:avLst/>
          <a:gdLst/>
          <a:ahLst/>
          <a:cxnLst/>
          <a:rect l="l" t="t" r="r" b="b"/>
          <a:pathLst>
            <a:path w="629405" h="1893795" extrusionOk="0">
              <a:moveTo>
                <a:pt x="24287" y="0"/>
              </a:moveTo>
              <a:cubicBezTo>
                <a:pt x="20552" y="52294"/>
                <a:pt x="13082" y="104455"/>
                <a:pt x="13082" y="156883"/>
              </a:cubicBezTo>
              <a:cubicBezTo>
                <a:pt x="13082" y="179604"/>
                <a:pt x="1795" y="220905"/>
                <a:pt x="24287" y="224118"/>
              </a:cubicBezTo>
              <a:cubicBezTo>
                <a:pt x="124400" y="238420"/>
                <a:pt x="326846" y="201706"/>
                <a:pt x="326846" y="201706"/>
              </a:cubicBezTo>
              <a:cubicBezTo>
                <a:pt x="565941" y="215771"/>
                <a:pt x="500682" y="149277"/>
                <a:pt x="528552" y="302559"/>
              </a:cubicBezTo>
              <a:cubicBezTo>
                <a:pt x="530665" y="314181"/>
                <a:pt x="536023" y="324971"/>
                <a:pt x="539758" y="336177"/>
              </a:cubicBezTo>
              <a:cubicBezTo>
                <a:pt x="543493" y="496795"/>
                <a:pt x="543985" y="657521"/>
                <a:pt x="550964" y="818030"/>
              </a:cubicBezTo>
              <a:cubicBezTo>
                <a:pt x="553098" y="867122"/>
                <a:pt x="586183" y="843643"/>
                <a:pt x="528552" y="862853"/>
              </a:cubicBezTo>
              <a:cubicBezTo>
                <a:pt x="465052" y="859118"/>
                <a:pt x="401423" y="857157"/>
                <a:pt x="338052" y="851647"/>
              </a:cubicBezTo>
              <a:cubicBezTo>
                <a:pt x="315417" y="849679"/>
                <a:pt x="293338" y="843445"/>
                <a:pt x="270817" y="840442"/>
              </a:cubicBezTo>
              <a:cubicBezTo>
                <a:pt x="237289" y="835972"/>
                <a:pt x="203582" y="832971"/>
                <a:pt x="169964" y="829236"/>
              </a:cubicBezTo>
              <a:cubicBezTo>
                <a:pt x="132611" y="832971"/>
                <a:pt x="72692" y="805938"/>
                <a:pt x="57905" y="840442"/>
              </a:cubicBezTo>
              <a:cubicBezTo>
                <a:pt x="28440" y="909193"/>
                <a:pt x="62631" y="990041"/>
                <a:pt x="69111" y="1064559"/>
              </a:cubicBezTo>
              <a:cubicBezTo>
                <a:pt x="70134" y="1076327"/>
                <a:pt x="69350" y="1093790"/>
                <a:pt x="80317" y="1098177"/>
              </a:cubicBezTo>
              <a:cubicBezTo>
                <a:pt x="111722" y="1110739"/>
                <a:pt x="147417" y="1107182"/>
                <a:pt x="181170" y="1109383"/>
              </a:cubicBezTo>
              <a:cubicBezTo>
                <a:pt x="319284" y="1118391"/>
                <a:pt x="595787" y="1131795"/>
                <a:pt x="595787" y="1131795"/>
              </a:cubicBezTo>
              <a:cubicBezTo>
                <a:pt x="599522" y="1143001"/>
                <a:pt x="604128" y="1153953"/>
                <a:pt x="606993" y="1165412"/>
              </a:cubicBezTo>
              <a:cubicBezTo>
                <a:pt x="614823" y="1196733"/>
                <a:pt x="624410" y="1258707"/>
                <a:pt x="629405" y="1288677"/>
              </a:cubicBezTo>
              <a:cubicBezTo>
                <a:pt x="625670" y="1438089"/>
                <a:pt x="633448" y="1588234"/>
                <a:pt x="618199" y="1736912"/>
              </a:cubicBezTo>
              <a:cubicBezTo>
                <a:pt x="616994" y="1748662"/>
                <a:pt x="596290" y="1727267"/>
                <a:pt x="584582" y="1725706"/>
              </a:cubicBezTo>
              <a:cubicBezTo>
                <a:pt x="539998" y="1719761"/>
                <a:pt x="494935" y="1718235"/>
                <a:pt x="450111" y="1714500"/>
              </a:cubicBezTo>
              <a:cubicBezTo>
                <a:pt x="427699" y="1718235"/>
                <a:pt x="404431" y="1718521"/>
                <a:pt x="382876" y="1725706"/>
              </a:cubicBezTo>
              <a:cubicBezTo>
                <a:pt x="370099" y="1729965"/>
                <a:pt x="362707" y="1747410"/>
                <a:pt x="349258" y="1748118"/>
              </a:cubicBezTo>
              <a:lnTo>
                <a:pt x="169964" y="1736912"/>
              </a:lnTo>
              <a:cubicBezTo>
                <a:pt x="-17585" y="1749415"/>
                <a:pt x="-12932" y="1692882"/>
                <a:pt x="13082" y="1848971"/>
              </a:cubicBezTo>
              <a:cubicBezTo>
                <a:pt x="25468" y="1923290"/>
                <a:pt x="24287" y="1859027"/>
                <a:pt x="24287" y="1893795"/>
              </a:cubicBezTo>
            </a:path>
          </a:pathLst>
        </a:cu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438150</xdr:colOff>
      <xdr:row>156</xdr:row>
      <xdr:rowOff>114300</xdr:rowOff>
    </xdr:from>
    <xdr:ext cx="1362075" cy="133350"/>
    <xdr:sp macro="" textlink="">
      <xdr:nvSpPr>
        <xdr:cNvPr id="111" name="Shape 82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4674488" y="3722850"/>
          <a:ext cx="1343025" cy="11430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419100</xdr:colOff>
      <xdr:row>158</xdr:row>
      <xdr:rowOff>-9525</xdr:rowOff>
    </xdr:from>
    <xdr:ext cx="1362075" cy="114300"/>
    <xdr:sp macro="" textlink="">
      <xdr:nvSpPr>
        <xdr:cNvPr id="112" name="Shape 83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4674488" y="3732375"/>
          <a:ext cx="1343025" cy="9525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428625</xdr:colOff>
      <xdr:row>159</xdr:row>
      <xdr:rowOff>38100</xdr:rowOff>
    </xdr:from>
    <xdr:ext cx="1362075" cy="114300"/>
    <xdr:sp macro="" textlink="">
      <xdr:nvSpPr>
        <xdr:cNvPr id="113" name="Shape 8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4674488" y="3732375"/>
          <a:ext cx="1343025" cy="9525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447675</xdr:colOff>
      <xdr:row>154</xdr:row>
      <xdr:rowOff>142875</xdr:rowOff>
    </xdr:from>
    <xdr:ext cx="28575" cy="257175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18820342" y="31035625"/>
          <a:ext cx="28575" cy="257175"/>
          <a:chOff x="5331713" y="308136"/>
          <a:chExt cx="28575" cy="6943725"/>
        </a:xfrm>
      </xdr:grpSpPr>
      <xdr:grpSp>
        <xdr:nvGrpSpPr>
          <xdr:cNvPr id="115" name="Shape 8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116" name="Shape 7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" name="Shape 85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14</xdr:col>
      <xdr:colOff>438150</xdr:colOff>
      <xdr:row>157</xdr:row>
      <xdr:rowOff>57150</xdr:rowOff>
    </xdr:from>
    <xdr:ext cx="28575" cy="24765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GrpSpPr/>
      </xdr:nvGrpSpPr>
      <xdr:grpSpPr>
        <a:xfrm>
          <a:off x="18810817" y="31553150"/>
          <a:ext cx="28575" cy="247650"/>
          <a:chOff x="5331713" y="560548"/>
          <a:chExt cx="28575" cy="6438900"/>
        </a:xfrm>
      </xdr:grpSpPr>
      <xdr:grpSp>
        <xdr:nvGrpSpPr>
          <xdr:cNvPr id="119" name="Shape 86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GrpSpPr/>
        </xdr:nvGrpSpPr>
        <xdr:grpSpPr>
          <a:xfrm>
            <a:off x="5331713" y="560548"/>
            <a:ext cx="28575" cy="6438900"/>
            <a:chOff x="5222175" y="3656175"/>
            <a:chExt cx="247650" cy="247650"/>
          </a:xfrm>
        </xdr:grpSpPr>
        <xdr:sp macro="" textlink="">
          <xdr:nvSpPr>
            <xdr:cNvPr id="120" name="Shape 7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/>
          </xdr:nvSpPr>
          <xdr:spPr>
            <a:xfrm>
              <a:off x="5222175" y="3775238"/>
              <a:ext cx="2476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21" name="Shape 87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CxnSpPr/>
          </xdr:nvCxnSpPr>
          <xdr:spPr>
            <a:xfrm rot="-5400000" flipH="1">
              <a:off x="5222175" y="3775238"/>
              <a:ext cx="2476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5</xdr:col>
      <xdr:colOff>-9525</xdr:colOff>
      <xdr:row>169</xdr:row>
      <xdr:rowOff>152400</xdr:rowOff>
    </xdr:from>
    <xdr:ext cx="1724025" cy="1076325"/>
    <xdr:sp macro="" textlink="">
      <xdr:nvSpPr>
        <xdr:cNvPr id="122" name="Shape 88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4493513" y="3251363"/>
          <a:ext cx="1704975" cy="10572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152400</xdr:colOff>
      <xdr:row>171</xdr:row>
      <xdr:rowOff>104775</xdr:rowOff>
    </xdr:from>
    <xdr:ext cx="142875" cy="161925"/>
    <xdr:sp macro="" textlink="">
      <xdr:nvSpPr>
        <xdr:cNvPr id="123" name="Shape 8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284088" y="3708563"/>
          <a:ext cx="123825" cy="14287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57150</xdr:colOff>
      <xdr:row>171</xdr:row>
      <xdr:rowOff>123825</xdr:rowOff>
    </xdr:from>
    <xdr:ext cx="142875" cy="161925"/>
    <xdr:sp macro="" textlink="">
      <xdr:nvSpPr>
        <xdr:cNvPr id="124" name="Shape 8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284088" y="3708563"/>
          <a:ext cx="123825" cy="14287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142875</xdr:colOff>
      <xdr:row>173</xdr:row>
      <xdr:rowOff>28575</xdr:rowOff>
    </xdr:from>
    <xdr:ext cx="142875" cy="142875"/>
    <xdr:sp macro="" textlink="">
      <xdr:nvSpPr>
        <xdr:cNvPr id="125" name="Shape 90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66675</xdr:colOff>
      <xdr:row>173</xdr:row>
      <xdr:rowOff>38100</xdr:rowOff>
    </xdr:from>
    <xdr:ext cx="142875" cy="142875"/>
    <xdr:sp macro="" textlink="">
      <xdr:nvSpPr>
        <xdr:cNvPr id="126" name="Shape 90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171</xdr:row>
      <xdr:rowOff>104775</xdr:rowOff>
    </xdr:from>
    <xdr:ext cx="142875" cy="161925"/>
    <xdr:sp macro="" textlink="">
      <xdr:nvSpPr>
        <xdr:cNvPr id="127" name="Shape 89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284088" y="3708563"/>
          <a:ext cx="123825" cy="14287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428625</xdr:colOff>
      <xdr:row>171</xdr:row>
      <xdr:rowOff>114300</xdr:rowOff>
    </xdr:from>
    <xdr:ext cx="142875" cy="161925"/>
    <xdr:sp macro="" textlink="">
      <xdr:nvSpPr>
        <xdr:cNvPr id="128" name="Shape 89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284088" y="3708563"/>
          <a:ext cx="123825" cy="14287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173</xdr:row>
      <xdr:rowOff>28575</xdr:rowOff>
    </xdr:from>
    <xdr:ext cx="142875" cy="142875"/>
    <xdr:sp macro="" textlink="">
      <xdr:nvSpPr>
        <xdr:cNvPr id="129" name="Shape 90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438150</xdr:colOff>
      <xdr:row>173</xdr:row>
      <xdr:rowOff>47625</xdr:rowOff>
    </xdr:from>
    <xdr:ext cx="142875" cy="142875"/>
    <xdr:sp macro="" textlink="">
      <xdr:nvSpPr>
        <xdr:cNvPr id="130" name="Shape 90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285750</xdr:colOff>
      <xdr:row>172</xdr:row>
      <xdr:rowOff>28575</xdr:rowOff>
    </xdr:from>
    <xdr:ext cx="2524125" cy="1676400"/>
    <xdr:grpSp>
      <xdr:nvGrpSpPr>
        <xdr:cNvPr id="131" name="Shape 2" title="Dibujo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GrpSpPr/>
      </xdr:nvGrpSpPr>
      <xdr:grpSpPr>
        <a:xfrm>
          <a:off x="8551333" y="34540825"/>
          <a:ext cx="2524125" cy="1676400"/>
          <a:chOff x="4083938" y="2941800"/>
          <a:chExt cx="2524125" cy="1676400"/>
        </a:xfrm>
      </xdr:grpSpPr>
      <xdr:grpSp>
        <xdr:nvGrpSpPr>
          <xdr:cNvPr id="132" name="Shape 91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GrpSpPr/>
        </xdr:nvGrpSpPr>
        <xdr:grpSpPr>
          <a:xfrm>
            <a:off x="4083938" y="2941800"/>
            <a:ext cx="2524125" cy="1676400"/>
            <a:chOff x="4088700" y="2946638"/>
            <a:chExt cx="2514600" cy="1666800"/>
          </a:xfrm>
        </xdr:grpSpPr>
        <xdr:sp macro="" textlink="">
          <xdr:nvSpPr>
            <xdr:cNvPr id="133" name="Shape 7">
              <a:extLst>
                <a:ext uri="{FF2B5EF4-FFF2-40B4-BE49-F238E27FC236}">
                  <a16:creationId xmlns:a16="http://schemas.microsoft.com/office/drawing/2014/main" id="{00000000-0008-0000-0100-000085000000}"/>
                </a:ext>
              </a:extLst>
            </xdr:cNvPr>
            <xdr:cNvSpPr/>
          </xdr:nvSpPr>
          <xdr:spPr>
            <a:xfrm>
              <a:off x="4088700" y="2946638"/>
              <a:ext cx="2514600" cy="166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4" name="Shape 92">
              <a:extLst>
                <a:ext uri="{FF2B5EF4-FFF2-40B4-BE49-F238E27FC236}">
                  <a16:creationId xmlns:a16="http://schemas.microsoft.com/office/drawing/2014/main" id="{00000000-0008-0000-0100-000086000000}"/>
                </a:ext>
              </a:extLst>
            </xdr:cNvPr>
            <xdr:cNvCxnSpPr>
              <a:endCxn id="89" idx="3"/>
            </xdr:cNvCxnSpPr>
          </xdr:nvCxnSpPr>
          <xdr:spPr>
            <a:xfrm rot="10800000" flipH="1">
              <a:off x="4088700" y="2946638"/>
              <a:ext cx="2514600" cy="16668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695325</xdr:colOff>
      <xdr:row>172</xdr:row>
      <xdr:rowOff>152400</xdr:rowOff>
    </xdr:from>
    <xdr:ext cx="28575" cy="257175"/>
    <xdr:grpSp>
      <xdr:nvGrpSpPr>
        <xdr:cNvPr id="135" name="Shape 2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GrpSpPr/>
      </xdr:nvGrpSpPr>
      <xdr:grpSpPr>
        <a:xfrm>
          <a:off x="10812992" y="34664650"/>
          <a:ext cx="28575" cy="257175"/>
          <a:chOff x="5331713" y="308136"/>
          <a:chExt cx="28575" cy="6943725"/>
        </a:xfrm>
      </xdr:grpSpPr>
      <xdr:grpSp>
        <xdr:nvGrpSpPr>
          <xdr:cNvPr id="136" name="Shape 93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137" name="Shape 7">
              <a:extLst>
                <a:ext uri="{FF2B5EF4-FFF2-40B4-BE49-F238E27FC236}">
                  <a16:creationId xmlns:a16="http://schemas.microsoft.com/office/drawing/2014/main" id="{00000000-0008-0000-0100-00008900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8" name="Shape 94">
              <a:extLst>
                <a:ext uri="{FF2B5EF4-FFF2-40B4-BE49-F238E27FC236}">
                  <a16:creationId xmlns:a16="http://schemas.microsoft.com/office/drawing/2014/main" id="{00000000-0008-0000-0100-00008A00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123825</xdr:colOff>
      <xdr:row>171</xdr:row>
      <xdr:rowOff>0</xdr:rowOff>
    </xdr:from>
    <xdr:ext cx="38100" cy="809625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GrpSpPr/>
      </xdr:nvGrpSpPr>
      <xdr:grpSpPr>
        <a:xfrm>
          <a:off x="12908492" y="34311167"/>
          <a:ext cx="38100" cy="809625"/>
          <a:chOff x="5326950" y="3375188"/>
          <a:chExt cx="38100" cy="809625"/>
        </a:xfrm>
      </xdr:grpSpPr>
      <xdr:grpSp>
        <xdr:nvGrpSpPr>
          <xdr:cNvPr id="140" name="Shape 95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GrpSpPr/>
        </xdr:nvGrpSpPr>
        <xdr:grpSpPr>
          <a:xfrm>
            <a:off x="5326950" y="3375188"/>
            <a:ext cx="38100" cy="809625"/>
            <a:chOff x="5336475" y="3375188"/>
            <a:chExt cx="19050" cy="809625"/>
          </a:xfrm>
        </xdr:grpSpPr>
        <xdr:sp macro="" textlink="">
          <xdr:nvSpPr>
            <xdr:cNvPr id="141" name="Shape 7">
              <a:extLst>
                <a:ext uri="{FF2B5EF4-FFF2-40B4-BE49-F238E27FC236}">
                  <a16:creationId xmlns:a16="http://schemas.microsoft.com/office/drawing/2014/main" id="{00000000-0008-0000-0100-00008D000000}"/>
                </a:ext>
              </a:extLst>
            </xdr:cNvPr>
            <xdr:cNvSpPr/>
          </xdr:nvSpPr>
          <xdr:spPr>
            <a:xfrm>
              <a:off x="5336475" y="3375188"/>
              <a:ext cx="19050" cy="809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2" name="Shape 96">
              <a:extLst>
                <a:ext uri="{FF2B5EF4-FFF2-40B4-BE49-F238E27FC236}">
                  <a16:creationId xmlns:a16="http://schemas.microsoft.com/office/drawing/2014/main" id="{00000000-0008-0000-0100-00008E000000}"/>
                </a:ext>
              </a:extLst>
            </xdr:cNvPr>
            <xdr:cNvCxnSpPr/>
          </xdr:nvCxnSpPr>
          <xdr:spPr>
            <a:xfrm flipH="1">
              <a:off x="5336475" y="3375188"/>
              <a:ext cx="19050" cy="8096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5</xdr:col>
      <xdr:colOff>0</xdr:colOff>
      <xdr:row>176</xdr:row>
      <xdr:rowOff>-9525</xdr:rowOff>
    </xdr:from>
    <xdr:ext cx="1704975" cy="38100"/>
    <xdr:grpSp>
      <xdr:nvGrpSpPr>
        <xdr:cNvPr id="143" name="Shape 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GrpSpPr/>
      </xdr:nvGrpSpPr>
      <xdr:grpSpPr>
        <a:xfrm>
          <a:off x="11006667" y="35307058"/>
          <a:ext cx="1704975" cy="38100"/>
          <a:chOff x="4493513" y="3760950"/>
          <a:chExt cx="1704975" cy="38100"/>
        </a:xfrm>
      </xdr:grpSpPr>
      <xdr:grpSp>
        <xdr:nvGrpSpPr>
          <xdr:cNvPr id="144" name="Shape 97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GrpSpPr/>
        </xdr:nvGrpSpPr>
        <xdr:grpSpPr>
          <a:xfrm>
            <a:off x="4493513" y="3760950"/>
            <a:ext cx="1704975" cy="38100"/>
            <a:chOff x="4493513" y="3770475"/>
            <a:chExt cx="1704975" cy="19050"/>
          </a:xfrm>
        </xdr:grpSpPr>
        <xdr:sp macro="" textlink="">
          <xdr:nvSpPr>
            <xdr:cNvPr id="145" name="Shape 7">
              <a:extLst>
                <a:ext uri="{FF2B5EF4-FFF2-40B4-BE49-F238E27FC236}">
                  <a16:creationId xmlns:a16="http://schemas.microsoft.com/office/drawing/2014/main" id="{00000000-0008-0000-0100-000091000000}"/>
                </a:ext>
              </a:extLst>
            </xdr:cNvPr>
            <xdr:cNvSpPr/>
          </xdr:nvSpPr>
          <xdr:spPr>
            <a:xfrm>
              <a:off x="4493513" y="3770475"/>
              <a:ext cx="17049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6" name="Shape 98">
              <a:extLst>
                <a:ext uri="{FF2B5EF4-FFF2-40B4-BE49-F238E27FC236}">
                  <a16:creationId xmlns:a16="http://schemas.microsoft.com/office/drawing/2014/main" id="{00000000-0008-0000-0100-000092000000}"/>
                </a:ext>
              </a:extLst>
            </xdr:cNvPr>
            <xdr:cNvCxnSpPr/>
          </xdr:nvCxnSpPr>
          <xdr:spPr>
            <a:xfrm rot="10800000" flipH="1">
              <a:off x="4493513" y="3770475"/>
              <a:ext cx="170497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171450</xdr:colOff>
      <xdr:row>17</xdr:row>
      <xdr:rowOff>123825</xdr:rowOff>
    </xdr:from>
    <xdr:ext cx="476250" cy="38100"/>
    <xdr:grpSp>
      <xdr:nvGrpSpPr>
        <xdr:cNvPr id="147" name="Shape 2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GrpSpPr/>
      </xdr:nvGrpSpPr>
      <xdr:grpSpPr>
        <a:xfrm>
          <a:off x="10289117" y="3362325"/>
          <a:ext cx="476250" cy="38100"/>
          <a:chOff x="5107875" y="3760949"/>
          <a:chExt cx="476250" cy="38100"/>
        </a:xfrm>
      </xdr:grpSpPr>
      <xdr:grpSp>
        <xdr:nvGrpSpPr>
          <xdr:cNvPr id="148" name="Shape 99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GrpSpPr/>
        </xdr:nvGrpSpPr>
        <xdr:grpSpPr>
          <a:xfrm>
            <a:off x="5107875" y="3760949"/>
            <a:ext cx="476250" cy="38100"/>
            <a:chOff x="5107875" y="3775238"/>
            <a:chExt cx="476250" cy="9525"/>
          </a:xfrm>
        </xdr:grpSpPr>
        <xdr:sp macro="" textlink="">
          <xdr:nvSpPr>
            <xdr:cNvPr id="149" name="Shape 7">
              <a:extLst>
                <a:ext uri="{FF2B5EF4-FFF2-40B4-BE49-F238E27FC236}">
                  <a16:creationId xmlns:a16="http://schemas.microsoft.com/office/drawing/2014/main" id="{00000000-0008-0000-0100-000095000000}"/>
                </a:ext>
              </a:extLst>
            </xdr:cNvPr>
            <xdr:cNvSpPr/>
          </xdr:nvSpPr>
          <xdr:spPr>
            <a:xfrm>
              <a:off x="5107875" y="3775238"/>
              <a:ext cx="4762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50" name="Shape 100">
              <a:extLst>
                <a:ext uri="{FF2B5EF4-FFF2-40B4-BE49-F238E27FC236}">
                  <a16:creationId xmlns:a16="http://schemas.microsoft.com/office/drawing/2014/main" id="{00000000-0008-0000-0100-000096000000}"/>
                </a:ext>
              </a:extLst>
            </xdr:cNvPr>
            <xdr:cNvCxnSpPr/>
          </xdr:nvCxnSpPr>
          <xdr:spPr>
            <a:xfrm rot="10800000">
              <a:off x="5107875" y="3775238"/>
              <a:ext cx="4762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666750</xdr:colOff>
      <xdr:row>36</xdr:row>
      <xdr:rowOff>57150</xdr:rowOff>
    </xdr:from>
    <xdr:ext cx="209550" cy="38100"/>
    <xdr:grpSp>
      <xdr:nvGrpSpPr>
        <xdr:cNvPr id="152" name="Shape 2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GrpSpPr/>
      </xdr:nvGrpSpPr>
      <xdr:grpSpPr>
        <a:xfrm>
          <a:off x="13451417" y="7063317"/>
          <a:ext cx="209550" cy="38100"/>
          <a:chOff x="5241225" y="3760950"/>
          <a:chExt cx="209550" cy="38100"/>
        </a:xfrm>
      </xdr:grpSpPr>
      <xdr:grpSp>
        <xdr:nvGrpSpPr>
          <xdr:cNvPr id="153" name="Shape 102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GrpSpPr/>
        </xdr:nvGrpSpPr>
        <xdr:grpSpPr>
          <a:xfrm>
            <a:off x="5241225" y="3760950"/>
            <a:ext cx="209550" cy="38100"/>
            <a:chOff x="5241225" y="3775163"/>
            <a:chExt cx="209400" cy="9600"/>
          </a:xfrm>
        </xdr:grpSpPr>
        <xdr:sp macro="" textlink="">
          <xdr:nvSpPr>
            <xdr:cNvPr id="154" name="Shape 7">
              <a:extLst>
                <a:ext uri="{FF2B5EF4-FFF2-40B4-BE49-F238E27FC236}">
                  <a16:creationId xmlns:a16="http://schemas.microsoft.com/office/drawing/2014/main" id="{00000000-0008-0000-0100-00009A000000}"/>
                </a:ext>
              </a:extLst>
            </xdr:cNvPr>
            <xdr:cNvSpPr/>
          </xdr:nvSpPr>
          <xdr:spPr>
            <a:xfrm>
              <a:off x="5241225" y="3775163"/>
              <a:ext cx="209400" cy="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55" name="Shape 103">
              <a:extLst>
                <a:ext uri="{FF2B5EF4-FFF2-40B4-BE49-F238E27FC236}">
                  <a16:creationId xmlns:a16="http://schemas.microsoft.com/office/drawing/2014/main" id="{00000000-0008-0000-0100-00009B000000}"/>
                </a:ext>
              </a:extLst>
            </xdr:cNvPr>
            <xdr:cNvCxnSpPr>
              <a:stCxn id="57" idx="3"/>
            </xdr:cNvCxnSpPr>
          </xdr:nvCxnSpPr>
          <xdr:spPr>
            <a:xfrm rot="10800000" flipH="1">
              <a:off x="5241225" y="3775163"/>
              <a:ext cx="209400" cy="96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7</xdr:col>
      <xdr:colOff>123825</xdr:colOff>
      <xdr:row>36</xdr:row>
      <xdr:rowOff>0</xdr:rowOff>
    </xdr:from>
    <xdr:ext cx="533400" cy="161925"/>
    <xdr:sp macro="" textlink="">
      <xdr:nvSpPr>
        <xdr:cNvPr id="156" name="Shape 57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5084063" y="3703800"/>
          <a:ext cx="523875" cy="152400"/>
        </a:xfrm>
        <a:custGeom>
          <a:avLst/>
          <a:gdLst/>
          <a:ahLst/>
          <a:cxnLst/>
          <a:rect l="l" t="t" r="r" b="b"/>
          <a:pathLst>
            <a:path w="392206" h="123265" extrusionOk="0">
              <a:moveTo>
                <a:pt x="0" y="0"/>
              </a:moveTo>
              <a:cubicBezTo>
                <a:pt x="93382" y="23345"/>
                <a:pt x="186764" y="46691"/>
                <a:pt x="224117" y="67235"/>
              </a:cubicBezTo>
              <a:cubicBezTo>
                <a:pt x="261470" y="87779"/>
                <a:pt x="196102" y="123265"/>
                <a:pt x="224117" y="123265"/>
              </a:cubicBezTo>
              <a:cubicBezTo>
                <a:pt x="252132" y="123265"/>
                <a:pt x="322169" y="95250"/>
                <a:pt x="392206" y="67235"/>
              </a:cubicBezTo>
            </a:path>
          </a:pathLst>
        </a:cu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647700</xdr:colOff>
      <xdr:row>36</xdr:row>
      <xdr:rowOff>133350</xdr:rowOff>
    </xdr:from>
    <xdr:ext cx="1790700" cy="38100"/>
    <xdr:grpSp>
      <xdr:nvGrpSpPr>
        <xdr:cNvPr id="157" name="Shape 2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GrpSpPr/>
      </xdr:nvGrpSpPr>
      <xdr:grpSpPr>
        <a:xfrm>
          <a:off x="12543367" y="7139517"/>
          <a:ext cx="1790700" cy="38100"/>
          <a:chOff x="4450650" y="3760950"/>
          <a:chExt cx="1790700" cy="38100"/>
        </a:xfrm>
      </xdr:grpSpPr>
      <xdr:grpSp>
        <xdr:nvGrpSpPr>
          <xdr:cNvPr id="158" name="Shape 104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GrpSpPr/>
        </xdr:nvGrpSpPr>
        <xdr:grpSpPr>
          <a:xfrm>
            <a:off x="4450650" y="3760950"/>
            <a:ext cx="1790700" cy="38100"/>
            <a:chOff x="4450650" y="3770475"/>
            <a:chExt cx="1790700" cy="18900"/>
          </a:xfrm>
        </xdr:grpSpPr>
        <xdr:sp macro="" textlink="">
          <xdr:nvSpPr>
            <xdr:cNvPr id="159" name="Shape 7">
              <a:extLst>
                <a:ext uri="{FF2B5EF4-FFF2-40B4-BE49-F238E27FC236}">
                  <a16:creationId xmlns:a16="http://schemas.microsoft.com/office/drawing/2014/main" id="{00000000-0008-0000-0100-00009F000000}"/>
                </a:ext>
              </a:extLst>
            </xdr:cNvPr>
            <xdr:cNvSpPr/>
          </xdr:nvSpPr>
          <xdr:spPr>
            <a:xfrm>
              <a:off x="4450650" y="3770475"/>
              <a:ext cx="1790700" cy="18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60" name="Shape 105">
              <a:extLst>
                <a:ext uri="{FF2B5EF4-FFF2-40B4-BE49-F238E27FC236}">
                  <a16:creationId xmlns:a16="http://schemas.microsoft.com/office/drawing/2014/main" id="{00000000-0008-0000-0100-0000A0000000}"/>
                </a:ext>
              </a:extLst>
            </xdr:cNvPr>
            <xdr:cNvCxnSpPr>
              <a:stCxn id="54" idx="2"/>
            </xdr:cNvCxnSpPr>
          </xdr:nvCxnSpPr>
          <xdr:spPr>
            <a:xfrm>
              <a:off x="4450650" y="3770475"/>
              <a:ext cx="1790700" cy="18900"/>
            </a:xfrm>
            <a:prstGeom prst="straightConnector1">
              <a:avLst/>
            </a:prstGeom>
            <a:noFill/>
            <a:ln w="9525" cap="flat" cmpd="sng">
              <a:solidFill>
                <a:schemeClr val="dk1"/>
              </a:solidFill>
              <a:prstDash val="dashDot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4</xdr:col>
      <xdr:colOff>847725</xdr:colOff>
      <xdr:row>116</xdr:row>
      <xdr:rowOff>76200</xdr:rowOff>
    </xdr:from>
    <xdr:ext cx="2914650" cy="19526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GrpSpPr/>
      </xdr:nvGrpSpPr>
      <xdr:grpSpPr>
        <a:xfrm>
          <a:off x="10965392" y="23147867"/>
          <a:ext cx="2914650" cy="1952625"/>
          <a:chOff x="3888675" y="2803688"/>
          <a:chExt cx="2914650" cy="1952625"/>
        </a:xfrm>
      </xdr:grpSpPr>
      <xdr:grpSp>
        <xdr:nvGrpSpPr>
          <xdr:cNvPr id="162" name="Shape 106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GrpSpPr/>
        </xdr:nvGrpSpPr>
        <xdr:grpSpPr>
          <a:xfrm>
            <a:off x="3888675" y="2803688"/>
            <a:ext cx="2914650" cy="1952625"/>
            <a:chOff x="3888675" y="2803688"/>
            <a:chExt cx="2914650" cy="1952625"/>
          </a:xfrm>
        </xdr:grpSpPr>
        <xdr:sp macro="" textlink="">
          <xdr:nvSpPr>
            <xdr:cNvPr id="163" name="Shape 7">
              <a:extLst>
                <a:ext uri="{FF2B5EF4-FFF2-40B4-BE49-F238E27FC236}">
                  <a16:creationId xmlns:a16="http://schemas.microsoft.com/office/drawing/2014/main" id="{00000000-0008-0000-0100-0000A3000000}"/>
                </a:ext>
              </a:extLst>
            </xdr:cNvPr>
            <xdr:cNvSpPr/>
          </xdr:nvSpPr>
          <xdr:spPr>
            <a:xfrm>
              <a:off x="3888675" y="2803688"/>
              <a:ext cx="2914650" cy="1952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07">
              <a:extLst>
                <a:ext uri="{FF2B5EF4-FFF2-40B4-BE49-F238E27FC236}">
                  <a16:creationId xmlns:a16="http://schemas.microsoft.com/office/drawing/2014/main" id="{00000000-0008-0000-0100-0000A4000000}"/>
                </a:ext>
              </a:extLst>
            </xdr:cNvPr>
            <xdr:cNvGrpSpPr/>
          </xdr:nvGrpSpPr>
          <xdr:grpSpPr>
            <a:xfrm>
              <a:off x="3888675" y="2803688"/>
              <a:ext cx="2914650" cy="1952625"/>
              <a:chOff x="9639300" y="9031710"/>
              <a:chExt cx="2914650" cy="1874415"/>
            </a:xfrm>
          </xdr:grpSpPr>
          <xdr:sp macro="" textlink="">
            <xdr:nvSpPr>
              <xdr:cNvPr id="165" name="Shape 108">
                <a:extLst>
                  <a:ext uri="{FF2B5EF4-FFF2-40B4-BE49-F238E27FC236}">
                    <a16:creationId xmlns:a16="http://schemas.microsoft.com/office/drawing/2014/main" id="{00000000-0008-0000-0100-0000A5000000}"/>
                  </a:ext>
                </a:extLst>
              </xdr:cNvPr>
              <xdr:cNvSpPr/>
            </xdr:nvSpPr>
            <xdr:spPr>
              <a:xfrm>
                <a:off x="9639300" y="9031710"/>
                <a:ext cx="2914650" cy="1874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6" name="Shape 109">
                <a:extLst>
                  <a:ext uri="{FF2B5EF4-FFF2-40B4-BE49-F238E27FC236}">
                    <a16:creationId xmlns:a16="http://schemas.microsoft.com/office/drawing/2014/main" id="{00000000-0008-0000-0100-0000A6000000}"/>
                  </a:ext>
                </a:extLst>
              </xdr:cNvPr>
              <xdr:cNvCxnSpPr/>
            </xdr:nvCxnSpPr>
            <xdr:spPr>
              <a:xfrm>
                <a:off x="9639300" y="9153525"/>
                <a:ext cx="2657475" cy="1588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67" name="Shape 110">
                <a:extLst>
                  <a:ext uri="{FF2B5EF4-FFF2-40B4-BE49-F238E27FC236}">
                    <a16:creationId xmlns:a16="http://schemas.microsoft.com/office/drawing/2014/main" id="{00000000-0008-0000-0100-0000A7000000}"/>
                  </a:ext>
                </a:extLst>
              </xdr:cNvPr>
              <xdr:cNvCxnSpPr/>
            </xdr:nvCxnSpPr>
            <xdr:spPr>
              <a:xfrm rot="10800000" flipH="1">
                <a:off x="9658350" y="9334500"/>
                <a:ext cx="2428875" cy="9525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68" name="Shape 111">
                <a:extLst>
                  <a:ext uri="{FF2B5EF4-FFF2-40B4-BE49-F238E27FC236}">
                    <a16:creationId xmlns:a16="http://schemas.microsoft.com/office/drawing/2014/main" id="{00000000-0008-0000-0100-0000A8000000}"/>
                  </a:ext>
                </a:extLst>
              </xdr:cNvPr>
              <xdr:cNvCxnSpPr/>
            </xdr:nvCxnSpPr>
            <xdr:spPr>
              <a:xfrm>
                <a:off x="10744200" y="9525000"/>
                <a:ext cx="1543050" cy="1588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69" name="Shape 112">
                <a:extLst>
                  <a:ext uri="{FF2B5EF4-FFF2-40B4-BE49-F238E27FC236}">
                    <a16:creationId xmlns:a16="http://schemas.microsoft.com/office/drawing/2014/main" id="{00000000-0008-0000-0100-0000A9000000}"/>
                  </a:ext>
                </a:extLst>
              </xdr:cNvPr>
              <xdr:cNvCxnSpPr/>
            </xdr:nvCxnSpPr>
            <xdr:spPr>
              <a:xfrm>
                <a:off x="10534650" y="9725025"/>
                <a:ext cx="1581150" cy="1588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0" name="Shape 113">
                <a:extLst>
                  <a:ext uri="{FF2B5EF4-FFF2-40B4-BE49-F238E27FC236}">
                    <a16:creationId xmlns:a16="http://schemas.microsoft.com/office/drawing/2014/main" id="{00000000-0008-0000-0100-0000AA000000}"/>
                  </a:ext>
                </a:extLst>
              </xdr:cNvPr>
              <xdr:cNvCxnSpPr/>
            </xdr:nvCxnSpPr>
            <xdr:spPr>
              <a:xfrm>
                <a:off x="10791825" y="9906000"/>
                <a:ext cx="1495425" cy="1588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1" name="Shape 114">
                <a:extLst>
                  <a:ext uri="{FF2B5EF4-FFF2-40B4-BE49-F238E27FC236}">
                    <a16:creationId xmlns:a16="http://schemas.microsoft.com/office/drawing/2014/main" id="{00000000-0008-0000-0100-0000AB000000}"/>
                  </a:ext>
                </a:extLst>
              </xdr:cNvPr>
              <xdr:cNvCxnSpPr/>
            </xdr:nvCxnSpPr>
            <xdr:spPr>
              <a:xfrm rot="10800000" flipH="1">
                <a:off x="10534650" y="10115550"/>
                <a:ext cx="157162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2" name="Shape 115">
                <a:extLst>
                  <a:ext uri="{FF2B5EF4-FFF2-40B4-BE49-F238E27FC236}">
                    <a16:creationId xmlns:a16="http://schemas.microsoft.com/office/drawing/2014/main" id="{00000000-0008-0000-0100-0000AC000000}"/>
                  </a:ext>
                </a:extLst>
              </xdr:cNvPr>
              <xdr:cNvCxnSpPr/>
            </xdr:nvCxnSpPr>
            <xdr:spPr>
              <a:xfrm>
                <a:off x="10734675" y="10296525"/>
                <a:ext cx="1543050" cy="1588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3" name="Shape 116">
                <a:extLst>
                  <a:ext uri="{FF2B5EF4-FFF2-40B4-BE49-F238E27FC236}">
                    <a16:creationId xmlns:a16="http://schemas.microsoft.com/office/drawing/2014/main" id="{00000000-0008-0000-0100-0000AD000000}"/>
                  </a:ext>
                </a:extLst>
              </xdr:cNvPr>
              <xdr:cNvCxnSpPr/>
            </xdr:nvCxnSpPr>
            <xdr:spPr>
              <a:xfrm>
                <a:off x="10525125" y="10496550"/>
                <a:ext cx="1581150" cy="1588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4" name="Shape 117">
                <a:extLst>
                  <a:ext uri="{FF2B5EF4-FFF2-40B4-BE49-F238E27FC236}">
                    <a16:creationId xmlns:a16="http://schemas.microsoft.com/office/drawing/2014/main" id="{00000000-0008-0000-0100-0000AE000000}"/>
                  </a:ext>
                </a:extLst>
              </xdr:cNvPr>
              <xdr:cNvCxnSpPr/>
            </xdr:nvCxnSpPr>
            <xdr:spPr>
              <a:xfrm>
                <a:off x="10782300" y="10677525"/>
                <a:ext cx="1495425" cy="1588"/>
              </a:xfrm>
              <a:prstGeom prst="straightConnector1">
                <a:avLst/>
              </a:prstGeom>
              <a:noFill/>
              <a:ln w="9525" cap="flat" cmpd="sng">
                <a:solidFill>
                  <a:srgbClr val="CC33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5" name="Shape 118">
                <a:extLst>
                  <a:ext uri="{FF2B5EF4-FFF2-40B4-BE49-F238E27FC236}">
                    <a16:creationId xmlns:a16="http://schemas.microsoft.com/office/drawing/2014/main" id="{00000000-0008-0000-0100-0000AF000000}"/>
                  </a:ext>
                </a:extLst>
              </xdr:cNvPr>
              <xdr:cNvCxnSpPr/>
            </xdr:nvCxnSpPr>
            <xdr:spPr>
              <a:xfrm rot="10800000" flipH="1">
                <a:off x="10525125" y="10877550"/>
                <a:ext cx="2028825" cy="19051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6" name="Shape 119">
                <a:extLst>
                  <a:ext uri="{FF2B5EF4-FFF2-40B4-BE49-F238E27FC236}">
                    <a16:creationId xmlns:a16="http://schemas.microsoft.com/office/drawing/2014/main" id="{00000000-0008-0000-0100-0000B0000000}"/>
                  </a:ext>
                </a:extLst>
              </xdr:cNvPr>
              <xdr:cNvCxnSpPr/>
            </xdr:nvCxnSpPr>
            <xdr:spPr>
              <a:xfrm rot="5400000">
                <a:off x="9744075" y="10115550"/>
                <a:ext cx="1562100" cy="1905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7" name="Shape 120">
                <a:extLst>
                  <a:ext uri="{FF2B5EF4-FFF2-40B4-BE49-F238E27FC236}">
                    <a16:creationId xmlns:a16="http://schemas.microsoft.com/office/drawing/2014/main" id="{00000000-0008-0000-0100-0000B1000000}"/>
                  </a:ext>
                </a:extLst>
              </xdr:cNvPr>
              <xdr:cNvCxnSpPr/>
            </xdr:nvCxnSpPr>
            <xdr:spPr>
              <a:xfrm flipV="1">
                <a:off x="12268200" y="9166655"/>
                <a:ext cx="4927" cy="1510872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  <xdr:cxnSp macro="">
            <xdr:nvCxnSpPr>
              <xdr:cNvPr id="178" name="Shape 121">
                <a:extLst>
                  <a:ext uri="{FF2B5EF4-FFF2-40B4-BE49-F238E27FC236}">
                    <a16:creationId xmlns:a16="http://schemas.microsoft.com/office/drawing/2014/main" id="{00000000-0008-0000-0100-0000B2000000}"/>
                  </a:ext>
                </a:extLst>
              </xdr:cNvPr>
              <xdr:cNvCxnSpPr/>
            </xdr:nvCxnSpPr>
            <xdr:spPr>
              <a:xfrm flipV="1">
                <a:off x="12544425" y="9147738"/>
                <a:ext cx="4599" cy="1720288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dk1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28575</xdr:colOff>
      <xdr:row>132</xdr:row>
      <xdr:rowOff>0</xdr:rowOff>
    </xdr:from>
    <xdr:ext cx="247650" cy="142875"/>
    <xdr:sp macro="" textlink="">
      <xdr:nvSpPr>
        <xdr:cNvPr id="179" name="Shape 122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226938" y="3713325"/>
          <a:ext cx="238125" cy="133350"/>
        </a:xfrm>
        <a:prstGeom prst="rect">
          <a:avLst/>
        </a:prstGeom>
        <a:solidFill>
          <a:schemeClr val="accen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9525</xdr:colOff>
      <xdr:row>124</xdr:row>
      <xdr:rowOff>171450</xdr:rowOff>
    </xdr:from>
    <xdr:ext cx="238125" cy="38100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GrpSpPr/>
      </xdr:nvGrpSpPr>
      <xdr:grpSpPr>
        <a:xfrm>
          <a:off x="11905192" y="24851783"/>
          <a:ext cx="238125" cy="38100"/>
          <a:chOff x="5226938" y="3760950"/>
          <a:chExt cx="238125" cy="38100"/>
        </a:xfrm>
      </xdr:grpSpPr>
      <xdr:grpSp>
        <xdr:nvGrpSpPr>
          <xdr:cNvPr id="181" name="Shape 123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GrpSpPr/>
        </xdr:nvGrpSpPr>
        <xdr:grpSpPr>
          <a:xfrm>
            <a:off x="5226938" y="3760950"/>
            <a:ext cx="238125" cy="38100"/>
            <a:chOff x="5226938" y="3770475"/>
            <a:chExt cx="238125" cy="19050"/>
          </a:xfrm>
        </xdr:grpSpPr>
        <xdr:sp macro="" textlink="">
          <xdr:nvSpPr>
            <xdr:cNvPr id="182" name="Shape 7">
              <a:extLst>
                <a:ext uri="{FF2B5EF4-FFF2-40B4-BE49-F238E27FC236}">
                  <a16:creationId xmlns:a16="http://schemas.microsoft.com/office/drawing/2014/main" id="{00000000-0008-0000-0100-0000B6000000}"/>
                </a:ext>
              </a:extLst>
            </xdr:cNvPr>
            <xdr:cNvSpPr/>
          </xdr:nvSpPr>
          <xdr:spPr>
            <a:xfrm>
              <a:off x="5226938" y="3770475"/>
              <a:ext cx="2381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3" name="Shape 124">
              <a:extLst>
                <a:ext uri="{FF2B5EF4-FFF2-40B4-BE49-F238E27FC236}">
                  <a16:creationId xmlns:a16="http://schemas.microsoft.com/office/drawing/2014/main" id="{00000000-0008-0000-0100-0000B7000000}"/>
                </a:ext>
              </a:extLst>
            </xdr:cNvPr>
            <xdr:cNvCxnSpPr/>
          </xdr:nvCxnSpPr>
          <xdr:spPr>
            <a:xfrm rot="10800000" flipH="1">
              <a:off x="5226938" y="3770475"/>
              <a:ext cx="2381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130</xdr:row>
      <xdr:rowOff>38100</xdr:rowOff>
    </xdr:from>
    <xdr:ext cx="238125" cy="28575"/>
    <xdr:grpSp>
      <xdr:nvGrpSpPr>
        <xdr:cNvPr id="184" name="Shape 2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GrpSpPr/>
      </xdr:nvGrpSpPr>
      <xdr:grpSpPr>
        <a:xfrm>
          <a:off x="11895667" y="25924933"/>
          <a:ext cx="238125" cy="28575"/>
          <a:chOff x="5226938" y="3765713"/>
          <a:chExt cx="238125" cy="28575"/>
        </a:xfrm>
      </xdr:grpSpPr>
      <xdr:grpSp>
        <xdr:nvGrpSpPr>
          <xdr:cNvPr id="185" name="Shape 125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GrpSpPr/>
        </xdr:nvGrpSpPr>
        <xdr:grpSpPr>
          <a:xfrm>
            <a:off x="5226938" y="3765713"/>
            <a:ext cx="238125" cy="28575"/>
            <a:chOff x="5226938" y="3775238"/>
            <a:chExt cx="238125" cy="9525"/>
          </a:xfrm>
        </xdr:grpSpPr>
        <xdr:sp macro="" textlink="">
          <xdr:nvSpPr>
            <xdr:cNvPr id="186" name="Shape 7">
              <a:extLst>
                <a:ext uri="{FF2B5EF4-FFF2-40B4-BE49-F238E27FC236}">
                  <a16:creationId xmlns:a16="http://schemas.microsoft.com/office/drawing/2014/main" id="{00000000-0008-0000-0100-0000BA000000}"/>
                </a:ext>
              </a:extLst>
            </xdr:cNvPr>
            <xdr:cNvSpPr/>
          </xdr:nvSpPr>
          <xdr:spPr>
            <a:xfrm>
              <a:off x="5226938" y="3775238"/>
              <a:ext cx="2381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7" name="Shape 126">
              <a:extLst>
                <a:ext uri="{FF2B5EF4-FFF2-40B4-BE49-F238E27FC236}">
                  <a16:creationId xmlns:a16="http://schemas.microsoft.com/office/drawing/2014/main" id="{00000000-0008-0000-0100-0000BB000000}"/>
                </a:ext>
              </a:extLst>
            </xdr:cNvPr>
            <xdr:cNvCxnSpPr/>
          </xdr:nvCxnSpPr>
          <xdr:spPr>
            <a:xfrm rot="10800000" flipH="1">
              <a:off x="5226938" y="3775238"/>
              <a:ext cx="23812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628650</xdr:colOff>
      <xdr:row>130</xdr:row>
      <xdr:rowOff>47625</xdr:rowOff>
    </xdr:from>
    <xdr:ext cx="247650" cy="28575"/>
    <xdr:grpSp>
      <xdr:nvGrpSpPr>
        <xdr:cNvPr id="188" name="Shape 2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GrpSpPr/>
      </xdr:nvGrpSpPr>
      <xdr:grpSpPr>
        <a:xfrm>
          <a:off x="13413317" y="25934458"/>
          <a:ext cx="247650" cy="28575"/>
          <a:chOff x="5222175" y="3765713"/>
          <a:chExt cx="247650" cy="28575"/>
        </a:xfrm>
      </xdr:grpSpPr>
      <xdr:grpSp>
        <xdr:nvGrpSpPr>
          <xdr:cNvPr id="189" name="Shape 127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GrpSpPr/>
        </xdr:nvGrpSpPr>
        <xdr:grpSpPr>
          <a:xfrm>
            <a:off x="5222175" y="3765713"/>
            <a:ext cx="247650" cy="28575"/>
            <a:chOff x="5222175" y="3775238"/>
            <a:chExt cx="247650" cy="9525"/>
          </a:xfrm>
        </xdr:grpSpPr>
        <xdr:sp macro="" textlink="">
          <xdr:nvSpPr>
            <xdr:cNvPr id="190" name="Shape 7">
              <a:extLst>
                <a:ext uri="{FF2B5EF4-FFF2-40B4-BE49-F238E27FC236}">
                  <a16:creationId xmlns:a16="http://schemas.microsoft.com/office/drawing/2014/main" id="{00000000-0008-0000-0100-0000BE000000}"/>
                </a:ext>
              </a:extLst>
            </xdr:cNvPr>
            <xdr:cNvSpPr/>
          </xdr:nvSpPr>
          <xdr:spPr>
            <a:xfrm>
              <a:off x="5222175" y="3775238"/>
              <a:ext cx="2476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91" name="Shape 128">
              <a:extLst>
                <a:ext uri="{FF2B5EF4-FFF2-40B4-BE49-F238E27FC236}">
                  <a16:creationId xmlns:a16="http://schemas.microsoft.com/office/drawing/2014/main" id="{00000000-0008-0000-0100-0000BF000000}"/>
                </a:ext>
              </a:extLst>
            </xdr:cNvPr>
            <xdr:cNvCxnSpPr/>
          </xdr:nvCxnSpPr>
          <xdr:spPr>
            <a:xfrm rot="10800000" flipH="1">
              <a:off x="5222175" y="3775238"/>
              <a:ext cx="2476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130</xdr:row>
      <xdr:rowOff>38100</xdr:rowOff>
    </xdr:from>
    <xdr:ext cx="285750" cy="28575"/>
    <xdr:grpSp>
      <xdr:nvGrpSpPr>
        <xdr:cNvPr id="192" name="Shape 2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GrpSpPr/>
      </xdr:nvGrpSpPr>
      <xdr:grpSpPr>
        <a:xfrm>
          <a:off x="13673667" y="25924933"/>
          <a:ext cx="285750" cy="28575"/>
          <a:chOff x="5203125" y="3765713"/>
          <a:chExt cx="285750" cy="28575"/>
        </a:xfrm>
      </xdr:grpSpPr>
      <xdr:grpSp>
        <xdr:nvGrpSpPr>
          <xdr:cNvPr id="193" name="Shape 129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GrpSpPr/>
        </xdr:nvGrpSpPr>
        <xdr:grpSpPr>
          <a:xfrm>
            <a:off x="5203125" y="3765713"/>
            <a:ext cx="285750" cy="28575"/>
            <a:chOff x="5203125" y="3775238"/>
            <a:chExt cx="285750" cy="9525"/>
          </a:xfrm>
        </xdr:grpSpPr>
        <xdr:sp macro="" textlink="">
          <xdr:nvSpPr>
            <xdr:cNvPr id="194" name="Shape 7">
              <a:extLst>
                <a:ext uri="{FF2B5EF4-FFF2-40B4-BE49-F238E27FC236}">
                  <a16:creationId xmlns:a16="http://schemas.microsoft.com/office/drawing/2014/main" id="{00000000-0008-0000-0100-0000C2000000}"/>
                </a:ext>
              </a:extLst>
            </xdr:cNvPr>
            <xdr:cNvSpPr/>
          </xdr:nvSpPr>
          <xdr:spPr>
            <a:xfrm>
              <a:off x="5203125" y="3775238"/>
              <a:ext cx="2857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95" name="Shape 130">
              <a:extLst>
                <a:ext uri="{FF2B5EF4-FFF2-40B4-BE49-F238E27FC236}">
                  <a16:creationId xmlns:a16="http://schemas.microsoft.com/office/drawing/2014/main" id="{00000000-0008-0000-0100-0000C3000000}"/>
                </a:ext>
              </a:extLst>
            </xdr:cNvPr>
            <xdr:cNvCxnSpPr/>
          </xdr:nvCxnSpPr>
          <xdr:spPr>
            <a:xfrm rot="10800000" flipH="1">
              <a:off x="5203125" y="3775238"/>
              <a:ext cx="2857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466725</xdr:colOff>
      <xdr:row>144</xdr:row>
      <xdr:rowOff>161925</xdr:rowOff>
    </xdr:from>
    <xdr:ext cx="28575" cy="257175"/>
    <xdr:grpSp>
      <xdr:nvGrpSpPr>
        <xdr:cNvPr id="196" name="Shape 2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GrpSpPr/>
      </xdr:nvGrpSpPr>
      <xdr:grpSpPr>
        <a:xfrm>
          <a:off x="12362392" y="29043842"/>
          <a:ext cx="28575" cy="257175"/>
          <a:chOff x="5331713" y="308136"/>
          <a:chExt cx="28575" cy="6943725"/>
        </a:xfrm>
      </xdr:grpSpPr>
      <xdr:grpSp>
        <xdr:nvGrpSpPr>
          <xdr:cNvPr id="197" name="Shape 131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198" name="Shape 7">
              <a:extLst>
                <a:ext uri="{FF2B5EF4-FFF2-40B4-BE49-F238E27FC236}">
                  <a16:creationId xmlns:a16="http://schemas.microsoft.com/office/drawing/2014/main" id="{00000000-0008-0000-0100-0000C600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99" name="Shape 132">
              <a:extLst>
                <a:ext uri="{FF2B5EF4-FFF2-40B4-BE49-F238E27FC236}">
                  <a16:creationId xmlns:a16="http://schemas.microsoft.com/office/drawing/2014/main" id="{00000000-0008-0000-0100-0000C700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8</xdr:col>
      <xdr:colOff>352425</xdr:colOff>
      <xdr:row>131</xdr:row>
      <xdr:rowOff>9525</xdr:rowOff>
    </xdr:from>
    <xdr:ext cx="28575" cy="209550"/>
    <xdr:grpSp>
      <xdr:nvGrpSpPr>
        <xdr:cNvPr id="200" name="Shape 2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GrpSpPr/>
      </xdr:nvGrpSpPr>
      <xdr:grpSpPr>
        <a:xfrm>
          <a:off x="14026092" y="26097442"/>
          <a:ext cx="28575" cy="209550"/>
          <a:chOff x="5331713" y="1474946"/>
          <a:chExt cx="28575" cy="4610100"/>
        </a:xfrm>
      </xdr:grpSpPr>
      <xdr:grpSp>
        <xdr:nvGrpSpPr>
          <xdr:cNvPr id="201" name="Shape 133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GrpSpPr/>
        </xdr:nvGrpSpPr>
        <xdr:grpSpPr>
          <a:xfrm>
            <a:off x="5331713" y="1474946"/>
            <a:ext cx="28575" cy="4610100"/>
            <a:chOff x="5241225" y="3675225"/>
            <a:chExt cx="209550" cy="209550"/>
          </a:xfrm>
        </xdr:grpSpPr>
        <xdr:sp macro="" textlink="">
          <xdr:nvSpPr>
            <xdr:cNvPr id="202" name="Shape 7">
              <a:extLst>
                <a:ext uri="{FF2B5EF4-FFF2-40B4-BE49-F238E27FC236}">
                  <a16:creationId xmlns:a16="http://schemas.microsoft.com/office/drawing/2014/main" id="{00000000-0008-0000-0100-0000CA000000}"/>
                </a:ext>
              </a:extLst>
            </xdr:cNvPr>
            <xdr:cNvSpPr/>
          </xdr:nvSpPr>
          <xdr:spPr>
            <a:xfrm>
              <a:off x="5241225" y="3775238"/>
              <a:ext cx="2095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03" name="Shape 134">
              <a:extLst>
                <a:ext uri="{FF2B5EF4-FFF2-40B4-BE49-F238E27FC236}">
                  <a16:creationId xmlns:a16="http://schemas.microsoft.com/office/drawing/2014/main" id="{00000000-0008-0000-0100-0000CB000000}"/>
                </a:ext>
              </a:extLst>
            </xdr:cNvPr>
            <xdr:cNvCxnSpPr/>
          </xdr:nvCxnSpPr>
          <xdr:spPr>
            <a:xfrm rot="-5400000" flipH="1">
              <a:off x="5241225" y="3775238"/>
              <a:ext cx="2095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132</xdr:row>
      <xdr:rowOff>152400</xdr:rowOff>
    </xdr:from>
    <xdr:ext cx="2047875" cy="533400"/>
    <xdr:sp macro="" textlink="">
      <xdr:nvSpPr>
        <xdr:cNvPr id="204" name="Shape 135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4326825" y="3518063"/>
          <a:ext cx="2038350" cy="523875"/>
        </a:xfrm>
        <a:prstGeom prst="rect">
          <a:avLst/>
        </a:prstGeom>
        <a:noFill/>
        <a:ln w="9525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742950</xdr:colOff>
      <xdr:row>131</xdr:row>
      <xdr:rowOff>9525</xdr:rowOff>
    </xdr:from>
    <xdr:ext cx="38100" cy="361950"/>
    <xdr:grpSp>
      <xdr:nvGrpSpPr>
        <xdr:cNvPr id="205" name="Shape 2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GrpSpPr/>
      </xdr:nvGrpSpPr>
      <xdr:grpSpPr>
        <a:xfrm>
          <a:off x="14416617" y="26097442"/>
          <a:ext cx="38100" cy="361950"/>
          <a:chOff x="5326950" y="3599025"/>
          <a:chExt cx="38100" cy="361950"/>
        </a:xfrm>
      </xdr:grpSpPr>
      <xdr:grpSp>
        <xdr:nvGrpSpPr>
          <xdr:cNvPr id="206" name="Shape 136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GrpSpPr/>
        </xdr:nvGrpSpPr>
        <xdr:grpSpPr>
          <a:xfrm>
            <a:off x="5326950" y="3599025"/>
            <a:ext cx="38100" cy="361950"/>
            <a:chOff x="5341238" y="3599025"/>
            <a:chExt cx="9525" cy="361950"/>
          </a:xfrm>
        </xdr:grpSpPr>
        <xdr:sp macro="" textlink="">
          <xdr:nvSpPr>
            <xdr:cNvPr id="207" name="Shape 7">
              <a:extLst>
                <a:ext uri="{FF2B5EF4-FFF2-40B4-BE49-F238E27FC236}">
                  <a16:creationId xmlns:a16="http://schemas.microsoft.com/office/drawing/2014/main" id="{00000000-0008-0000-0100-0000CF000000}"/>
                </a:ext>
              </a:extLst>
            </xdr:cNvPr>
            <xdr:cNvSpPr/>
          </xdr:nvSpPr>
          <xdr:spPr>
            <a:xfrm>
              <a:off x="5341238" y="3599025"/>
              <a:ext cx="9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08" name="Shape 137">
              <a:extLst>
                <a:ext uri="{FF2B5EF4-FFF2-40B4-BE49-F238E27FC236}">
                  <a16:creationId xmlns:a16="http://schemas.microsoft.com/office/drawing/2014/main" id="{00000000-0008-0000-0100-0000D0000000}"/>
                </a:ext>
              </a:extLst>
            </xdr:cNvPr>
            <xdr:cNvCxnSpPr>
              <a:stCxn id="207" idx="2"/>
            </xdr:cNvCxnSpPr>
          </xdr:nvCxnSpPr>
          <xdr:spPr>
            <a:xfrm flipH="1" flipV="1">
              <a:off x="5341238" y="3599025"/>
              <a:ext cx="4763" cy="3619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314325</xdr:colOff>
      <xdr:row>19</xdr:row>
      <xdr:rowOff>0</xdr:rowOff>
    </xdr:from>
    <xdr:ext cx="171450" cy="190500"/>
    <xdr:sp macro="" textlink="">
      <xdr:nvSpPr>
        <xdr:cNvPr id="209" name="Shape 13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5269800" y="3694275"/>
          <a:ext cx="152400" cy="171450"/>
        </a:xfrm>
        <a:prstGeom prst="ellipse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99481</xdr:colOff>
      <xdr:row>23</xdr:row>
      <xdr:rowOff>158221</xdr:rowOff>
    </xdr:from>
    <xdr:ext cx="5534025" cy="3981450"/>
    <xdr:pic>
      <xdr:nvPicPr>
        <xdr:cNvPr id="246" name="image2.png" title="Imagen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4603" t="22164" r="18115" b="13403"/>
        <a:stretch/>
      </xdr:blipFill>
      <xdr:spPr>
        <a:xfrm>
          <a:off x="18567398" y="4603221"/>
          <a:ext cx="5534025" cy="3981450"/>
        </a:xfrm>
        <a:prstGeom prst="rect">
          <a:avLst/>
        </a:prstGeom>
        <a:ln w="3175" cap="sq" cmpd="thickThin">
          <a:solidFill>
            <a:sysClr val="windowText" lastClr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 fLocksWithSheet="0"/>
  </xdr:oneCellAnchor>
  <xdr:oneCellAnchor>
    <xdr:from>
      <xdr:col>24</xdr:col>
      <xdr:colOff>452437</xdr:colOff>
      <xdr:row>24</xdr:row>
      <xdr:rowOff>190500</xdr:rowOff>
    </xdr:from>
    <xdr:ext cx="4772025" cy="5124450"/>
    <xdr:pic>
      <xdr:nvPicPr>
        <xdr:cNvPr id="247" name="image6.png" title="Imagen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512587" y="4800600"/>
          <a:ext cx="4772025" cy="5124450"/>
        </a:xfrm>
        <a:prstGeom prst="rect">
          <a:avLst/>
        </a:prstGeom>
        <a:ln w="3175" cap="sq" cmpd="thickThin">
          <a:solidFill>
            <a:sysClr val="windowText" lastClr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 fLocksWithSheet="0"/>
  </xdr:oneCellAnchor>
  <xdr:twoCellAnchor>
    <xdr:from>
      <xdr:col>8</xdr:col>
      <xdr:colOff>9525</xdr:colOff>
      <xdr:row>145</xdr:row>
      <xdr:rowOff>0</xdr:rowOff>
    </xdr:from>
    <xdr:to>
      <xdr:col>8</xdr:col>
      <xdr:colOff>28575</xdr:colOff>
      <xdr:row>155</xdr:row>
      <xdr:rowOff>19050</xdr:rowOff>
    </xdr:to>
    <xdr:cxnSp macro="">
      <xdr:nvCxnSpPr>
        <xdr:cNvPr id="249" name="Conector recto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CxnSpPr/>
      </xdr:nvCxnSpPr>
      <xdr:spPr>
        <a:xfrm>
          <a:off x="12334875" y="28803600"/>
          <a:ext cx="19050" cy="2019300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151</xdr:row>
      <xdr:rowOff>57150</xdr:rowOff>
    </xdr:from>
    <xdr:to>
      <xdr:col>8</xdr:col>
      <xdr:colOff>28575</xdr:colOff>
      <xdr:row>170</xdr:row>
      <xdr:rowOff>104776</xdr:rowOff>
    </xdr:to>
    <xdr:cxnSp macro="">
      <xdr:nvCxnSpPr>
        <xdr:cNvPr id="252" name="Conector recto de flecha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CxnSpPr/>
      </xdr:nvCxnSpPr>
      <xdr:spPr>
        <a:xfrm flipV="1">
          <a:off x="10668000" y="30060900"/>
          <a:ext cx="1685925" cy="38481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8</xdr:row>
      <xdr:rowOff>178595</xdr:rowOff>
    </xdr:from>
    <xdr:to>
      <xdr:col>3</xdr:col>
      <xdr:colOff>238125</xdr:colOff>
      <xdr:row>16</xdr:row>
      <xdr:rowOff>95251</xdr:rowOff>
    </xdr:to>
    <xdr:sp macro="" textlink="">
      <xdr:nvSpPr>
        <xdr:cNvPr id="248" name="Abrir llave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8084344" y="1702595"/>
          <a:ext cx="142875" cy="1440656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6</xdr:col>
      <xdr:colOff>382905</xdr:colOff>
      <xdr:row>9</xdr:row>
      <xdr:rowOff>23812</xdr:rowOff>
    </xdr:from>
    <xdr:to>
      <xdr:col>6</xdr:col>
      <xdr:colOff>428624</xdr:colOff>
      <xdr:row>12</xdr:row>
      <xdr:rowOff>35719</xdr:rowOff>
    </xdr:to>
    <xdr:sp macro="" textlink="">
      <xdr:nvSpPr>
        <xdr:cNvPr id="250" name="Cerrar llave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10979468" y="1738312"/>
          <a:ext cx="45719" cy="58340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oneCellAnchor>
    <xdr:from>
      <xdr:col>16</xdr:col>
      <xdr:colOff>266170</xdr:colOff>
      <xdr:row>31</xdr:row>
      <xdr:rowOff>195792</xdr:rowOff>
    </xdr:from>
    <xdr:ext cx="5543550" cy="228600"/>
    <xdr:sp macro="" textlink="">
      <xdr:nvSpPr>
        <xdr:cNvPr id="151" name="Shape 10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19633670" y="6228292"/>
          <a:ext cx="5543550" cy="228600"/>
        </a:xfrm>
        <a:prstGeom prst="rect">
          <a:avLst/>
        </a:prstGeom>
        <a:noFill/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4</xdr:col>
      <xdr:colOff>828261</xdr:colOff>
      <xdr:row>48</xdr:row>
      <xdr:rowOff>19877</xdr:rowOff>
    </xdr:from>
    <xdr:to>
      <xdr:col>9</xdr:col>
      <xdr:colOff>679174</xdr:colOff>
      <xdr:row>60</xdr:row>
      <xdr:rowOff>3315</xdr:rowOff>
    </xdr:to>
    <xdr:grpSp>
      <xdr:nvGrpSpPr>
        <xdr:cNvPr id="278" name="Grupo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GrpSpPr/>
      </xdr:nvGrpSpPr>
      <xdr:grpSpPr>
        <a:xfrm>
          <a:off x="10945928" y="9439044"/>
          <a:ext cx="4295913" cy="2396438"/>
          <a:chOff x="9690652" y="9395790"/>
          <a:chExt cx="4199283" cy="2368829"/>
        </a:xfrm>
      </xdr:grpSpPr>
      <xdr:cxnSp macro="">
        <xdr:nvCxnSpPr>
          <xdr:cNvPr id="253" name="Conector recto 252">
            <a:extLst>
              <a:ext uri="{FF2B5EF4-FFF2-40B4-BE49-F238E27FC236}">
                <a16:creationId xmlns:a16="http://schemas.microsoft.com/office/drawing/2014/main" id="{00000000-0008-0000-0100-0000FD000000}"/>
              </a:ext>
            </a:extLst>
          </xdr:cNvPr>
          <xdr:cNvCxnSpPr/>
        </xdr:nvCxnSpPr>
        <xdr:spPr>
          <a:xfrm>
            <a:off x="10869924" y="9586406"/>
            <a:ext cx="916970" cy="92296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Conector recto 253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CxnSpPr/>
        </xdr:nvCxnSpPr>
        <xdr:spPr>
          <a:xfrm flipV="1">
            <a:off x="11773756" y="9609141"/>
            <a:ext cx="916971" cy="92125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Conector recto 255">
            <a:extLst>
              <a:ext uri="{FF2B5EF4-FFF2-40B4-BE49-F238E27FC236}">
                <a16:creationId xmlns:a16="http://schemas.microsoft.com/office/drawing/2014/main" id="{00000000-0008-0000-0100-000000010000}"/>
              </a:ext>
            </a:extLst>
          </xdr:cNvPr>
          <xdr:cNvCxnSpPr/>
        </xdr:nvCxnSpPr>
        <xdr:spPr>
          <a:xfrm flipH="1">
            <a:off x="9691509" y="9579837"/>
            <a:ext cx="1178417" cy="1313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8" name="Conector recto 257">
            <a:extLst>
              <a:ext uri="{FF2B5EF4-FFF2-40B4-BE49-F238E27FC236}">
                <a16:creationId xmlns:a16="http://schemas.microsoft.com/office/drawing/2014/main" id="{00000000-0008-0000-0100-000002010000}"/>
              </a:ext>
            </a:extLst>
          </xdr:cNvPr>
          <xdr:cNvCxnSpPr/>
        </xdr:nvCxnSpPr>
        <xdr:spPr>
          <a:xfrm flipH="1">
            <a:off x="12689414" y="9587720"/>
            <a:ext cx="1180987" cy="1313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0" name="Conector recto 259">
            <a:extLst>
              <a:ext uri="{FF2B5EF4-FFF2-40B4-BE49-F238E27FC236}">
                <a16:creationId xmlns:a16="http://schemas.microsoft.com/office/drawing/2014/main" id="{00000000-0008-0000-0100-000004010000}"/>
              </a:ext>
            </a:extLst>
          </xdr:cNvPr>
          <xdr:cNvCxnSpPr/>
        </xdr:nvCxnSpPr>
        <xdr:spPr>
          <a:xfrm>
            <a:off x="9707217" y="9591261"/>
            <a:ext cx="0" cy="196297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1" name="Conector recto 260">
            <a:extLst>
              <a:ext uri="{FF2B5EF4-FFF2-40B4-BE49-F238E27FC236}">
                <a16:creationId xmlns:a16="http://schemas.microsoft.com/office/drawing/2014/main" id="{00000000-0008-0000-0100-000005010000}"/>
              </a:ext>
            </a:extLst>
          </xdr:cNvPr>
          <xdr:cNvCxnSpPr/>
        </xdr:nvCxnSpPr>
        <xdr:spPr>
          <a:xfrm>
            <a:off x="13868400" y="9602856"/>
            <a:ext cx="0" cy="196297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3" name="Conector recto 262">
            <a:extLst>
              <a:ext uri="{FF2B5EF4-FFF2-40B4-BE49-F238E27FC236}">
                <a16:creationId xmlns:a16="http://schemas.microsoft.com/office/drawing/2014/main" id="{00000000-0008-0000-0100-000007010000}"/>
              </a:ext>
            </a:extLst>
          </xdr:cNvPr>
          <xdr:cNvCxnSpPr/>
        </xdr:nvCxnSpPr>
        <xdr:spPr>
          <a:xfrm>
            <a:off x="9698935" y="11545957"/>
            <a:ext cx="4191000" cy="2484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Conector recto de flecha 264">
            <a:extLst>
              <a:ext uri="{FF2B5EF4-FFF2-40B4-BE49-F238E27FC236}">
                <a16:creationId xmlns:a16="http://schemas.microsoft.com/office/drawing/2014/main" id="{00000000-0008-0000-0100-000009010000}"/>
              </a:ext>
            </a:extLst>
          </xdr:cNvPr>
          <xdr:cNvCxnSpPr/>
        </xdr:nvCxnSpPr>
        <xdr:spPr>
          <a:xfrm flipV="1">
            <a:off x="12804913" y="9591261"/>
            <a:ext cx="8283" cy="960782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7" name="Conector recto 266">
            <a:extLst>
              <a:ext uri="{FF2B5EF4-FFF2-40B4-BE49-F238E27FC236}">
                <a16:creationId xmlns:a16="http://schemas.microsoft.com/office/drawing/2014/main" id="{00000000-0008-0000-0100-00000B010000}"/>
              </a:ext>
            </a:extLst>
          </xdr:cNvPr>
          <xdr:cNvCxnSpPr/>
        </xdr:nvCxnSpPr>
        <xdr:spPr>
          <a:xfrm flipV="1">
            <a:off x="11239500" y="9955696"/>
            <a:ext cx="1109870" cy="1656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8" name="Conector recto de flecha 267">
            <a:extLst>
              <a:ext uri="{FF2B5EF4-FFF2-40B4-BE49-F238E27FC236}">
                <a16:creationId xmlns:a16="http://schemas.microsoft.com/office/drawing/2014/main" id="{00000000-0008-0000-0100-00000C010000}"/>
              </a:ext>
            </a:extLst>
          </xdr:cNvPr>
          <xdr:cNvCxnSpPr/>
        </xdr:nvCxnSpPr>
        <xdr:spPr>
          <a:xfrm flipV="1">
            <a:off x="11789466" y="9947413"/>
            <a:ext cx="4969" cy="566530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Conector recto de flecha 269">
            <a:extLst>
              <a:ext uri="{FF2B5EF4-FFF2-40B4-BE49-F238E27FC236}">
                <a16:creationId xmlns:a16="http://schemas.microsoft.com/office/drawing/2014/main" id="{00000000-0008-0000-0100-00000E010000}"/>
              </a:ext>
            </a:extLst>
          </xdr:cNvPr>
          <xdr:cNvCxnSpPr/>
        </xdr:nvCxnSpPr>
        <xdr:spPr>
          <a:xfrm flipH="1" flipV="1">
            <a:off x="11797748" y="10538791"/>
            <a:ext cx="13252" cy="1007166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Conector recto de flecha 272">
            <a:extLst>
              <a:ext uri="{FF2B5EF4-FFF2-40B4-BE49-F238E27FC236}">
                <a16:creationId xmlns:a16="http://schemas.microsoft.com/office/drawing/2014/main" id="{00000000-0008-0000-0100-000011010000}"/>
              </a:ext>
            </a:extLst>
          </xdr:cNvPr>
          <xdr:cNvCxnSpPr/>
        </xdr:nvCxnSpPr>
        <xdr:spPr>
          <a:xfrm flipH="1">
            <a:off x="9690652" y="9765196"/>
            <a:ext cx="1159565" cy="0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Conector recto de flecha 273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CxnSpPr/>
        </xdr:nvCxnSpPr>
        <xdr:spPr>
          <a:xfrm flipH="1">
            <a:off x="9718815" y="11753023"/>
            <a:ext cx="4171120" cy="11596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6" name="Conector recto de flecha 275">
            <a:extLst>
              <a:ext uri="{FF2B5EF4-FFF2-40B4-BE49-F238E27FC236}">
                <a16:creationId xmlns:a16="http://schemas.microsoft.com/office/drawing/2014/main" id="{00000000-0008-0000-0100-000014010000}"/>
              </a:ext>
            </a:extLst>
          </xdr:cNvPr>
          <xdr:cNvCxnSpPr/>
        </xdr:nvCxnSpPr>
        <xdr:spPr>
          <a:xfrm flipH="1" flipV="1">
            <a:off x="10836966" y="9395790"/>
            <a:ext cx="1827143" cy="4969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842596</xdr:colOff>
      <xdr:row>89</xdr:row>
      <xdr:rowOff>177389</xdr:rowOff>
    </xdr:from>
    <xdr:to>
      <xdr:col>9</xdr:col>
      <xdr:colOff>503630</xdr:colOff>
      <xdr:row>99</xdr:row>
      <xdr:rowOff>10026</xdr:rowOff>
    </xdr:to>
    <xdr:grpSp>
      <xdr:nvGrpSpPr>
        <xdr:cNvPr id="288" name="Grupo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GrpSpPr/>
      </xdr:nvGrpSpPr>
      <xdr:grpSpPr>
        <a:xfrm>
          <a:off x="11849263" y="17830389"/>
          <a:ext cx="3217034" cy="1843470"/>
          <a:chOff x="10568122" y="17813678"/>
          <a:chExt cx="3130140" cy="1837901"/>
        </a:xfrm>
      </xdr:grpSpPr>
      <xdr:sp macro="" textlink="">
        <xdr:nvSpPr>
          <xdr:cNvPr id="245" name="Shape 172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SpPr/>
        </xdr:nvSpPr>
        <xdr:spPr>
          <a:xfrm>
            <a:off x="12727405" y="18361693"/>
            <a:ext cx="180975" cy="304800"/>
          </a:xfrm>
          <a:prstGeom prst="flowChartMagneticDrum">
            <a:avLst/>
          </a:prstGeom>
          <a:solidFill>
            <a:schemeClr val="accent1"/>
          </a:solidFill>
          <a:ln w="25400" cap="flat" cmpd="sng">
            <a:solidFill>
              <a:srgbClr val="395E89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grpSp>
        <xdr:nvGrpSpPr>
          <xdr:cNvPr id="287" name="Grupo 286">
            <a:extLst>
              <a:ext uri="{FF2B5EF4-FFF2-40B4-BE49-F238E27FC236}">
                <a16:creationId xmlns:a16="http://schemas.microsoft.com/office/drawing/2014/main" id="{00000000-0008-0000-0100-00001F010000}"/>
              </a:ext>
            </a:extLst>
          </xdr:cNvPr>
          <xdr:cNvGrpSpPr/>
        </xdr:nvGrpSpPr>
        <xdr:grpSpPr>
          <a:xfrm>
            <a:off x="10568122" y="17813678"/>
            <a:ext cx="3130140" cy="1837901"/>
            <a:chOff x="10568122" y="17813678"/>
            <a:chExt cx="3130140" cy="1837901"/>
          </a:xfrm>
        </xdr:grpSpPr>
        <xdr:grpSp>
          <xdr:nvGrpSpPr>
            <xdr:cNvPr id="210" name="Shape 2">
              <a:extLst>
                <a:ext uri="{FF2B5EF4-FFF2-40B4-BE49-F238E27FC236}">
                  <a16:creationId xmlns:a16="http://schemas.microsoft.com/office/drawing/2014/main" id="{00000000-0008-0000-0100-0000D2000000}"/>
                </a:ext>
              </a:extLst>
            </xdr:cNvPr>
            <xdr:cNvGrpSpPr/>
          </xdr:nvGrpSpPr>
          <xdr:grpSpPr>
            <a:xfrm>
              <a:off x="10568122" y="17824591"/>
              <a:ext cx="3124200" cy="1762125"/>
              <a:chOff x="3783900" y="2898938"/>
              <a:chExt cx="3124200" cy="1762126"/>
            </a:xfrm>
          </xdr:grpSpPr>
          <xdr:grpSp>
            <xdr:nvGrpSpPr>
              <xdr:cNvPr id="211" name="Shape 139">
                <a:extLst>
                  <a:ext uri="{FF2B5EF4-FFF2-40B4-BE49-F238E27FC236}">
                    <a16:creationId xmlns:a16="http://schemas.microsoft.com/office/drawing/2014/main" id="{00000000-0008-0000-0100-0000D3000000}"/>
                  </a:ext>
                </a:extLst>
              </xdr:cNvPr>
              <xdr:cNvGrpSpPr/>
            </xdr:nvGrpSpPr>
            <xdr:grpSpPr>
              <a:xfrm>
                <a:off x="3783900" y="2898938"/>
                <a:ext cx="3124200" cy="1762126"/>
                <a:chOff x="3783900" y="2898938"/>
                <a:chExt cx="3124200" cy="1762126"/>
              </a:xfrm>
            </xdr:grpSpPr>
            <xdr:sp macro="" textlink="">
              <xdr:nvSpPr>
                <xdr:cNvPr id="212" name="Shape 7">
                  <a:extLst>
                    <a:ext uri="{FF2B5EF4-FFF2-40B4-BE49-F238E27FC236}">
                      <a16:creationId xmlns:a16="http://schemas.microsoft.com/office/drawing/2014/main" id="{00000000-0008-0000-0100-0000D4000000}"/>
                    </a:ext>
                  </a:extLst>
                </xdr:cNvPr>
                <xdr:cNvSpPr/>
              </xdr:nvSpPr>
              <xdr:spPr>
                <a:xfrm>
                  <a:off x="3783900" y="2898938"/>
                  <a:ext cx="3124200" cy="1762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endParaRPr sz="1400"/>
                </a:p>
              </xdr:txBody>
            </xdr:sp>
            <xdr:grpSp>
              <xdr:nvGrpSpPr>
                <xdr:cNvPr id="213" name="Shape 140">
                  <a:extLst>
                    <a:ext uri="{FF2B5EF4-FFF2-40B4-BE49-F238E27FC236}">
                      <a16:creationId xmlns:a16="http://schemas.microsoft.com/office/drawing/2014/main" id="{00000000-0008-0000-0100-0000D5000000}"/>
                    </a:ext>
                  </a:extLst>
                </xdr:cNvPr>
                <xdr:cNvGrpSpPr/>
              </xdr:nvGrpSpPr>
              <xdr:grpSpPr>
                <a:xfrm>
                  <a:off x="3783900" y="2898938"/>
                  <a:ext cx="3124200" cy="1762125"/>
                  <a:chOff x="10983829" y="9522069"/>
                  <a:chExt cx="3125704" cy="1672607"/>
                </a:xfrm>
              </xdr:grpSpPr>
              <xdr:sp macro="" textlink="">
                <xdr:nvSpPr>
                  <xdr:cNvPr id="214" name="Shape 141">
                    <a:extLst>
                      <a:ext uri="{FF2B5EF4-FFF2-40B4-BE49-F238E27FC236}">
                        <a16:creationId xmlns:a16="http://schemas.microsoft.com/office/drawing/2014/main" id="{00000000-0008-0000-0100-0000D6000000}"/>
                      </a:ext>
                    </a:extLst>
                  </xdr:cNvPr>
                  <xdr:cNvSpPr/>
                </xdr:nvSpPr>
                <xdr:spPr>
                  <a:xfrm>
                    <a:off x="10983829" y="9522069"/>
                    <a:ext cx="3125700" cy="1672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" name="Shape 142">
                    <a:extLst>
                      <a:ext uri="{FF2B5EF4-FFF2-40B4-BE49-F238E27FC236}">
                        <a16:creationId xmlns:a16="http://schemas.microsoft.com/office/drawing/2014/main" id="{00000000-0008-0000-0100-0000D7000000}"/>
                      </a:ext>
                    </a:extLst>
                  </xdr:cNvPr>
                  <xdr:cNvGrpSpPr/>
                </xdr:nvGrpSpPr>
                <xdr:grpSpPr>
                  <a:xfrm>
                    <a:off x="10983829" y="9525000"/>
                    <a:ext cx="2299789" cy="1362073"/>
                    <a:chOff x="11112442" y="8858250"/>
                    <a:chExt cx="2298758" cy="1362073"/>
                  </a:xfrm>
                </xdr:grpSpPr>
                <xdr:sp macro="" textlink="">
                  <xdr:nvSpPr>
                    <xdr:cNvPr id="216" name="Shape 143">
                      <a:extLst>
                        <a:ext uri="{FF2B5EF4-FFF2-40B4-BE49-F238E27FC236}">
                          <a16:creationId xmlns:a16="http://schemas.microsoft.com/office/drawing/2014/main" id="{00000000-0008-0000-0100-0000D8000000}"/>
                        </a:ext>
                      </a:extLst>
                    </xdr:cNvPr>
                    <xdr:cNvSpPr/>
                  </xdr:nvSpPr>
                  <xdr:spPr>
                    <a:xfrm>
                      <a:off x="11134725" y="8867775"/>
                      <a:ext cx="704850" cy="381000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sp macro="" textlink="">
                  <xdr:nvSpPr>
                    <xdr:cNvPr id="217" name="Shape 144">
                      <a:extLst>
                        <a:ext uri="{FF2B5EF4-FFF2-40B4-BE49-F238E27FC236}">
                          <a16:creationId xmlns:a16="http://schemas.microsoft.com/office/drawing/2014/main" id="{00000000-0008-0000-0100-0000D9000000}"/>
                        </a:ext>
                      </a:extLst>
                    </xdr:cNvPr>
                    <xdr:cNvSpPr/>
                  </xdr:nvSpPr>
                  <xdr:spPr>
                    <a:xfrm rot="5400000">
                      <a:off x="11815761" y="8882062"/>
                      <a:ext cx="390525" cy="342901"/>
                    </a:xfrm>
                    <a:prstGeom prst="trapezoid">
                      <a:avLst>
                        <a:gd name="adj" fmla="val 25000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sp macro="" textlink="">
                  <xdr:nvSpPr>
                    <xdr:cNvPr id="218" name="Shape 145">
                      <a:extLst>
                        <a:ext uri="{FF2B5EF4-FFF2-40B4-BE49-F238E27FC236}">
                          <a16:creationId xmlns:a16="http://schemas.microsoft.com/office/drawing/2014/main" id="{00000000-0008-0000-0100-0000DA000000}"/>
                        </a:ext>
                      </a:extLst>
                    </xdr:cNvPr>
                    <xdr:cNvSpPr/>
                  </xdr:nvSpPr>
                  <xdr:spPr>
                    <a:xfrm>
                      <a:off x="12192000" y="8943975"/>
                      <a:ext cx="161925" cy="228600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sp macro="" textlink="">
                  <xdr:nvSpPr>
                    <xdr:cNvPr id="219" name="Shape 146">
                      <a:extLst>
                        <a:ext uri="{FF2B5EF4-FFF2-40B4-BE49-F238E27FC236}">
                          <a16:creationId xmlns:a16="http://schemas.microsoft.com/office/drawing/2014/main" id="{00000000-0008-0000-0100-0000DB000000}"/>
                        </a:ext>
                      </a:extLst>
                    </xdr:cNvPr>
                    <xdr:cNvSpPr/>
                  </xdr:nvSpPr>
                  <xdr:spPr>
                    <a:xfrm rot="-5400000">
                      <a:off x="12339636" y="8882062"/>
                      <a:ext cx="390525" cy="342901"/>
                    </a:xfrm>
                    <a:prstGeom prst="trapezoid">
                      <a:avLst>
                        <a:gd name="adj" fmla="val 25000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sp macro="" textlink="">
                  <xdr:nvSpPr>
                    <xdr:cNvPr id="220" name="Shape 147">
                      <a:extLst>
                        <a:ext uri="{FF2B5EF4-FFF2-40B4-BE49-F238E27FC236}">
                          <a16:creationId xmlns:a16="http://schemas.microsoft.com/office/drawing/2014/main" id="{00000000-0008-0000-0100-0000DC000000}"/>
                        </a:ext>
                      </a:extLst>
                    </xdr:cNvPr>
                    <xdr:cNvSpPr/>
                  </xdr:nvSpPr>
                  <xdr:spPr>
                    <a:xfrm>
                      <a:off x="12696825" y="8867775"/>
                      <a:ext cx="704850" cy="381000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sp macro="" textlink="">
                  <xdr:nvSpPr>
                    <xdr:cNvPr id="221" name="Shape 148">
                      <a:extLst>
                        <a:ext uri="{FF2B5EF4-FFF2-40B4-BE49-F238E27FC236}">
                          <a16:creationId xmlns:a16="http://schemas.microsoft.com/office/drawing/2014/main" id="{00000000-0008-0000-0100-0000DD000000}"/>
                        </a:ext>
                      </a:extLst>
                    </xdr:cNvPr>
                    <xdr:cNvSpPr/>
                  </xdr:nvSpPr>
                  <xdr:spPr>
                    <a:xfrm>
                      <a:off x="11115675" y="9544051"/>
                      <a:ext cx="1038225" cy="514349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sp macro="" textlink="">
                  <xdr:nvSpPr>
                    <xdr:cNvPr id="222" name="Shape 149">
                      <a:extLst>
                        <a:ext uri="{FF2B5EF4-FFF2-40B4-BE49-F238E27FC236}">
                          <a16:creationId xmlns:a16="http://schemas.microsoft.com/office/drawing/2014/main" id="{00000000-0008-0000-0100-0000DE000000}"/>
                        </a:ext>
                      </a:extLst>
                    </xdr:cNvPr>
                    <xdr:cNvSpPr/>
                  </xdr:nvSpPr>
                  <xdr:spPr>
                    <a:xfrm flipH="1">
                      <a:off x="11858625" y="9544050"/>
                      <a:ext cx="304800" cy="514350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>
                        <a:solidFill>
                          <a:schemeClr val="lt1"/>
                        </a:solidFill>
                        <a:latin typeface="Calibri"/>
                        <a:ea typeface="Calibri"/>
                        <a:cs typeface="Calibri"/>
                        <a:sym typeface="Calibri"/>
                      </a:endParaRPr>
                    </a:p>
                  </xdr:txBody>
                </xdr:sp>
                <xdr:cxnSp macro="">
                  <xdr:nvCxnSpPr>
                    <xdr:cNvPr id="223" name="Shape 150">
                      <a:extLst>
                        <a:ext uri="{FF2B5EF4-FFF2-40B4-BE49-F238E27FC236}">
                          <a16:creationId xmlns:a16="http://schemas.microsoft.com/office/drawing/2014/main" id="{00000000-0008-0000-0100-0000DF000000}"/>
                        </a:ext>
                      </a:extLst>
                    </xdr:cNvPr>
                    <xdr:cNvCxnSpPr/>
                  </xdr:nvCxnSpPr>
                  <xdr:spPr>
                    <a:xfrm>
                      <a:off x="11112442" y="9862383"/>
                      <a:ext cx="1066787" cy="91242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</xdr:cxnSp>
                <xdr:grpSp>
                  <xdr:nvGrpSpPr>
                    <xdr:cNvPr id="224" name="Shape 151">
                      <a:extLst>
                        <a:ext uri="{FF2B5EF4-FFF2-40B4-BE49-F238E27FC236}">
                          <a16:creationId xmlns:a16="http://schemas.microsoft.com/office/drawing/2014/main" id="{00000000-0008-0000-0100-0000E0000000}"/>
                        </a:ext>
                      </a:extLst>
                    </xdr:cNvPr>
                    <xdr:cNvGrpSpPr/>
                  </xdr:nvGrpSpPr>
                  <xdr:grpSpPr>
                    <a:xfrm>
                      <a:off x="12158921" y="9525001"/>
                      <a:ext cx="1252279" cy="695322"/>
                      <a:chOff x="11701721" y="7620001"/>
                      <a:chExt cx="1252279" cy="695322"/>
                    </a:xfrm>
                  </xdr:grpSpPr>
                  <xdr:cxnSp macro="">
                    <xdr:nvCxnSpPr>
                      <xdr:cNvPr id="225" name="Shape 152">
                        <a:extLst>
                          <a:ext uri="{FF2B5EF4-FFF2-40B4-BE49-F238E27FC236}">
                            <a16:creationId xmlns:a16="http://schemas.microsoft.com/office/drawing/2014/main" id="{00000000-0008-0000-0100-0000E1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2230100" y="8248650"/>
                        <a:ext cx="723900" cy="1588"/>
                      </a:xfrm>
                      <a:prstGeom prst="straightConnector1">
                        <a:avLst/>
                      </a:prstGeom>
                      <a:noFill/>
                      <a:ln w="9525" cap="flat" cmpd="sng">
                        <a:solidFill>
                          <a:schemeClr val="dk1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cxnSp>
                  <xdr:cxnSp macro="">
                    <xdr:nvCxnSpPr>
                      <xdr:cNvPr id="226" name="Shape 153">
                        <a:extLst>
                          <a:ext uri="{FF2B5EF4-FFF2-40B4-BE49-F238E27FC236}">
                            <a16:creationId xmlns:a16="http://schemas.microsoft.com/office/drawing/2014/main" id="{00000000-0008-0000-0100-0000E2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701721" y="8152158"/>
                        <a:ext cx="175953" cy="163165"/>
                      </a:xfrm>
                      <a:prstGeom prst="straightConnector1">
                        <a:avLst/>
                      </a:prstGeom>
                      <a:noFill/>
                      <a:ln w="9525" cap="flat" cmpd="sng">
                        <a:solidFill>
                          <a:schemeClr val="dk1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cxnSp>
                  <xdr:cxnSp macro="">
                    <xdr:nvCxnSpPr>
                      <xdr:cNvPr id="227" name="Shape 154">
                        <a:extLst>
                          <a:ext uri="{FF2B5EF4-FFF2-40B4-BE49-F238E27FC236}">
                            <a16:creationId xmlns:a16="http://schemas.microsoft.com/office/drawing/2014/main" id="{00000000-0008-0000-0100-0000E3000000}"/>
                          </a:ext>
                        </a:extLst>
                      </xdr:cNvPr>
                      <xdr:cNvCxnSpPr/>
                    </xdr:nvCxnSpPr>
                    <xdr:spPr>
                      <a:xfrm rot="10800000" flipH="1">
                        <a:off x="11858625" y="8248650"/>
                        <a:ext cx="390525" cy="57151"/>
                      </a:xfrm>
                      <a:prstGeom prst="straightConnector1">
                        <a:avLst/>
                      </a:prstGeom>
                      <a:noFill/>
                      <a:ln w="9525" cap="flat" cmpd="sng">
                        <a:solidFill>
                          <a:schemeClr val="dk1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cxnSp>
                  <xdr:cxnSp macro="">
                    <xdr:nvCxnSpPr>
                      <xdr:cNvPr id="228" name="Shape 155">
                        <a:extLst>
                          <a:ext uri="{FF2B5EF4-FFF2-40B4-BE49-F238E27FC236}">
                            <a16:creationId xmlns:a16="http://schemas.microsoft.com/office/drawing/2014/main" id="{00000000-0008-0000-0100-0000E4000000}"/>
                          </a:ext>
                        </a:extLst>
                      </xdr:cNvPr>
                      <xdr:cNvCxnSpPr/>
                    </xdr:nvCxnSpPr>
                    <xdr:spPr>
                      <a:xfrm rot="-5400000">
                        <a:off x="11558590" y="7967663"/>
                        <a:ext cx="638173" cy="2"/>
                      </a:xfrm>
                      <a:prstGeom prst="straightConnector1">
                        <a:avLst/>
                      </a:prstGeom>
                      <a:noFill/>
                      <a:ln w="9525" cap="flat" cmpd="sng">
                        <a:solidFill>
                          <a:schemeClr val="dk1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cxnSp>
                  <xdr:cxnSp macro="">
                    <xdr:nvCxnSpPr>
                      <xdr:cNvPr id="229" name="Shape 156">
                        <a:extLst>
                          <a:ext uri="{FF2B5EF4-FFF2-40B4-BE49-F238E27FC236}">
                            <a16:creationId xmlns:a16="http://schemas.microsoft.com/office/drawing/2014/main" id="{00000000-0008-0000-0100-0000E5000000}"/>
                          </a:ext>
                        </a:extLst>
                      </xdr:cNvPr>
                      <xdr:cNvCxnSpPr/>
                    </xdr:nvCxnSpPr>
                    <xdr:spPr>
                      <a:xfrm rot="-5400000">
                        <a:off x="11939587" y="7929563"/>
                        <a:ext cx="628650" cy="9525"/>
                      </a:xfrm>
                      <a:prstGeom prst="straightConnector1">
                        <a:avLst/>
                      </a:prstGeom>
                      <a:noFill/>
                      <a:ln w="9525" cap="flat" cmpd="sng">
                        <a:solidFill>
                          <a:schemeClr val="dk1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cxnSp>
                  <xdr:cxnSp macro="">
                    <xdr:nvCxnSpPr>
                      <xdr:cNvPr id="230" name="Shape 157">
                        <a:extLst>
                          <a:ext uri="{FF2B5EF4-FFF2-40B4-BE49-F238E27FC236}">
                            <a16:creationId xmlns:a16="http://schemas.microsoft.com/office/drawing/2014/main" id="{00000000-0008-0000-0100-0000E6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706225" y="7639050"/>
                        <a:ext cx="1200150" cy="1588"/>
                      </a:xfrm>
                      <a:prstGeom prst="straightConnector1">
                        <a:avLst/>
                      </a:prstGeom>
                      <a:noFill/>
                      <a:ln w="9525" cap="flat" cmpd="sng">
                        <a:solidFill>
                          <a:schemeClr val="dk1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cxnSp>
                </xdr:grpSp>
              </xdr:grpSp>
              <xdr:sp macro="" textlink="">
                <xdr:nvSpPr>
                  <xdr:cNvPr id="231" name="Shape 158">
                    <a:extLst>
                      <a:ext uri="{FF2B5EF4-FFF2-40B4-BE49-F238E27FC236}">
                        <a16:creationId xmlns:a16="http://schemas.microsoft.com/office/drawing/2014/main" id="{00000000-0008-0000-0100-0000E7000000}"/>
                      </a:ext>
                    </a:extLst>
                  </xdr:cNvPr>
                  <xdr:cNvSpPr/>
                </xdr:nvSpPr>
                <xdr:spPr>
                  <a:xfrm>
                    <a:off x="13021696" y="9547412"/>
                    <a:ext cx="369038" cy="358588"/>
                  </a:xfrm>
                  <a:prstGeom prst="ellipse">
                    <a:avLst/>
                  </a:prstGeom>
                  <a:solidFill>
                    <a:schemeClr val="lt1"/>
                  </a:solidFill>
                  <a:ln w="25400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32" name="Shape 159">
                    <a:extLst>
                      <a:ext uri="{FF2B5EF4-FFF2-40B4-BE49-F238E27FC236}">
                        <a16:creationId xmlns:a16="http://schemas.microsoft.com/office/drawing/2014/main" id="{00000000-0008-0000-0100-0000E8000000}"/>
                      </a:ext>
                    </a:extLst>
                  </xdr:cNvPr>
                  <xdr:cNvSpPr/>
                </xdr:nvSpPr>
                <xdr:spPr>
                  <a:xfrm>
                    <a:off x="13076970" y="10820400"/>
                    <a:ext cx="313765" cy="374276"/>
                  </a:xfrm>
                  <a:prstGeom prst="rect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cxnSp macro="">
                <xdr:nvCxnSpPr>
                  <xdr:cNvPr id="233" name="Shape 160">
                    <a:extLst>
                      <a:ext uri="{FF2B5EF4-FFF2-40B4-BE49-F238E27FC236}">
                        <a16:creationId xmlns:a16="http://schemas.microsoft.com/office/drawing/2014/main" id="{00000000-0008-0000-0100-0000E9000000}"/>
                      </a:ext>
                    </a:extLst>
                  </xdr:cNvPr>
                  <xdr:cNvCxnSpPr>
                    <a:endCxn id="161" idx="2"/>
                  </xdr:cNvCxnSpPr>
                </xdr:nvCxnSpPr>
                <xdr:spPr>
                  <a:xfrm>
                    <a:off x="13233943" y="10085226"/>
                    <a:ext cx="3300" cy="97380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sp macro="" textlink="">
                <xdr:nvSpPr>
                  <xdr:cNvPr id="234" name="Shape 161">
                    <a:extLst>
                      <a:ext uri="{FF2B5EF4-FFF2-40B4-BE49-F238E27FC236}">
                        <a16:creationId xmlns:a16="http://schemas.microsoft.com/office/drawing/2014/main" id="{00000000-0008-0000-0100-0000EA000000}"/>
                      </a:ext>
                    </a:extLst>
                  </xdr:cNvPr>
                  <xdr:cNvSpPr/>
                </xdr:nvSpPr>
                <xdr:spPr>
                  <a:xfrm>
                    <a:off x="13134473" y="10968789"/>
                    <a:ext cx="205539" cy="90237"/>
                  </a:xfrm>
                  <a:prstGeom prst="rect">
                    <a:avLst/>
                  </a:prstGeom>
                  <a:solidFill>
                    <a:schemeClr val="dk1"/>
                  </a:solidFill>
                  <a:ln w="25400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cxnSp macro="">
                <xdr:nvCxnSpPr>
                  <xdr:cNvPr id="235" name="Shape 162">
                    <a:extLst>
                      <a:ext uri="{FF2B5EF4-FFF2-40B4-BE49-F238E27FC236}">
                        <a16:creationId xmlns:a16="http://schemas.microsoft.com/office/drawing/2014/main" id="{00000000-0008-0000-0100-0000EB000000}"/>
                      </a:ext>
                    </a:extLst>
                  </xdr:cNvPr>
                  <xdr:cNvCxnSpPr/>
                </xdr:nvCxnSpPr>
                <xdr:spPr>
                  <a:xfrm rot="10800000" flipH="1">
                    <a:off x="13232052" y="10210800"/>
                    <a:ext cx="848907" cy="1361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" name="Shape 163">
                    <a:extLst>
                      <a:ext uri="{FF2B5EF4-FFF2-40B4-BE49-F238E27FC236}">
                        <a16:creationId xmlns:a16="http://schemas.microsoft.com/office/drawing/2014/main" id="{00000000-0008-0000-0100-0000EC000000}"/>
                      </a:ext>
                    </a:extLst>
                  </xdr:cNvPr>
                  <xdr:cNvCxnSpPr/>
                </xdr:nvCxnSpPr>
                <xdr:spPr>
                  <a:xfrm>
                    <a:off x="13404181" y="10820400"/>
                    <a:ext cx="705351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sp macro="" textlink="">
                <xdr:nvSpPr>
                  <xdr:cNvPr id="237" name="Shape 164">
                    <a:extLst>
                      <a:ext uri="{FF2B5EF4-FFF2-40B4-BE49-F238E27FC236}">
                        <a16:creationId xmlns:a16="http://schemas.microsoft.com/office/drawing/2014/main" id="{00000000-0008-0000-0100-0000ED000000}"/>
                      </a:ext>
                    </a:extLst>
                  </xdr:cNvPr>
                  <xdr:cNvSpPr/>
                </xdr:nvSpPr>
                <xdr:spPr>
                  <a:xfrm>
                    <a:off x="12019165" y="10614240"/>
                    <a:ext cx="521453" cy="143967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2206" h="123265" extrusionOk="0">
                        <a:moveTo>
                          <a:pt x="0" y="0"/>
                        </a:moveTo>
                        <a:cubicBezTo>
                          <a:pt x="93382" y="23345"/>
                          <a:pt x="186764" y="46691"/>
                          <a:pt x="224117" y="67235"/>
                        </a:cubicBezTo>
                        <a:cubicBezTo>
                          <a:pt x="261470" y="87779"/>
                          <a:pt x="196102" y="123265"/>
                          <a:pt x="224117" y="123265"/>
                        </a:cubicBezTo>
                        <a:cubicBezTo>
                          <a:pt x="252132" y="123265"/>
                          <a:pt x="322169" y="95250"/>
                          <a:pt x="392206" y="67235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4A7DBA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cxnSp macro="">
                <xdr:nvCxnSpPr>
                  <xdr:cNvPr id="238" name="Shape 165">
                    <a:extLst>
                      <a:ext uri="{FF2B5EF4-FFF2-40B4-BE49-F238E27FC236}">
                        <a16:creationId xmlns:a16="http://schemas.microsoft.com/office/drawing/2014/main" id="{00000000-0008-0000-0100-0000EE000000}"/>
                      </a:ext>
                    </a:extLst>
                  </xdr:cNvPr>
                  <xdr:cNvCxnSpPr/>
                </xdr:nvCxnSpPr>
                <xdr:spPr>
                  <a:xfrm>
                    <a:off x="12713749" y="10689291"/>
                    <a:ext cx="1395784" cy="26334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4A7DBA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" name="Shape 166">
                    <a:extLst>
                      <a:ext uri="{FF2B5EF4-FFF2-40B4-BE49-F238E27FC236}">
                        <a16:creationId xmlns:a16="http://schemas.microsoft.com/office/drawing/2014/main" id="{00000000-0008-0000-0100-0000EF000000}"/>
                      </a:ext>
                    </a:extLst>
                  </xdr:cNvPr>
                  <xdr:cNvCxnSpPr/>
                </xdr:nvCxnSpPr>
                <xdr:spPr>
                  <a:xfrm rot="10800000" flipH="1">
                    <a:off x="12502518" y="10688822"/>
                    <a:ext cx="206737" cy="1347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4A7DBA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" name="Shape 167">
                    <a:extLst>
                      <a:ext uri="{FF2B5EF4-FFF2-40B4-BE49-F238E27FC236}">
                        <a16:creationId xmlns:a16="http://schemas.microsoft.com/office/drawing/2014/main" id="{00000000-0008-0000-0100-0000F0000000}"/>
                      </a:ext>
                    </a:extLst>
                  </xdr:cNvPr>
                  <xdr:cNvCxnSpPr/>
                </xdr:nvCxnSpPr>
                <xdr:spPr>
                  <a:xfrm rot="10800000" flipH="1">
                    <a:off x="13202481" y="9522069"/>
                    <a:ext cx="848907" cy="1361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1" name="Shape 168">
                    <a:extLst>
                      <a:ext uri="{FF2B5EF4-FFF2-40B4-BE49-F238E27FC236}">
                        <a16:creationId xmlns:a16="http://schemas.microsoft.com/office/drawing/2014/main" id="{00000000-0008-0000-0100-0000F1000000}"/>
                      </a:ext>
                    </a:extLst>
                  </xdr:cNvPr>
                  <xdr:cNvCxnSpPr/>
                </xdr:nvCxnSpPr>
                <xdr:spPr>
                  <a:xfrm rot="10800000" flipH="1">
                    <a:off x="13215670" y="9916258"/>
                    <a:ext cx="848907" cy="1361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2" name="Shape 169">
                    <a:extLst>
                      <a:ext uri="{FF2B5EF4-FFF2-40B4-BE49-F238E27FC236}">
                        <a16:creationId xmlns:a16="http://schemas.microsoft.com/office/drawing/2014/main" id="{00000000-0008-0000-0100-0000F2000000}"/>
                      </a:ext>
                    </a:extLst>
                  </xdr:cNvPr>
                  <xdr:cNvCxnSpPr/>
                </xdr:nvCxnSpPr>
                <xdr:spPr>
                  <a:xfrm>
                    <a:off x="13114034" y="10669362"/>
                    <a:ext cx="0" cy="196465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3" name="Shape 170">
                    <a:extLst>
                      <a:ext uri="{FF2B5EF4-FFF2-40B4-BE49-F238E27FC236}">
                        <a16:creationId xmlns:a16="http://schemas.microsoft.com/office/drawing/2014/main" id="{00000000-0008-0000-0100-0000F3000000}"/>
                      </a:ext>
                    </a:extLst>
                  </xdr:cNvPr>
                  <xdr:cNvCxnSpPr/>
                </xdr:nvCxnSpPr>
                <xdr:spPr>
                  <a:xfrm rot="10800000">
                    <a:off x="13348497" y="10682654"/>
                    <a:ext cx="0" cy="175846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sp macro="" textlink="">
                <xdr:nvSpPr>
                  <xdr:cNvPr id="244" name="Shape 171">
                    <a:extLst>
                      <a:ext uri="{FF2B5EF4-FFF2-40B4-BE49-F238E27FC236}">
                        <a16:creationId xmlns:a16="http://schemas.microsoft.com/office/drawing/2014/main" id="{00000000-0008-0000-0100-0000F4000000}"/>
                      </a:ext>
                    </a:extLst>
                  </xdr:cNvPr>
                  <xdr:cNvSpPr/>
                </xdr:nvSpPr>
                <xdr:spPr>
                  <a:xfrm>
                    <a:off x="13045200" y="9585180"/>
                    <a:ext cx="303626" cy="277991"/>
                  </a:xfrm>
                  <a:prstGeom prst="ellipse">
                    <a:avLst/>
                  </a:prstGeom>
                  <a:solidFill>
                    <a:schemeClr val="lt1"/>
                  </a:solidFill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  <xdr:cxnSp macro="">
          <xdr:nvCxnSpPr>
            <xdr:cNvPr id="280" name="Conector recto de flecha 279">
              <a:extLst>
                <a:ext uri="{FF2B5EF4-FFF2-40B4-BE49-F238E27FC236}">
                  <a16:creationId xmlns:a16="http://schemas.microsoft.com/office/drawing/2014/main" id="{00000000-0008-0000-0100-000018010000}"/>
                </a:ext>
              </a:extLst>
            </xdr:cNvPr>
            <xdr:cNvCxnSpPr/>
          </xdr:nvCxnSpPr>
          <xdr:spPr>
            <a:xfrm flipH="1">
              <a:off x="12576470" y="19105917"/>
              <a:ext cx="7327" cy="364417"/>
            </a:xfrm>
            <a:prstGeom prst="straightConnector1">
              <a:avLst/>
            </a:prstGeom>
            <a:ln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Conector recto de flecha 280">
              <a:extLst>
                <a:ext uri="{FF2B5EF4-FFF2-40B4-BE49-F238E27FC236}">
                  <a16:creationId xmlns:a16="http://schemas.microsoft.com/office/drawing/2014/main" id="{00000000-0008-0000-0100-000019010000}"/>
                </a:ext>
              </a:extLst>
            </xdr:cNvPr>
            <xdr:cNvCxnSpPr/>
          </xdr:nvCxnSpPr>
          <xdr:spPr>
            <a:xfrm>
              <a:off x="13169952" y="19083936"/>
              <a:ext cx="5863" cy="538798"/>
            </a:xfrm>
            <a:prstGeom prst="straightConnector1">
              <a:avLst/>
            </a:prstGeom>
            <a:ln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3" name="Conector recto de flecha 282">
              <a:extLst>
                <a:ext uri="{FF2B5EF4-FFF2-40B4-BE49-F238E27FC236}">
                  <a16:creationId xmlns:a16="http://schemas.microsoft.com/office/drawing/2014/main" id="{00000000-0008-0000-0100-00001B010000}"/>
                </a:ext>
              </a:extLst>
            </xdr:cNvPr>
            <xdr:cNvCxnSpPr/>
          </xdr:nvCxnSpPr>
          <xdr:spPr>
            <a:xfrm flipH="1">
              <a:off x="13695947" y="17813678"/>
              <a:ext cx="2315" cy="454269"/>
            </a:xfrm>
            <a:prstGeom prst="straightConnector1">
              <a:avLst/>
            </a:prstGeom>
            <a:ln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5" name="Conector recto de flecha 284">
              <a:extLst>
                <a:ext uri="{FF2B5EF4-FFF2-40B4-BE49-F238E27FC236}">
                  <a16:creationId xmlns:a16="http://schemas.microsoft.com/office/drawing/2014/main" id="{00000000-0008-0000-0100-00001D010000}"/>
                </a:ext>
              </a:extLst>
            </xdr:cNvPr>
            <xdr:cNvCxnSpPr/>
          </xdr:nvCxnSpPr>
          <xdr:spPr>
            <a:xfrm flipH="1">
              <a:off x="12653211" y="19645486"/>
              <a:ext cx="295083" cy="6093"/>
            </a:xfrm>
            <a:prstGeom prst="straightConnector1">
              <a:avLst/>
            </a:prstGeom>
            <a:ln>
              <a:headEnd type="triangl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387668</xdr:colOff>
      <xdr:row>9</xdr:row>
      <xdr:rowOff>23812</xdr:rowOff>
    </xdr:from>
    <xdr:to>
      <xdr:col>6</xdr:col>
      <xdr:colOff>433387</xdr:colOff>
      <xdr:row>12</xdr:row>
      <xdr:rowOff>35719</xdr:rowOff>
    </xdr:to>
    <xdr:sp macro="" textlink="">
      <xdr:nvSpPr>
        <xdr:cNvPr id="289" name="Cerrar llave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10979468" y="1738312"/>
          <a:ext cx="45719" cy="58340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76200</xdr:colOff>
      <xdr:row>9</xdr:row>
      <xdr:rowOff>0</xdr:rowOff>
    </xdr:from>
    <xdr:to>
      <xdr:col>8</xdr:col>
      <xdr:colOff>121919</xdr:colOff>
      <xdr:row>12</xdr:row>
      <xdr:rowOff>11907</xdr:rowOff>
    </xdr:to>
    <xdr:sp macro="" textlink="">
      <xdr:nvSpPr>
        <xdr:cNvPr id="290" name="Cerrar llave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12401550" y="1714500"/>
          <a:ext cx="45719" cy="58340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4</xdr:col>
      <xdr:colOff>38100</xdr:colOff>
      <xdr:row>10</xdr:row>
      <xdr:rowOff>180975</xdr:rowOff>
    </xdr:from>
    <xdr:to>
      <xdr:col>8</xdr:col>
      <xdr:colOff>723900</xdr:colOff>
      <xdr:row>11</xdr:row>
      <xdr:rowOff>9525</xdr:rowOff>
    </xdr:to>
    <xdr:cxnSp macro="">
      <xdr:nvCxnSpPr>
        <xdr:cNvPr id="292" name="Conector recto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CxnSpPr/>
      </xdr:nvCxnSpPr>
      <xdr:spPr>
        <a:xfrm flipV="1">
          <a:off x="8896350" y="2085975"/>
          <a:ext cx="41529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51</xdr:row>
      <xdr:rowOff>9525</xdr:rowOff>
    </xdr:from>
    <xdr:to>
      <xdr:col>9</xdr:col>
      <xdr:colOff>219075</xdr:colOff>
      <xdr:row>59</xdr:row>
      <xdr:rowOff>9525</xdr:rowOff>
    </xdr:to>
    <xdr:sp macro="" textlink="">
      <xdr:nvSpPr>
        <xdr:cNvPr id="293" name="Cerrar llave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13315950" y="10020300"/>
          <a:ext cx="95250" cy="1600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5</xdr:col>
      <xdr:colOff>838200</xdr:colOff>
      <xdr:row>131</xdr:row>
      <xdr:rowOff>3284</xdr:rowOff>
    </xdr:from>
    <xdr:to>
      <xdr:col>8</xdr:col>
      <xdr:colOff>294290</xdr:colOff>
      <xdr:row>131</xdr:row>
      <xdr:rowOff>3284</xdr:rowOff>
    </xdr:to>
    <xdr:cxnSp macro="">
      <xdr:nvCxnSpPr>
        <xdr:cNvPr id="255" name="Conector recto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CxnSpPr/>
      </xdr:nvCxnSpPr>
      <xdr:spPr>
        <a:xfrm>
          <a:off x="10566838" y="25687939"/>
          <a:ext cx="2057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13138</xdr:colOff>
      <xdr:row>130</xdr:row>
      <xdr:rowOff>6569</xdr:rowOff>
    </xdr:from>
    <xdr:to>
      <xdr:col>8</xdr:col>
      <xdr:colOff>26276</xdr:colOff>
      <xdr:row>132</xdr:row>
      <xdr:rowOff>177362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 flipH="1" flipV="1">
          <a:off x="12343086" y="25494155"/>
          <a:ext cx="13138" cy="5649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32845</xdr:colOff>
      <xdr:row>117</xdr:row>
      <xdr:rowOff>6569</xdr:rowOff>
    </xdr:from>
    <xdr:to>
      <xdr:col>11</xdr:col>
      <xdr:colOff>6569</xdr:colOff>
      <xdr:row>117</xdr:row>
      <xdr:rowOff>6569</xdr:rowOff>
    </xdr:to>
    <xdr:cxnSp macro="">
      <xdr:nvCxnSpPr>
        <xdr:cNvPr id="257" name="Conector recto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CxnSpPr/>
      </xdr:nvCxnSpPr>
      <xdr:spPr>
        <a:xfrm>
          <a:off x="12362793" y="22932259"/>
          <a:ext cx="242394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282466</xdr:colOff>
      <xdr:row>117</xdr:row>
      <xdr:rowOff>124810</xdr:rowOff>
    </xdr:from>
    <xdr:ext cx="0" cy="228600"/>
    <xdr:sp macro="" textlink="">
      <xdr:nvSpPr>
        <xdr:cNvPr id="295" name="Shape 17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12612414" y="23050500"/>
          <a:ext cx="0" cy="228600"/>
        </a:xfrm>
        <a:prstGeom prst="rect">
          <a:avLst/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282466</xdr:colOff>
      <xdr:row>119</xdr:row>
      <xdr:rowOff>134335</xdr:rowOff>
    </xdr:from>
    <xdr:ext cx="0" cy="228600"/>
    <xdr:sp macro="" textlink="">
      <xdr:nvSpPr>
        <xdr:cNvPr id="296" name="Shape 17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12612414" y="23454163"/>
          <a:ext cx="0" cy="228600"/>
        </a:xfrm>
        <a:prstGeom prst="rect">
          <a:avLst/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282466</xdr:colOff>
      <xdr:row>121</xdr:row>
      <xdr:rowOff>162910</xdr:rowOff>
    </xdr:from>
    <xdr:ext cx="0" cy="228600"/>
    <xdr:sp macro="" textlink="">
      <xdr:nvSpPr>
        <xdr:cNvPr id="297" name="Shape 17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12612414" y="23876876"/>
          <a:ext cx="0" cy="228600"/>
        </a:xfrm>
        <a:prstGeom prst="rect">
          <a:avLst/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282466</xdr:colOff>
      <xdr:row>124</xdr:row>
      <xdr:rowOff>3941</xdr:rowOff>
    </xdr:from>
    <xdr:ext cx="0" cy="228600"/>
    <xdr:sp macro="" textlink="">
      <xdr:nvSpPr>
        <xdr:cNvPr id="298" name="Shape 1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12612414" y="24309113"/>
          <a:ext cx="0" cy="228600"/>
        </a:xfrm>
        <a:prstGeom prst="rect">
          <a:avLst/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8</xdr:col>
      <xdr:colOff>40728</xdr:colOff>
      <xdr:row>126</xdr:row>
      <xdr:rowOff>27590</xdr:rowOff>
    </xdr:from>
    <xdr:to>
      <xdr:col>11</xdr:col>
      <xdr:colOff>14452</xdr:colOff>
      <xdr:row>126</xdr:row>
      <xdr:rowOff>27590</xdr:rowOff>
    </xdr:to>
    <xdr:cxnSp macro="">
      <xdr:nvCxnSpPr>
        <xdr:cNvPr id="299" name="Conector recto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CxnSpPr/>
      </xdr:nvCxnSpPr>
      <xdr:spPr>
        <a:xfrm>
          <a:off x="12370676" y="24726900"/>
          <a:ext cx="242394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663467</xdr:colOff>
      <xdr:row>117</xdr:row>
      <xdr:rowOff>19707</xdr:rowOff>
    </xdr:from>
    <xdr:to>
      <xdr:col>8</xdr:col>
      <xdr:colOff>670035</xdr:colOff>
      <xdr:row>126</xdr:row>
      <xdr:rowOff>52552</xdr:rowOff>
    </xdr:to>
    <xdr:cxnSp macro="">
      <xdr:nvCxnSpPr>
        <xdr:cNvPr id="269" name="Conector recto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CxnSpPr/>
      </xdr:nvCxnSpPr>
      <xdr:spPr>
        <a:xfrm>
          <a:off x="12993415" y="22945397"/>
          <a:ext cx="6568" cy="1806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316625</xdr:colOff>
      <xdr:row>146</xdr:row>
      <xdr:rowOff>47296</xdr:rowOff>
    </xdr:from>
    <xdr:ext cx="36000" cy="228600"/>
    <xdr:sp macro="" textlink="">
      <xdr:nvSpPr>
        <xdr:cNvPr id="300" name="Shape 17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11779470" y="28687986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316625</xdr:colOff>
      <xdr:row>148</xdr:row>
      <xdr:rowOff>56821</xdr:rowOff>
    </xdr:from>
    <xdr:ext cx="36000" cy="228600"/>
    <xdr:sp macro="" textlink="">
      <xdr:nvSpPr>
        <xdr:cNvPr id="301" name="Shape 17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11779470" y="29091649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316625</xdr:colOff>
      <xdr:row>150</xdr:row>
      <xdr:rowOff>85396</xdr:rowOff>
    </xdr:from>
    <xdr:ext cx="36000" cy="228600"/>
    <xdr:sp macro="" textlink="">
      <xdr:nvSpPr>
        <xdr:cNvPr id="302" name="Shape 17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11779470" y="29514362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316625</xdr:colOff>
      <xdr:row>152</xdr:row>
      <xdr:rowOff>123496</xdr:rowOff>
    </xdr:from>
    <xdr:ext cx="36000" cy="228600"/>
    <xdr:sp macro="" textlink="">
      <xdr:nvSpPr>
        <xdr:cNvPr id="303" name="Shape 17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11779470" y="29946599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357354</xdr:colOff>
      <xdr:row>146</xdr:row>
      <xdr:rowOff>2627</xdr:rowOff>
    </xdr:from>
    <xdr:ext cx="0" cy="228600"/>
    <xdr:sp macro="" textlink="">
      <xdr:nvSpPr>
        <xdr:cNvPr id="304" name="Shape 17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10953095" y="28643317"/>
          <a:ext cx="0" cy="228600"/>
        </a:xfrm>
        <a:prstGeom prst="rect">
          <a:avLst/>
        </a:prstGeom>
        <a:noFill/>
        <a:ln w="28575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357354</xdr:colOff>
      <xdr:row>148</xdr:row>
      <xdr:rowOff>12152</xdr:rowOff>
    </xdr:from>
    <xdr:ext cx="0" cy="228600"/>
    <xdr:sp macro="" textlink="">
      <xdr:nvSpPr>
        <xdr:cNvPr id="305" name="Shape 17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10953095" y="29046980"/>
          <a:ext cx="0" cy="228600"/>
        </a:xfrm>
        <a:prstGeom prst="rect">
          <a:avLst/>
        </a:prstGeom>
        <a:noFill/>
        <a:ln w="28575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357354</xdr:colOff>
      <xdr:row>150</xdr:row>
      <xdr:rowOff>40727</xdr:rowOff>
    </xdr:from>
    <xdr:ext cx="0" cy="228600"/>
    <xdr:sp macro="" textlink="">
      <xdr:nvSpPr>
        <xdr:cNvPr id="306" name="Shape 17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10953095" y="29469693"/>
          <a:ext cx="0" cy="228600"/>
        </a:xfrm>
        <a:prstGeom prst="rect">
          <a:avLst/>
        </a:prstGeom>
        <a:noFill/>
        <a:ln w="28575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357354</xdr:colOff>
      <xdr:row>152</xdr:row>
      <xdr:rowOff>78827</xdr:rowOff>
    </xdr:from>
    <xdr:ext cx="0" cy="228600"/>
    <xdr:sp macro="" textlink="">
      <xdr:nvSpPr>
        <xdr:cNvPr id="307" name="Shape 17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10953095" y="29901930"/>
          <a:ext cx="0" cy="228600"/>
        </a:xfrm>
        <a:prstGeom prst="rect">
          <a:avLst/>
        </a:prstGeom>
        <a:noFill/>
        <a:ln w="28575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590878</xdr:colOff>
      <xdr:row>155</xdr:row>
      <xdr:rowOff>77842</xdr:rowOff>
    </xdr:from>
    <xdr:ext cx="257175" cy="28575"/>
    <xdr:grpSp>
      <xdr:nvGrpSpPr>
        <xdr:cNvPr id="311" name="Shape 2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GrpSpPr/>
      </xdr:nvGrpSpPr>
      <xdr:grpSpPr>
        <a:xfrm rot="16200000">
          <a:off x="11711845" y="31057375"/>
          <a:ext cx="28575" cy="257175"/>
          <a:chOff x="5331713" y="308136"/>
          <a:chExt cx="28575" cy="6943725"/>
        </a:xfrm>
      </xdr:grpSpPr>
      <xdr:grpSp>
        <xdr:nvGrpSpPr>
          <xdr:cNvPr id="312" name="Shape 10">
            <a:extLst>
              <a:ext uri="{FF2B5EF4-FFF2-40B4-BE49-F238E27FC236}">
                <a16:creationId xmlns:a16="http://schemas.microsoft.com/office/drawing/2014/main" id="{00000000-0008-0000-0100-00003801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313" name="Shape 7">
              <a:extLst>
                <a:ext uri="{FF2B5EF4-FFF2-40B4-BE49-F238E27FC236}">
                  <a16:creationId xmlns:a16="http://schemas.microsoft.com/office/drawing/2014/main" id="{00000000-0008-0000-0100-00003901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14" name="Shape 11">
              <a:extLst>
                <a:ext uri="{FF2B5EF4-FFF2-40B4-BE49-F238E27FC236}">
                  <a16:creationId xmlns:a16="http://schemas.microsoft.com/office/drawing/2014/main" id="{00000000-0008-0000-0100-00003A01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656897</xdr:colOff>
      <xdr:row>155</xdr:row>
      <xdr:rowOff>183931</xdr:rowOff>
    </xdr:from>
    <xdr:ext cx="209550" cy="628650"/>
    <xdr:sp macro="" textlink="">
      <xdr:nvSpPr>
        <xdr:cNvPr id="316" name="Shape 28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 rot="10800000">
          <a:off x="9518431" y="30598241"/>
          <a:ext cx="209550" cy="6286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22336</xdr:colOff>
      <xdr:row>146</xdr:row>
      <xdr:rowOff>22334</xdr:rowOff>
    </xdr:from>
    <xdr:ext cx="36000" cy="228600"/>
    <xdr:sp macro="" textlink="">
      <xdr:nvSpPr>
        <xdr:cNvPr id="317" name="Shape 17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9750974" y="28663024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22336</xdr:colOff>
      <xdr:row>148</xdr:row>
      <xdr:rowOff>31859</xdr:rowOff>
    </xdr:from>
    <xdr:ext cx="36000" cy="228600"/>
    <xdr:sp macro="" textlink="">
      <xdr:nvSpPr>
        <xdr:cNvPr id="318" name="Shape 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9750974" y="29066687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22336</xdr:colOff>
      <xdr:row>150</xdr:row>
      <xdr:rowOff>60434</xdr:rowOff>
    </xdr:from>
    <xdr:ext cx="36000" cy="228600"/>
    <xdr:sp macro="" textlink="">
      <xdr:nvSpPr>
        <xdr:cNvPr id="319" name="Shape 17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9750974" y="29489400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22336</xdr:colOff>
      <xdr:row>152</xdr:row>
      <xdr:rowOff>98534</xdr:rowOff>
    </xdr:from>
    <xdr:ext cx="36000" cy="228600"/>
    <xdr:sp macro="" textlink="">
      <xdr:nvSpPr>
        <xdr:cNvPr id="320" name="Shape 17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9750974" y="29921637"/>
          <a:ext cx="36000" cy="228600"/>
        </a:xfrm>
        <a:prstGeom prst="rect">
          <a:avLst/>
        </a:prstGeom>
        <a:noFill/>
        <a:ln w="25400" cap="flat" cmpd="sng">
          <a:solidFill>
            <a:schemeClr val="bg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6</xdr:col>
      <xdr:colOff>273434</xdr:colOff>
      <xdr:row>144</xdr:row>
      <xdr:rowOff>187544</xdr:rowOff>
    </xdr:from>
    <xdr:to>
      <xdr:col>6</xdr:col>
      <xdr:colOff>273434</xdr:colOff>
      <xdr:row>154</xdr:row>
      <xdr:rowOff>179005</xdr:rowOff>
    </xdr:to>
    <xdr:cxnSp macro="">
      <xdr:nvCxnSpPr>
        <xdr:cNvPr id="275" name="Conector recto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CxnSpPr/>
      </xdr:nvCxnSpPr>
      <xdr:spPr>
        <a:xfrm>
          <a:off x="10869175" y="28434096"/>
          <a:ext cx="0" cy="1962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189513</xdr:colOff>
      <xdr:row>144</xdr:row>
      <xdr:rowOff>51237</xdr:rowOff>
    </xdr:from>
    <xdr:ext cx="352425" cy="38100"/>
    <xdr:grpSp>
      <xdr:nvGrpSpPr>
        <xdr:cNvPr id="321" name="Shape 2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GrpSpPr/>
      </xdr:nvGrpSpPr>
      <xdr:grpSpPr>
        <a:xfrm rot="176091">
          <a:off x="12085180" y="28933154"/>
          <a:ext cx="352425" cy="38100"/>
          <a:chOff x="5169788" y="3760950"/>
          <a:chExt cx="352425" cy="38100"/>
        </a:xfrm>
      </xdr:grpSpPr>
      <xdr:grpSp>
        <xdr:nvGrpSpPr>
          <xdr:cNvPr id="322" name="Shape 22">
            <a:extLst>
              <a:ext uri="{FF2B5EF4-FFF2-40B4-BE49-F238E27FC236}">
                <a16:creationId xmlns:a16="http://schemas.microsoft.com/office/drawing/2014/main" id="{00000000-0008-0000-0100-00004201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70475"/>
            <a:chExt cx="352425" cy="19050"/>
          </a:xfrm>
        </xdr:grpSpPr>
        <xdr:sp macro="" textlink="">
          <xdr:nvSpPr>
            <xdr:cNvPr id="323" name="Shape 7">
              <a:extLst>
                <a:ext uri="{FF2B5EF4-FFF2-40B4-BE49-F238E27FC236}">
                  <a16:creationId xmlns:a16="http://schemas.microsoft.com/office/drawing/2014/main" id="{00000000-0008-0000-0100-000043010000}"/>
                </a:ext>
              </a:extLst>
            </xdr:cNvPr>
            <xdr:cNvSpPr/>
          </xdr:nvSpPr>
          <xdr:spPr>
            <a:xfrm>
              <a:off x="5169788" y="3770475"/>
              <a:ext cx="3524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4" name="Shape 23">
              <a:extLst>
                <a:ext uri="{FF2B5EF4-FFF2-40B4-BE49-F238E27FC236}">
                  <a16:creationId xmlns:a16="http://schemas.microsoft.com/office/drawing/2014/main" id="{00000000-0008-0000-0100-000044010000}"/>
                </a:ext>
              </a:extLst>
            </xdr:cNvPr>
            <xdr:cNvCxnSpPr/>
          </xdr:nvCxnSpPr>
          <xdr:spPr>
            <a:xfrm flipH="1">
              <a:off x="5169788" y="3770475"/>
              <a:ext cx="3524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5</xdr:col>
      <xdr:colOff>671019</xdr:colOff>
      <xdr:row>144</xdr:row>
      <xdr:rowOff>52879</xdr:rowOff>
    </xdr:from>
    <xdr:ext cx="257175" cy="28575"/>
    <xdr:grpSp>
      <xdr:nvGrpSpPr>
        <xdr:cNvPr id="325" name="Shape 2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GrpSpPr/>
      </xdr:nvGrpSpPr>
      <xdr:grpSpPr>
        <a:xfrm rot="16200000">
          <a:off x="11791986" y="28820496"/>
          <a:ext cx="28575" cy="257175"/>
          <a:chOff x="5331713" y="308136"/>
          <a:chExt cx="28575" cy="6943725"/>
        </a:xfrm>
      </xdr:grpSpPr>
      <xdr:grpSp>
        <xdr:nvGrpSpPr>
          <xdr:cNvPr id="326" name="Shape 10">
            <a:extLst>
              <a:ext uri="{FF2B5EF4-FFF2-40B4-BE49-F238E27FC236}">
                <a16:creationId xmlns:a16="http://schemas.microsoft.com/office/drawing/2014/main" id="{00000000-0008-0000-0100-00004601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327" name="Shape 7">
              <a:extLst>
                <a:ext uri="{FF2B5EF4-FFF2-40B4-BE49-F238E27FC236}">
                  <a16:creationId xmlns:a16="http://schemas.microsoft.com/office/drawing/2014/main" id="{00000000-0008-0000-0100-00004701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8" name="Shape 11">
              <a:extLst>
                <a:ext uri="{FF2B5EF4-FFF2-40B4-BE49-F238E27FC236}">
                  <a16:creationId xmlns:a16="http://schemas.microsoft.com/office/drawing/2014/main" id="{00000000-0008-0000-0100-00004801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6</xdr:col>
      <xdr:colOff>487746</xdr:colOff>
      <xdr:row>147</xdr:row>
      <xdr:rowOff>51566</xdr:rowOff>
    </xdr:from>
    <xdr:ext cx="28575" cy="257175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GrpSpPr/>
      </xdr:nvGrpSpPr>
      <xdr:grpSpPr>
        <a:xfrm rot="10800000">
          <a:off x="12383413" y="29536733"/>
          <a:ext cx="28575" cy="257175"/>
          <a:chOff x="5331713" y="308136"/>
          <a:chExt cx="28575" cy="6943725"/>
        </a:xfrm>
      </xdr:grpSpPr>
      <xdr:grpSp>
        <xdr:nvGrpSpPr>
          <xdr:cNvPr id="330" name="Shape 131">
            <a:extLst>
              <a:ext uri="{FF2B5EF4-FFF2-40B4-BE49-F238E27FC236}">
                <a16:creationId xmlns:a16="http://schemas.microsoft.com/office/drawing/2014/main" id="{00000000-0008-0000-0100-00004A01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331" name="Shape 7">
              <a:extLst>
                <a:ext uri="{FF2B5EF4-FFF2-40B4-BE49-F238E27FC236}">
                  <a16:creationId xmlns:a16="http://schemas.microsoft.com/office/drawing/2014/main" id="{00000000-0008-0000-0100-00004B01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32" name="Shape 132">
              <a:extLst>
                <a:ext uri="{FF2B5EF4-FFF2-40B4-BE49-F238E27FC236}">
                  <a16:creationId xmlns:a16="http://schemas.microsoft.com/office/drawing/2014/main" id="{00000000-0008-0000-0100-00004C01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8</xdr:col>
      <xdr:colOff>18063</xdr:colOff>
      <xdr:row>143</xdr:row>
      <xdr:rowOff>108386</xdr:rowOff>
    </xdr:from>
    <xdr:ext cx="352425" cy="38100"/>
    <xdr:grpSp>
      <xdr:nvGrpSpPr>
        <xdr:cNvPr id="333" name="Shape 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GrpSpPr/>
      </xdr:nvGrpSpPr>
      <xdr:grpSpPr>
        <a:xfrm rot="176091">
          <a:off x="13691730" y="28789219"/>
          <a:ext cx="352425" cy="38100"/>
          <a:chOff x="5169788" y="3760950"/>
          <a:chExt cx="352425" cy="38100"/>
        </a:xfrm>
      </xdr:grpSpPr>
      <xdr:grpSp>
        <xdr:nvGrpSpPr>
          <xdr:cNvPr id="334" name="Shape 22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70475"/>
            <a:chExt cx="352425" cy="19050"/>
          </a:xfrm>
        </xdr:grpSpPr>
        <xdr:sp macro="" textlink="">
          <xdr:nvSpPr>
            <xdr:cNvPr id="335" name="Shape 7">
              <a:extLst>
                <a:ext uri="{FF2B5EF4-FFF2-40B4-BE49-F238E27FC236}">
                  <a16:creationId xmlns:a16="http://schemas.microsoft.com/office/drawing/2014/main" id="{00000000-0008-0000-0100-00004F010000}"/>
                </a:ext>
              </a:extLst>
            </xdr:cNvPr>
            <xdr:cNvSpPr/>
          </xdr:nvSpPr>
          <xdr:spPr>
            <a:xfrm>
              <a:off x="5169788" y="3770475"/>
              <a:ext cx="3524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36" name="Shape 23">
              <a:extLst>
                <a:ext uri="{FF2B5EF4-FFF2-40B4-BE49-F238E27FC236}">
                  <a16:creationId xmlns:a16="http://schemas.microsoft.com/office/drawing/2014/main" id="{00000000-0008-0000-0100-000050010000}"/>
                </a:ext>
              </a:extLst>
            </xdr:cNvPr>
            <xdr:cNvCxnSpPr/>
          </xdr:nvCxnSpPr>
          <xdr:spPr>
            <a:xfrm flipH="1">
              <a:off x="5169788" y="3770475"/>
              <a:ext cx="3524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7</xdr:col>
      <xdr:colOff>80469</xdr:colOff>
      <xdr:row>143</xdr:row>
      <xdr:rowOff>119553</xdr:rowOff>
    </xdr:from>
    <xdr:ext cx="257175" cy="28575"/>
    <xdr:grpSp>
      <xdr:nvGrpSpPr>
        <xdr:cNvPr id="337" name="Shape 2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GrpSpPr/>
      </xdr:nvGrpSpPr>
      <xdr:grpSpPr>
        <a:xfrm rot="16200000">
          <a:off x="12979436" y="28686086"/>
          <a:ext cx="28575" cy="257175"/>
          <a:chOff x="5331713" y="308136"/>
          <a:chExt cx="28575" cy="6943725"/>
        </a:xfrm>
      </xdr:grpSpPr>
      <xdr:grpSp>
        <xdr:nvGrpSpPr>
          <xdr:cNvPr id="338" name="Shape 10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339" name="Shape 7">
              <a:extLst>
                <a:ext uri="{FF2B5EF4-FFF2-40B4-BE49-F238E27FC236}">
                  <a16:creationId xmlns:a16="http://schemas.microsoft.com/office/drawing/2014/main" id="{00000000-0008-0000-0100-00005301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0" name="Shape 11">
              <a:extLst>
                <a:ext uri="{FF2B5EF4-FFF2-40B4-BE49-F238E27FC236}">
                  <a16:creationId xmlns:a16="http://schemas.microsoft.com/office/drawing/2014/main" id="{00000000-0008-0000-0100-00005401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4</xdr:col>
      <xdr:colOff>728069</xdr:colOff>
      <xdr:row>175</xdr:row>
      <xdr:rowOff>57427</xdr:rowOff>
    </xdr:from>
    <xdr:ext cx="28575" cy="257175"/>
    <xdr:grpSp>
      <xdr:nvGrpSpPr>
        <xdr:cNvPr id="341" name="Shape 2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GrpSpPr/>
      </xdr:nvGrpSpPr>
      <xdr:grpSpPr>
        <a:xfrm rot="10800000">
          <a:off x="10845736" y="35172927"/>
          <a:ext cx="28575" cy="257175"/>
          <a:chOff x="5331713" y="308136"/>
          <a:chExt cx="28575" cy="6943725"/>
        </a:xfrm>
      </xdr:grpSpPr>
      <xdr:grpSp>
        <xdr:nvGrpSpPr>
          <xdr:cNvPr id="342" name="Shape 131">
            <a:extLst>
              <a:ext uri="{FF2B5EF4-FFF2-40B4-BE49-F238E27FC236}">
                <a16:creationId xmlns:a16="http://schemas.microsoft.com/office/drawing/2014/main" id="{00000000-0008-0000-0100-00005601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343" name="Shape 7">
              <a:extLst>
                <a:ext uri="{FF2B5EF4-FFF2-40B4-BE49-F238E27FC236}">
                  <a16:creationId xmlns:a16="http://schemas.microsoft.com/office/drawing/2014/main" id="{00000000-0008-0000-0100-00005701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4" name="Shape 132">
              <a:extLst>
                <a:ext uri="{FF2B5EF4-FFF2-40B4-BE49-F238E27FC236}">
                  <a16:creationId xmlns:a16="http://schemas.microsoft.com/office/drawing/2014/main" id="{00000000-0008-0000-0100-00005801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12</xdr:col>
      <xdr:colOff>26149</xdr:colOff>
      <xdr:row>152</xdr:row>
      <xdr:rowOff>0</xdr:rowOff>
    </xdr:from>
    <xdr:ext cx="352425" cy="38100"/>
    <xdr:grpSp>
      <xdr:nvGrpSpPr>
        <xdr:cNvPr id="349" name="Shape 2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GrpSpPr/>
      </xdr:nvGrpSpPr>
      <xdr:grpSpPr>
        <a:xfrm rot="474352">
          <a:off x="16938316" y="30490583"/>
          <a:ext cx="352425" cy="38100"/>
          <a:chOff x="5169788" y="3760950"/>
          <a:chExt cx="352425" cy="38100"/>
        </a:xfrm>
      </xdr:grpSpPr>
      <xdr:grpSp>
        <xdr:nvGrpSpPr>
          <xdr:cNvPr id="350" name="Shape 6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70475"/>
            <a:chExt cx="352425" cy="19050"/>
          </a:xfrm>
        </xdr:grpSpPr>
        <xdr:sp macro="" textlink="">
          <xdr:nvSpPr>
            <xdr:cNvPr id="351" name="Shape 7">
              <a:extLst>
                <a:ext uri="{FF2B5EF4-FFF2-40B4-BE49-F238E27FC236}">
                  <a16:creationId xmlns:a16="http://schemas.microsoft.com/office/drawing/2014/main" id="{00000000-0008-0000-0100-00005F010000}"/>
                </a:ext>
              </a:extLst>
            </xdr:cNvPr>
            <xdr:cNvSpPr/>
          </xdr:nvSpPr>
          <xdr:spPr>
            <a:xfrm>
              <a:off x="5169788" y="3770475"/>
              <a:ext cx="3524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52" name="Shape 8">
              <a:extLst>
                <a:ext uri="{FF2B5EF4-FFF2-40B4-BE49-F238E27FC236}">
                  <a16:creationId xmlns:a16="http://schemas.microsoft.com/office/drawing/2014/main" id="{00000000-0008-0000-0100-000060010000}"/>
                </a:ext>
              </a:extLst>
            </xdr:cNvPr>
            <xdr:cNvCxnSpPr/>
          </xdr:nvCxnSpPr>
          <xdr:spPr>
            <a:xfrm flipH="1">
              <a:off x="5169788" y="3770475"/>
              <a:ext cx="352425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11</xdr:col>
      <xdr:colOff>351692</xdr:colOff>
      <xdr:row>151</xdr:row>
      <xdr:rowOff>196765</xdr:rowOff>
    </xdr:from>
    <xdr:ext cx="257175" cy="28575"/>
    <xdr:grpSp>
      <xdr:nvGrpSpPr>
        <xdr:cNvPr id="353" name="Shape 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GrpSpPr/>
      </xdr:nvGrpSpPr>
      <xdr:grpSpPr>
        <a:xfrm rot="16200000">
          <a:off x="16647909" y="30371965"/>
          <a:ext cx="28575" cy="257175"/>
          <a:chOff x="5331713" y="308136"/>
          <a:chExt cx="28575" cy="6943725"/>
        </a:xfrm>
      </xdr:grpSpPr>
      <xdr:grpSp>
        <xdr:nvGrpSpPr>
          <xdr:cNvPr id="354" name="Shape 10">
            <a:extLst>
              <a:ext uri="{FF2B5EF4-FFF2-40B4-BE49-F238E27FC236}">
                <a16:creationId xmlns:a16="http://schemas.microsoft.com/office/drawing/2014/main" id="{00000000-0008-0000-0100-000062010000}"/>
              </a:ext>
            </a:extLst>
          </xdr:cNvPr>
          <xdr:cNvGrpSpPr/>
        </xdr:nvGrpSpPr>
        <xdr:grpSpPr>
          <a:xfrm>
            <a:off x="5331713" y="308136"/>
            <a:ext cx="28575" cy="6943725"/>
            <a:chOff x="5217413" y="3651413"/>
            <a:chExt cx="257175" cy="257175"/>
          </a:xfrm>
        </xdr:grpSpPr>
        <xdr:sp macro="" textlink="">
          <xdr:nvSpPr>
            <xdr:cNvPr id="355" name="Shape 7">
              <a:extLst>
                <a:ext uri="{FF2B5EF4-FFF2-40B4-BE49-F238E27FC236}">
                  <a16:creationId xmlns:a16="http://schemas.microsoft.com/office/drawing/2014/main" id="{00000000-0008-0000-0100-000063010000}"/>
                </a:ext>
              </a:extLst>
            </xdr:cNvPr>
            <xdr:cNvSpPr/>
          </xdr:nvSpPr>
          <xdr:spPr>
            <a:xfrm>
              <a:off x="5217413" y="3775238"/>
              <a:ext cx="2571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56" name="Shape 11">
              <a:extLst>
                <a:ext uri="{FF2B5EF4-FFF2-40B4-BE49-F238E27FC236}">
                  <a16:creationId xmlns:a16="http://schemas.microsoft.com/office/drawing/2014/main" id="{00000000-0008-0000-0100-000064010000}"/>
                </a:ext>
              </a:extLst>
            </xdr:cNvPr>
            <xdr:cNvCxnSpPr/>
          </xdr:nvCxnSpPr>
          <xdr:spPr>
            <a:xfrm rot="-5400000" flipH="1">
              <a:off x="5217413" y="3775238"/>
              <a:ext cx="2571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30163</xdr:colOff>
      <xdr:row>17</xdr:row>
      <xdr:rowOff>155575</xdr:rowOff>
    </xdr:from>
    <xdr:ext cx="4810125" cy="742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165851" y="3560763"/>
          <a:ext cx="4810125" cy="742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𝐽_𝑡𝑢𝑏𝑒𝑟𝑖𝑎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=(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𝑄_𝑏/(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2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7,113〖×(∅_𝑡𝑢𝑏𝑒𝑟𝑖𝑎/1000)〗^2,596 ))^(1/0,532)</a:t>
          </a:r>
          <a:endParaRPr sz="1100"/>
        </a:p>
      </xdr:txBody>
    </xdr:sp>
    <xdr:clientData fLocksWithSheet="0"/>
  </xdr:oneCellAnchor>
  <xdr:oneCellAnchor>
    <xdr:from>
      <xdr:col>5</xdr:col>
      <xdr:colOff>247650</xdr:colOff>
      <xdr:row>44</xdr:row>
      <xdr:rowOff>198197</xdr:rowOff>
    </xdr:from>
    <xdr:ext cx="4267200" cy="492606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6381750" y="9151697"/>
          <a:ext cx="4267200" cy="49260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𝑃_𝑏𝑜𝑚𝑏𝑎 [𝑐𝑣]=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((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1000 𝐾𝑔/𝑚^3 × 𝑄_𝑏×𝐻_𝑚𝑎𝑛)/(75×∩_𝑏𝑜𝑚𝑏𝑎 ))</a:t>
          </a:r>
          <a:endParaRPr sz="1100"/>
        </a:p>
      </xdr:txBody>
    </xdr:sp>
    <xdr:clientData fLocksWithSheet="0"/>
  </xdr:oneCellAnchor>
  <xdr:oneCellAnchor>
    <xdr:from>
      <xdr:col>5</xdr:col>
      <xdr:colOff>19050</xdr:colOff>
      <xdr:row>49</xdr:row>
      <xdr:rowOff>180975</xdr:rowOff>
    </xdr:from>
    <xdr:ext cx="3609975" cy="4857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57800" y="9867900"/>
          <a:ext cx="360997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𝑃_𝑚𝑜𝑡𝑜𝑏𝑜𝑚𝑏𝑎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=(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𝑃_𝑏𝑜𝑚𝑏𝑎/∩_𝑚𝑜𝑡𝑜𝑟 )</a:t>
          </a:r>
          <a:endParaRPr sz="1100"/>
        </a:p>
      </xdr:txBody>
    </xdr:sp>
    <xdr:clientData fLocksWithSheet="0"/>
  </xdr:oneCellAnchor>
  <xdr:oneCellAnchor>
    <xdr:from>
      <xdr:col>5</xdr:col>
      <xdr:colOff>247650</xdr:colOff>
      <xdr:row>46</xdr:row>
      <xdr:rowOff>11449</xdr:rowOff>
    </xdr:from>
    <xdr:ext cx="3609975" cy="277091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6381750" y="9364999"/>
          <a:ext cx="3609975" cy="27709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𝑃_𝑏𝑜𝑚𝑏𝑎 [𝐻𝑃]=</a:t>
          </a:r>
          <a:r>
            <a:rPr lang="en-US" sz="110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(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〖1,014×𝑃〗_𝑏𝑜𝑚𝑏𝑎 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[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𝑐𝑣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]</a:t>
          </a:r>
          <a:endParaRPr sz="1400"/>
        </a:p>
      </xdr:txBody>
    </xdr:sp>
    <xdr:clientData fLocksWithSheet="0"/>
  </xdr:oneCellAnchor>
  <xdr:oneCellAnchor>
    <xdr:from>
      <xdr:col>3</xdr:col>
      <xdr:colOff>153987</xdr:colOff>
      <xdr:row>8</xdr:row>
      <xdr:rowOff>136525</xdr:rowOff>
    </xdr:from>
    <xdr:ext cx="6162675" cy="3619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678362" y="1747838"/>
          <a:ext cx="6162675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mbria Math"/>
            <a:buNone/>
          </a:pP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∅_𝑡𝑢𝑏𝑒𝑟𝑖𝑎=(〖𝑄_𝑏^ 〗^(1⁄2)×𝑋^(1⁄4) 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; </a:t>
          </a:r>
          <a:r>
            <a:rPr lang="en-US" sz="1100" b="0" i="0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𝑋=(𝑁º 𝑑𝑒 ℎ𝑜𝑟𝑎𝑠 𝑑𝑒 𝑜𝑝𝑒𝑟𝑎𝑐𝑖ó𝑛 𝑑𝑒 𝑙𝑎 𝑏𝑜𝑚𝑏𝑎)/24ℎ𝑠</a:t>
          </a:r>
          <a:endParaRPr sz="1100" i="1"/>
        </a:p>
      </xdr:txBody>
    </xdr:sp>
    <xdr:clientData fLocksWithSheet="0"/>
  </xdr:oneCellAnchor>
  <xdr:oneCellAnchor>
    <xdr:from>
      <xdr:col>5</xdr:col>
      <xdr:colOff>485775</xdr:colOff>
      <xdr:row>22</xdr:row>
      <xdr:rowOff>142875</xdr:rowOff>
    </xdr:from>
    <xdr:ext cx="1647825" cy="3238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25</xdr:row>
      <xdr:rowOff>38100</xdr:rowOff>
    </xdr:from>
    <xdr:ext cx="2667000" cy="14478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297180</xdr:colOff>
          <xdr:row>49</xdr:row>
          <xdr:rowOff>60960</xdr:rowOff>
        </xdr:from>
        <xdr:to>
          <xdr:col>13</xdr:col>
          <xdr:colOff>403860</xdr:colOff>
          <xdr:row>49</xdr:row>
          <xdr:rowOff>160020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21</xdr:col>
      <xdr:colOff>8031</xdr:colOff>
      <xdr:row>19</xdr:row>
      <xdr:rowOff>0</xdr:rowOff>
    </xdr:from>
    <xdr:to>
      <xdr:col>39</xdr:col>
      <xdr:colOff>727075</xdr:colOff>
      <xdr:row>20</xdr:row>
      <xdr:rowOff>185422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820531" y="5086350"/>
          <a:ext cx="15251019" cy="3851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3</xdr:row>
      <xdr:rowOff>342900</xdr:rowOff>
    </xdr:from>
    <xdr:ext cx="1009650" cy="6572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4845938" y="3456150"/>
          <a:ext cx="1000125" cy="647700"/>
        </a:xfrm>
        <a:prstGeom prst="flowChartMagneticDisk">
          <a:avLst/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3</xdr:row>
      <xdr:rowOff>219075</xdr:rowOff>
    </xdr:from>
    <xdr:ext cx="981075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216265" y="843915"/>
          <a:ext cx="981075" cy="28575"/>
          <a:chOff x="4855463" y="3765713"/>
          <a:chExt cx="981075" cy="28575"/>
        </a:xfrm>
      </xdr:grpSpPr>
      <xdr:grpSp>
        <xdr:nvGrpSpPr>
          <xdr:cNvPr id="174" name="Shape 174">
            <a:extLst>
              <a:ext uri="{FF2B5EF4-FFF2-40B4-BE49-F238E27FC236}">
                <a16:creationId xmlns:a16="http://schemas.microsoft.com/office/drawing/2014/main" id="{00000000-0008-0000-0400-0000AE000000}"/>
              </a:ext>
            </a:extLst>
          </xdr:cNvPr>
          <xdr:cNvGrpSpPr/>
        </xdr:nvGrpSpPr>
        <xdr:grpSpPr>
          <a:xfrm>
            <a:off x="4855463" y="3765713"/>
            <a:ext cx="981075" cy="28575"/>
            <a:chOff x="4855463" y="3775238"/>
            <a:chExt cx="981075" cy="9525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4855463" y="3775238"/>
              <a:ext cx="9810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75" name="Shape 175">
              <a:extLst>
                <a:ext uri="{FF2B5EF4-FFF2-40B4-BE49-F238E27FC236}">
                  <a16:creationId xmlns:a16="http://schemas.microsoft.com/office/drawing/2014/main" id="{00000000-0008-0000-0400-0000AF000000}"/>
                </a:ext>
              </a:extLst>
            </xdr:cNvPr>
            <xdr:cNvCxnSpPr/>
          </xdr:nvCxnSpPr>
          <xdr:spPr>
            <a:xfrm>
              <a:off x="4855463" y="3775238"/>
              <a:ext cx="98107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stealth" w="med" len="med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8</xdr:col>
      <xdr:colOff>28575</xdr:colOff>
      <xdr:row>2</xdr:row>
      <xdr:rowOff>123825</xdr:rowOff>
    </xdr:from>
    <xdr:ext cx="285750" cy="43815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5207888" y="3565688"/>
          <a:ext cx="276225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None/>
          </a:pPr>
          <a:r>
            <a:rPr lang="en-US" sz="1100" b="0" i="0">
              <a:latin typeface="Calibri"/>
              <a:ea typeface="Calibri"/>
              <a:cs typeface="Calibri"/>
              <a:sym typeface="Calibri"/>
            </a:rPr>
            <a:t>D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 b="0" i="0" cap="none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8</xdr:col>
      <xdr:colOff>615993</xdr:colOff>
      <xdr:row>4</xdr:row>
      <xdr:rowOff>168971</xdr:rowOff>
    </xdr:from>
    <xdr:ext cx="466725" cy="43815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7687979" y="1186711"/>
          <a:ext cx="466725" cy="438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None/>
          </a:pPr>
          <a:r>
            <a:rPr lang="en-US" sz="1100" b="0" i="0">
              <a:latin typeface="Calibri"/>
              <a:ea typeface="Calibri"/>
              <a:cs typeface="Calibri"/>
              <a:sym typeface="Calibri"/>
            </a:rPr>
            <a:t>H =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 b="0" i="0" cap="none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</xdr:col>
      <xdr:colOff>561975</xdr:colOff>
      <xdr:row>20</xdr:row>
      <xdr:rowOff>152400</xdr:rowOff>
    </xdr:from>
    <xdr:ext cx="285750" cy="37147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 txBox="1"/>
      </xdr:nvSpPr>
      <xdr:spPr>
        <a:xfrm>
          <a:off x="5207888" y="3599025"/>
          <a:ext cx="276225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542925</xdr:colOff>
      <xdr:row>25</xdr:row>
      <xdr:rowOff>104775</xdr:rowOff>
    </xdr:from>
    <xdr:ext cx="285750" cy="36195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5</xdr:col>
      <xdr:colOff>9525</xdr:colOff>
      <xdr:row>20</xdr:row>
      <xdr:rowOff>114300</xdr:rowOff>
    </xdr:from>
    <xdr:ext cx="323850" cy="3143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25</xdr:row>
      <xdr:rowOff>133350</xdr:rowOff>
    </xdr:from>
    <xdr:ext cx="323850" cy="361950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 txBox="1"/>
      </xdr:nvSpPr>
      <xdr:spPr>
        <a:xfrm>
          <a:off x="5188838" y="3603788"/>
          <a:ext cx="3143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3</xdr:col>
      <xdr:colOff>623858</xdr:colOff>
      <xdr:row>22</xdr:row>
      <xdr:rowOff>133408</xdr:rowOff>
    </xdr:from>
    <xdr:ext cx="285750" cy="3524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 txBox="1"/>
      </xdr:nvSpPr>
      <xdr:spPr>
        <a:xfrm>
          <a:off x="3066044" y="4596551"/>
          <a:ext cx="285750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3</xdr:col>
      <xdr:colOff>732863</xdr:colOff>
      <xdr:row>24</xdr:row>
      <xdr:rowOff>79803</xdr:rowOff>
    </xdr:from>
    <xdr:ext cx="1288094" cy="8194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3948503" y="5208063"/>
          <a:ext cx="1288094" cy="819450"/>
          <a:chOff x="4702994" y="3351375"/>
          <a:chExt cx="1076393" cy="950585"/>
        </a:xfrm>
      </xdr:grpSpPr>
      <xdr:grpSp>
        <xdr:nvGrpSpPr>
          <xdr:cNvPr id="186" name="Shape 186">
            <a:extLst>
              <a:ext uri="{FF2B5EF4-FFF2-40B4-BE49-F238E27FC236}">
                <a16:creationId xmlns:a16="http://schemas.microsoft.com/office/drawing/2014/main" id="{00000000-0008-0000-0400-0000BA000000}"/>
              </a:ext>
            </a:extLst>
          </xdr:cNvPr>
          <xdr:cNvGrpSpPr/>
        </xdr:nvGrpSpPr>
        <xdr:grpSpPr>
          <a:xfrm>
            <a:off x="4702994" y="3351375"/>
            <a:ext cx="1076393" cy="950585"/>
            <a:chOff x="4710024" y="3356138"/>
            <a:chExt cx="1064751" cy="940106"/>
          </a:xfrm>
        </xdr:grpSpPr>
        <xdr:sp macro="" textlink="">
          <xdr:nvSpPr>
            <xdr:cNvPr id="4" name="Shape 7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4917375" y="3356138"/>
              <a:ext cx="857400" cy="847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7" name="Shape 187">
              <a:extLst>
                <a:ext uri="{FF2B5EF4-FFF2-40B4-BE49-F238E27FC236}">
                  <a16:creationId xmlns:a16="http://schemas.microsoft.com/office/drawing/2014/main" id="{00000000-0008-0000-0400-0000BB000000}"/>
                </a:ext>
              </a:extLst>
            </xdr:cNvPr>
            <xdr:cNvCxnSpPr/>
          </xdr:nvCxnSpPr>
          <xdr:spPr>
            <a:xfrm>
              <a:off x="4710024" y="3448444"/>
              <a:ext cx="857400" cy="847800"/>
            </a:xfrm>
            <a:prstGeom prst="curvedConnector3">
              <a:avLst>
                <a:gd name="adj1" fmla="val 85701"/>
              </a:avLst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228600</xdr:colOff>
      <xdr:row>23</xdr:row>
      <xdr:rowOff>66675</xdr:rowOff>
    </xdr:from>
    <xdr:ext cx="323850" cy="36195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 txBox="1"/>
      </xdr:nvSpPr>
      <xdr:spPr>
        <a:xfrm>
          <a:off x="3163010" y="4927383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327374</xdr:colOff>
      <xdr:row>21</xdr:row>
      <xdr:rowOff>33692</xdr:rowOff>
    </xdr:from>
    <xdr:ext cx="838200" cy="1141057"/>
    <xdr:sp macro="" textlink="">
      <xdr:nvSpPr>
        <xdr:cNvPr id="153" name="Shape 280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 rot="16200000">
          <a:off x="2842945" y="4865071"/>
          <a:ext cx="1141057" cy="83820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329568</xdr:colOff>
      <xdr:row>26</xdr:row>
      <xdr:rowOff>158749</xdr:rowOff>
    </xdr:from>
    <xdr:ext cx="838200" cy="1155700"/>
    <xdr:sp macro="" textlink="">
      <xdr:nvSpPr>
        <xdr:cNvPr id="154" name="Shape 281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 rot="16200000">
          <a:off x="2837818" y="6013449"/>
          <a:ext cx="1155700" cy="83820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23665</xdr:colOff>
      <xdr:row>20</xdr:row>
      <xdr:rowOff>47448</xdr:rowOff>
    </xdr:from>
    <xdr:ext cx="323850" cy="342900"/>
    <xdr:sp macro="" textlink="">
      <xdr:nvSpPr>
        <xdr:cNvPr id="155" name="Shape 28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 txBox="1"/>
      </xdr:nvSpPr>
      <xdr:spPr>
        <a:xfrm>
          <a:off x="2224472" y="4311808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G</a:t>
          </a:r>
          <a:endParaRPr sz="1400"/>
        </a:p>
      </xdr:txBody>
    </xdr:sp>
    <xdr:clientData fLocksWithSheet="0"/>
  </xdr:oneCellAnchor>
  <xdr:oneCellAnchor>
    <xdr:from>
      <xdr:col>2</xdr:col>
      <xdr:colOff>1229928</xdr:colOff>
      <xdr:row>25</xdr:row>
      <xdr:rowOff>196969</xdr:rowOff>
    </xdr:from>
    <xdr:ext cx="323850" cy="361950"/>
    <xdr:sp macro="" textlink="">
      <xdr:nvSpPr>
        <xdr:cNvPr id="156" name="Shape 283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 txBox="1"/>
      </xdr:nvSpPr>
      <xdr:spPr>
        <a:xfrm>
          <a:off x="2665028" y="5689719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Q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424937</xdr:colOff>
      <xdr:row>26</xdr:row>
      <xdr:rowOff>16486</xdr:rowOff>
    </xdr:from>
    <xdr:ext cx="323850" cy="342900"/>
    <xdr:sp macro="" textlink="">
      <xdr:nvSpPr>
        <xdr:cNvPr id="157" name="Shape 285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 txBox="1"/>
      </xdr:nvSpPr>
      <xdr:spPr>
        <a:xfrm>
          <a:off x="3809487" y="5712436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sz="1400"/>
        </a:p>
      </xdr:txBody>
    </xdr:sp>
    <xdr:clientData fLocksWithSheet="0"/>
  </xdr:oneCellAnchor>
  <xdr:oneCellAnchor>
    <xdr:from>
      <xdr:col>4</xdr:col>
      <xdr:colOff>402653</xdr:colOff>
      <xdr:row>20</xdr:row>
      <xdr:rowOff>23665</xdr:rowOff>
    </xdr:from>
    <xdr:ext cx="323850" cy="342900"/>
    <xdr:sp macro="" textlink="">
      <xdr:nvSpPr>
        <xdr:cNvPr id="158" name="Shape 28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 txBox="1"/>
      </xdr:nvSpPr>
      <xdr:spPr>
        <a:xfrm>
          <a:off x="3337063" y="4288025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H</a:t>
          </a:r>
          <a:endParaRPr sz="1400"/>
        </a:p>
      </xdr:txBody>
    </xdr:sp>
    <xdr:clientData fLocksWithSheet="0"/>
  </xdr:oneCellAnchor>
  <xdr:oneCellAnchor>
    <xdr:from>
      <xdr:col>3</xdr:col>
      <xdr:colOff>651014</xdr:colOff>
      <xdr:row>22</xdr:row>
      <xdr:rowOff>139819</xdr:rowOff>
    </xdr:from>
    <xdr:ext cx="285750" cy="361950"/>
    <xdr:sp macro="" textlink="">
      <xdr:nvSpPr>
        <xdr:cNvPr id="159" name="Shape 28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 txBox="1"/>
      </xdr:nvSpPr>
      <xdr:spPr>
        <a:xfrm>
          <a:off x="3318014" y="5022969"/>
          <a:ext cx="2857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400"/>
        </a:p>
      </xdr:txBody>
    </xdr:sp>
    <xdr:clientData fLocksWithSheet="0"/>
  </xdr:oneCellAnchor>
  <xdr:oneCellAnchor>
    <xdr:from>
      <xdr:col>3</xdr:col>
      <xdr:colOff>619205</xdr:colOff>
      <xdr:row>28</xdr:row>
      <xdr:rowOff>152444</xdr:rowOff>
    </xdr:from>
    <xdr:ext cx="323850" cy="361950"/>
    <xdr:sp macro="" textlink="">
      <xdr:nvSpPr>
        <xdr:cNvPr id="160" name="Shape 28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 txBox="1"/>
      </xdr:nvSpPr>
      <xdr:spPr>
        <a:xfrm>
          <a:off x="3286205" y="6254794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II</a:t>
          </a:r>
          <a:endParaRPr sz="1400"/>
        </a:p>
      </xdr:txBody>
    </xdr:sp>
    <xdr:clientData fLocksWithSheet="0"/>
  </xdr:oneCellAnchor>
  <xdr:oneCellAnchor>
    <xdr:from>
      <xdr:col>3</xdr:col>
      <xdr:colOff>290613</xdr:colOff>
      <xdr:row>20</xdr:row>
      <xdr:rowOff>85311</xdr:rowOff>
    </xdr:from>
    <xdr:ext cx="228600" cy="190500"/>
    <xdr:sp macro="" textlink="">
      <xdr:nvSpPr>
        <xdr:cNvPr id="161" name="Shape 29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2491420" y="4349671"/>
          <a:ext cx="228600" cy="190500"/>
        </a:xfrm>
        <a:prstGeom prst="ellipse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578512</xdr:colOff>
      <xdr:row>24</xdr:row>
      <xdr:rowOff>185015</xdr:rowOff>
    </xdr:from>
    <xdr:ext cx="424816" cy="491076"/>
    <xdr:grpSp>
      <xdr:nvGrpSpPr>
        <xdr:cNvPr id="162" name="Shape 2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GrpSpPr/>
      </xdr:nvGrpSpPr>
      <xdr:grpSpPr>
        <a:xfrm>
          <a:off x="3794152" y="5313275"/>
          <a:ext cx="424816" cy="491076"/>
          <a:chOff x="4940234" y="3570450"/>
          <a:chExt cx="424816" cy="491076"/>
        </a:xfrm>
      </xdr:grpSpPr>
      <xdr:grpSp>
        <xdr:nvGrpSpPr>
          <xdr:cNvPr id="163" name="Shape 291">
            <a:extLst>
              <a:ext uri="{FF2B5EF4-FFF2-40B4-BE49-F238E27FC236}">
                <a16:creationId xmlns:a16="http://schemas.microsoft.com/office/drawing/2014/main" id="{00000000-0008-0000-0400-0000A3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164" name="Shape 7">
              <a:extLst>
                <a:ext uri="{FF2B5EF4-FFF2-40B4-BE49-F238E27FC236}">
                  <a16:creationId xmlns:a16="http://schemas.microsoft.com/office/drawing/2014/main" id="{00000000-0008-0000-0400-0000A4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65" name="Shape 292">
              <a:extLst>
                <a:ext uri="{FF2B5EF4-FFF2-40B4-BE49-F238E27FC236}">
                  <a16:creationId xmlns:a16="http://schemas.microsoft.com/office/drawing/2014/main" id="{00000000-0008-0000-0400-0000A5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615913</xdr:colOff>
      <xdr:row>21</xdr:row>
      <xdr:rowOff>118217</xdr:rowOff>
    </xdr:from>
    <xdr:ext cx="4009136" cy="944927"/>
    <xdr:grpSp>
      <xdr:nvGrpSpPr>
        <xdr:cNvPr id="166" name="Shape 2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GrpSpPr/>
      </xdr:nvGrpSpPr>
      <xdr:grpSpPr>
        <a:xfrm>
          <a:off x="3831553" y="4652117"/>
          <a:ext cx="4009136" cy="944927"/>
          <a:chOff x="1355914" y="-26300"/>
          <a:chExt cx="4009136" cy="3972988"/>
        </a:xfrm>
      </xdr:grpSpPr>
      <xdr:grpSp>
        <xdr:nvGrpSpPr>
          <xdr:cNvPr id="167" name="Shape 293">
            <a:extLst>
              <a:ext uri="{FF2B5EF4-FFF2-40B4-BE49-F238E27FC236}">
                <a16:creationId xmlns:a16="http://schemas.microsoft.com/office/drawing/2014/main" id="{00000000-0008-0000-0400-0000A7000000}"/>
              </a:ext>
            </a:extLst>
          </xdr:cNvPr>
          <xdr:cNvGrpSpPr/>
        </xdr:nvGrpSpPr>
        <xdr:grpSpPr>
          <a:xfrm>
            <a:off x="1355914" y="-26300"/>
            <a:ext cx="4009136" cy="3972988"/>
            <a:chOff x="4348479" y="-26300"/>
            <a:chExt cx="1002284" cy="3972988"/>
          </a:xfrm>
        </xdr:grpSpPr>
        <xdr:sp macro="" textlink="">
          <xdr:nvSpPr>
            <xdr:cNvPr id="168" name="Shape 7">
              <a:extLst>
                <a:ext uri="{FF2B5EF4-FFF2-40B4-BE49-F238E27FC236}">
                  <a16:creationId xmlns:a16="http://schemas.microsoft.com/office/drawing/2014/main" id="{00000000-0008-0000-0400-0000A8000000}"/>
                </a:ext>
              </a:extLst>
            </xdr:cNvPr>
            <xdr:cNvSpPr/>
          </xdr:nvSpPr>
          <xdr:spPr>
            <a:xfrm>
              <a:off x="5341238" y="3613313"/>
              <a:ext cx="952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69" name="Shape 294">
              <a:extLst>
                <a:ext uri="{FF2B5EF4-FFF2-40B4-BE49-F238E27FC236}">
                  <a16:creationId xmlns:a16="http://schemas.microsoft.com/office/drawing/2014/main" id="{00000000-0008-0000-0400-0000A9000000}"/>
                </a:ext>
              </a:extLst>
            </xdr:cNvPr>
            <xdr:cNvCxnSpPr>
              <a:endCxn id="159" idx="2"/>
            </xdr:cNvCxnSpPr>
          </xdr:nvCxnSpPr>
          <xdr:spPr>
            <a:xfrm>
              <a:off x="4348479" y="-26300"/>
              <a:ext cx="73819" cy="19051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381737</xdr:colOff>
      <xdr:row>22</xdr:row>
      <xdr:rowOff>152399</xdr:rowOff>
    </xdr:from>
    <xdr:ext cx="181297" cy="316835"/>
    <xdr:grpSp>
      <xdr:nvGrpSpPr>
        <xdr:cNvPr id="244" name="Shape 2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GrpSpPr/>
      </xdr:nvGrpSpPr>
      <xdr:grpSpPr>
        <a:xfrm rot="5400000">
          <a:off x="4261128" y="4952188"/>
          <a:ext cx="316835" cy="181297"/>
          <a:chOff x="4940234" y="3570450"/>
          <a:chExt cx="424816" cy="491076"/>
        </a:xfrm>
      </xdr:grpSpPr>
      <xdr:grpSp>
        <xdr:nvGrpSpPr>
          <xdr:cNvPr id="245" name="Shape 291">
            <a:extLst>
              <a:ext uri="{FF2B5EF4-FFF2-40B4-BE49-F238E27FC236}">
                <a16:creationId xmlns:a16="http://schemas.microsoft.com/office/drawing/2014/main" id="{00000000-0008-0000-0400-0000F5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246" name="Shape 7">
              <a:extLst>
                <a:ext uri="{FF2B5EF4-FFF2-40B4-BE49-F238E27FC236}">
                  <a16:creationId xmlns:a16="http://schemas.microsoft.com/office/drawing/2014/main" id="{00000000-0008-0000-0400-0000F6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47" name="Shape 292">
              <a:extLst>
                <a:ext uri="{FF2B5EF4-FFF2-40B4-BE49-F238E27FC236}">
                  <a16:creationId xmlns:a16="http://schemas.microsoft.com/office/drawing/2014/main" id="{00000000-0008-0000-0400-0000F7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563739</xdr:colOff>
      <xdr:row>23</xdr:row>
      <xdr:rowOff>100189</xdr:rowOff>
    </xdr:from>
    <xdr:ext cx="424816" cy="491076"/>
    <xdr:grpSp>
      <xdr:nvGrpSpPr>
        <xdr:cNvPr id="248" name="Shape 2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GrpSpPr/>
      </xdr:nvGrpSpPr>
      <xdr:grpSpPr>
        <a:xfrm>
          <a:off x="3779379" y="5030329"/>
          <a:ext cx="424816" cy="491076"/>
          <a:chOff x="4940234" y="3570450"/>
          <a:chExt cx="424816" cy="491076"/>
        </a:xfrm>
      </xdr:grpSpPr>
      <xdr:grpSp>
        <xdr:nvGrpSpPr>
          <xdr:cNvPr id="249" name="Shape 291">
            <a:extLst>
              <a:ext uri="{FF2B5EF4-FFF2-40B4-BE49-F238E27FC236}">
                <a16:creationId xmlns:a16="http://schemas.microsoft.com/office/drawing/2014/main" id="{00000000-0008-0000-0400-0000F9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264" name="Shape 7">
              <a:extLst>
                <a:ext uri="{FF2B5EF4-FFF2-40B4-BE49-F238E27FC236}">
                  <a16:creationId xmlns:a16="http://schemas.microsoft.com/office/drawing/2014/main" id="{00000000-0008-0000-0400-00000801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65" name="Shape 292">
              <a:extLst>
                <a:ext uri="{FF2B5EF4-FFF2-40B4-BE49-F238E27FC236}">
                  <a16:creationId xmlns:a16="http://schemas.microsoft.com/office/drawing/2014/main" id="{00000000-0008-0000-0400-00000901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390204</xdr:colOff>
      <xdr:row>22</xdr:row>
      <xdr:rowOff>117796</xdr:rowOff>
    </xdr:from>
    <xdr:ext cx="491076" cy="424816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GrpSpPr/>
      </xdr:nvGrpSpPr>
      <xdr:grpSpPr>
        <a:xfrm rot="5400000">
          <a:off x="3638974" y="4816686"/>
          <a:ext cx="424816" cy="491076"/>
          <a:chOff x="4940234" y="3570450"/>
          <a:chExt cx="424816" cy="491076"/>
        </a:xfrm>
      </xdr:grpSpPr>
      <xdr:grpSp>
        <xdr:nvGrpSpPr>
          <xdr:cNvPr id="267" name="Shape 291">
            <a:extLst>
              <a:ext uri="{FF2B5EF4-FFF2-40B4-BE49-F238E27FC236}">
                <a16:creationId xmlns:a16="http://schemas.microsoft.com/office/drawing/2014/main" id="{00000000-0008-0000-0400-00000B01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268" name="Shape 7">
              <a:extLst>
                <a:ext uri="{FF2B5EF4-FFF2-40B4-BE49-F238E27FC236}">
                  <a16:creationId xmlns:a16="http://schemas.microsoft.com/office/drawing/2014/main" id="{00000000-0008-0000-0400-00000C01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69" name="Shape 292">
              <a:extLst>
                <a:ext uri="{FF2B5EF4-FFF2-40B4-BE49-F238E27FC236}">
                  <a16:creationId xmlns:a16="http://schemas.microsoft.com/office/drawing/2014/main" id="{00000000-0008-0000-0400-00000D01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435359</xdr:colOff>
      <xdr:row>28</xdr:row>
      <xdr:rowOff>62763</xdr:rowOff>
    </xdr:from>
    <xdr:ext cx="491076" cy="424816"/>
    <xdr:grpSp>
      <xdr:nvGrpSpPr>
        <xdr:cNvPr id="340" name="Shape 2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GrpSpPr/>
      </xdr:nvGrpSpPr>
      <xdr:grpSpPr>
        <a:xfrm rot="5400000">
          <a:off x="3684129" y="5950373"/>
          <a:ext cx="424816" cy="491076"/>
          <a:chOff x="4940234" y="3570450"/>
          <a:chExt cx="424816" cy="491076"/>
        </a:xfrm>
      </xdr:grpSpPr>
      <xdr:grpSp>
        <xdr:nvGrpSpPr>
          <xdr:cNvPr id="341" name="Shape 291">
            <a:extLst>
              <a:ext uri="{FF2B5EF4-FFF2-40B4-BE49-F238E27FC236}">
                <a16:creationId xmlns:a16="http://schemas.microsoft.com/office/drawing/2014/main" id="{00000000-0008-0000-0400-00005501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342" name="Shape 7">
              <a:extLst>
                <a:ext uri="{FF2B5EF4-FFF2-40B4-BE49-F238E27FC236}">
                  <a16:creationId xmlns:a16="http://schemas.microsoft.com/office/drawing/2014/main" id="{00000000-0008-0000-0400-00005601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3" name="Shape 292">
              <a:extLst>
                <a:ext uri="{FF2B5EF4-FFF2-40B4-BE49-F238E27FC236}">
                  <a16:creationId xmlns:a16="http://schemas.microsoft.com/office/drawing/2014/main" id="{00000000-0008-0000-0400-00005701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371153</xdr:colOff>
      <xdr:row>28</xdr:row>
      <xdr:rowOff>33836</xdr:rowOff>
    </xdr:from>
    <xdr:ext cx="491076" cy="424816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GrpSpPr/>
      </xdr:nvGrpSpPr>
      <xdr:grpSpPr>
        <a:xfrm rot="5400000">
          <a:off x="4351443" y="5921446"/>
          <a:ext cx="424816" cy="491076"/>
          <a:chOff x="4940234" y="3570450"/>
          <a:chExt cx="424816" cy="491076"/>
        </a:xfrm>
      </xdr:grpSpPr>
      <xdr:grpSp>
        <xdr:nvGrpSpPr>
          <xdr:cNvPr id="345" name="Shape 291">
            <a:extLst>
              <a:ext uri="{FF2B5EF4-FFF2-40B4-BE49-F238E27FC236}">
                <a16:creationId xmlns:a16="http://schemas.microsoft.com/office/drawing/2014/main" id="{00000000-0008-0000-0400-00005901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346" name="Shape 7">
              <a:extLst>
                <a:ext uri="{FF2B5EF4-FFF2-40B4-BE49-F238E27FC236}">
                  <a16:creationId xmlns:a16="http://schemas.microsoft.com/office/drawing/2014/main" id="{00000000-0008-0000-0400-00005A01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7" name="Shape 292">
              <a:extLst>
                <a:ext uri="{FF2B5EF4-FFF2-40B4-BE49-F238E27FC236}">
                  <a16:creationId xmlns:a16="http://schemas.microsoft.com/office/drawing/2014/main" id="{00000000-0008-0000-0400-00005B01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551039</xdr:colOff>
      <xdr:row>31</xdr:row>
      <xdr:rowOff>25399</xdr:rowOff>
    </xdr:from>
    <xdr:ext cx="424816" cy="177103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GrpSpPr/>
      </xdr:nvGrpSpPr>
      <xdr:grpSpPr>
        <a:xfrm>
          <a:off x="3766679" y="6540499"/>
          <a:ext cx="424816" cy="177103"/>
          <a:chOff x="4940234" y="3570450"/>
          <a:chExt cx="424816" cy="491076"/>
        </a:xfrm>
      </xdr:grpSpPr>
      <xdr:grpSp>
        <xdr:nvGrpSpPr>
          <xdr:cNvPr id="349" name="Shape 291">
            <a:extLst>
              <a:ext uri="{FF2B5EF4-FFF2-40B4-BE49-F238E27FC236}">
                <a16:creationId xmlns:a16="http://schemas.microsoft.com/office/drawing/2014/main" id="{00000000-0008-0000-0400-00005D01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350" name="Shape 7">
              <a:extLst>
                <a:ext uri="{FF2B5EF4-FFF2-40B4-BE49-F238E27FC236}">
                  <a16:creationId xmlns:a16="http://schemas.microsoft.com/office/drawing/2014/main" id="{00000000-0008-0000-0400-00005E01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51" name="Shape 292">
              <a:extLst>
                <a:ext uri="{FF2B5EF4-FFF2-40B4-BE49-F238E27FC236}">
                  <a16:creationId xmlns:a16="http://schemas.microsoft.com/office/drawing/2014/main" id="{00000000-0008-0000-0400-00005F01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25400</xdr:colOff>
      <xdr:row>31</xdr:row>
      <xdr:rowOff>101600</xdr:rowOff>
    </xdr:from>
    <xdr:ext cx="323850" cy="361950"/>
    <xdr:sp macro="" textlink="">
      <xdr:nvSpPr>
        <xdr:cNvPr id="354" name="Shape 283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 txBox="1"/>
      </xdr:nvSpPr>
      <xdr:spPr>
        <a:xfrm>
          <a:off x="2692400" y="6813550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450850</xdr:colOff>
      <xdr:row>31</xdr:row>
      <xdr:rowOff>114300</xdr:rowOff>
    </xdr:from>
    <xdr:ext cx="323850" cy="361950"/>
    <xdr:sp macro="" textlink="">
      <xdr:nvSpPr>
        <xdr:cNvPr id="355" name="Shape 283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 txBox="1"/>
      </xdr:nvSpPr>
      <xdr:spPr>
        <a:xfrm>
          <a:off x="3835400" y="6826250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B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twoCellAnchor>
    <xdr:from>
      <xdr:col>3</xdr:col>
      <xdr:colOff>4134</xdr:colOff>
      <xdr:row>34</xdr:row>
      <xdr:rowOff>140074</xdr:rowOff>
    </xdr:from>
    <xdr:to>
      <xdr:col>3</xdr:col>
      <xdr:colOff>701952</xdr:colOff>
      <xdr:row>40</xdr:row>
      <xdr:rowOff>3338</xdr:rowOff>
    </xdr:to>
    <xdr:sp macro="" textlink="">
      <xdr:nvSpPr>
        <xdr:cNvPr id="356" name="Rectángulo 355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 rot="5400000">
          <a:off x="2471356" y="7637865"/>
          <a:ext cx="1074596" cy="69781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3</xdr:col>
      <xdr:colOff>52137</xdr:colOff>
      <xdr:row>35</xdr:row>
      <xdr:rowOff>31750</xdr:rowOff>
    </xdr:from>
    <xdr:to>
      <xdr:col>3</xdr:col>
      <xdr:colOff>307601</xdr:colOff>
      <xdr:row>36</xdr:row>
      <xdr:rowOff>107975</xdr:rowOff>
    </xdr:to>
    <xdr:sp macro="" textlink="">
      <xdr:nvSpPr>
        <xdr:cNvPr id="358" name="Shape 200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>
          <a:off x="2714124" y="7501355"/>
          <a:ext cx="255464" cy="27675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81078</xdr:colOff>
      <xdr:row>35</xdr:row>
      <xdr:rowOff>47996</xdr:rowOff>
    </xdr:from>
    <xdr:to>
      <xdr:col>3</xdr:col>
      <xdr:colOff>123656</xdr:colOff>
      <xdr:row>35</xdr:row>
      <xdr:rowOff>93484</xdr:rowOff>
    </xdr:to>
    <xdr:sp macro="" textlink="">
      <xdr:nvSpPr>
        <xdr:cNvPr id="359" name="Shape 201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>
          <a:off x="2743065" y="751760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156941</xdr:colOff>
      <xdr:row>35</xdr:row>
      <xdr:rowOff>47996</xdr:rowOff>
    </xdr:from>
    <xdr:to>
      <xdr:col>3</xdr:col>
      <xdr:colOff>199519</xdr:colOff>
      <xdr:row>35</xdr:row>
      <xdr:rowOff>93484</xdr:rowOff>
    </xdr:to>
    <xdr:sp macro="" textlink="">
      <xdr:nvSpPr>
        <xdr:cNvPr id="360" name="Shape 202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>
          <a:off x="2818928" y="751760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230667</xdr:colOff>
      <xdr:row>35</xdr:row>
      <xdr:rowOff>49292</xdr:rowOff>
    </xdr:from>
    <xdr:to>
      <xdr:col>3</xdr:col>
      <xdr:colOff>273245</xdr:colOff>
      <xdr:row>35</xdr:row>
      <xdr:rowOff>94780</xdr:rowOff>
    </xdr:to>
    <xdr:sp macro="" textlink="">
      <xdr:nvSpPr>
        <xdr:cNvPr id="361" name="Shape 203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>
          <a:off x="2892654" y="751889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80210</xdr:colOff>
      <xdr:row>35</xdr:row>
      <xdr:rowOff>120316</xdr:rowOff>
    </xdr:from>
    <xdr:to>
      <xdr:col>3</xdr:col>
      <xdr:colOff>122788</xdr:colOff>
      <xdr:row>35</xdr:row>
      <xdr:rowOff>165804</xdr:rowOff>
    </xdr:to>
    <xdr:sp macro="" textlink="">
      <xdr:nvSpPr>
        <xdr:cNvPr id="373" name="Shape 201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>
          <a:off x="2742197" y="758992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156073</xdr:colOff>
      <xdr:row>35</xdr:row>
      <xdr:rowOff>120316</xdr:rowOff>
    </xdr:from>
    <xdr:to>
      <xdr:col>3</xdr:col>
      <xdr:colOff>198651</xdr:colOff>
      <xdr:row>35</xdr:row>
      <xdr:rowOff>165804</xdr:rowOff>
    </xdr:to>
    <xdr:sp macro="" textlink="">
      <xdr:nvSpPr>
        <xdr:cNvPr id="374" name="Shape 202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2818060" y="758992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229799</xdr:colOff>
      <xdr:row>35</xdr:row>
      <xdr:rowOff>121612</xdr:rowOff>
    </xdr:from>
    <xdr:to>
      <xdr:col>3</xdr:col>
      <xdr:colOff>272377</xdr:colOff>
      <xdr:row>35</xdr:row>
      <xdr:rowOff>167100</xdr:rowOff>
    </xdr:to>
    <xdr:sp macro="" textlink="">
      <xdr:nvSpPr>
        <xdr:cNvPr id="375" name="Shape 203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>
          <a:off x="2891786" y="759121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81078</xdr:colOff>
      <xdr:row>35</xdr:row>
      <xdr:rowOff>185487</xdr:rowOff>
    </xdr:from>
    <xdr:to>
      <xdr:col>3</xdr:col>
      <xdr:colOff>123656</xdr:colOff>
      <xdr:row>36</xdr:row>
      <xdr:rowOff>30448</xdr:rowOff>
    </xdr:to>
    <xdr:sp macro="" textlink="">
      <xdr:nvSpPr>
        <xdr:cNvPr id="376" name="Shape 201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/>
      </xdr:nvSpPr>
      <xdr:spPr>
        <a:xfrm>
          <a:off x="2743065" y="765509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156941</xdr:colOff>
      <xdr:row>35</xdr:row>
      <xdr:rowOff>185487</xdr:rowOff>
    </xdr:from>
    <xdr:to>
      <xdr:col>3</xdr:col>
      <xdr:colOff>199519</xdr:colOff>
      <xdr:row>36</xdr:row>
      <xdr:rowOff>30448</xdr:rowOff>
    </xdr:to>
    <xdr:sp macro="" textlink="">
      <xdr:nvSpPr>
        <xdr:cNvPr id="377" name="Shape 202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>
          <a:off x="2818928" y="765509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230667</xdr:colOff>
      <xdr:row>35</xdr:row>
      <xdr:rowOff>186783</xdr:rowOff>
    </xdr:from>
    <xdr:to>
      <xdr:col>3</xdr:col>
      <xdr:colOff>273245</xdr:colOff>
      <xdr:row>36</xdr:row>
      <xdr:rowOff>31744</xdr:rowOff>
    </xdr:to>
    <xdr:sp macro="" textlink="">
      <xdr:nvSpPr>
        <xdr:cNvPr id="378" name="Shape 203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2892654" y="765638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80210</xdr:colOff>
      <xdr:row>36</xdr:row>
      <xdr:rowOff>57280</xdr:rowOff>
    </xdr:from>
    <xdr:to>
      <xdr:col>3</xdr:col>
      <xdr:colOff>122788</xdr:colOff>
      <xdr:row>36</xdr:row>
      <xdr:rowOff>102768</xdr:rowOff>
    </xdr:to>
    <xdr:sp macro="" textlink="">
      <xdr:nvSpPr>
        <xdr:cNvPr id="379" name="Shape 201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/>
      </xdr:nvSpPr>
      <xdr:spPr>
        <a:xfrm>
          <a:off x="2742197" y="772741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156073</xdr:colOff>
      <xdr:row>36</xdr:row>
      <xdr:rowOff>57280</xdr:rowOff>
    </xdr:from>
    <xdr:to>
      <xdr:col>3</xdr:col>
      <xdr:colOff>198651</xdr:colOff>
      <xdr:row>36</xdr:row>
      <xdr:rowOff>102768</xdr:rowOff>
    </xdr:to>
    <xdr:sp macro="" textlink="">
      <xdr:nvSpPr>
        <xdr:cNvPr id="380" name="Shape 202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/>
      </xdr:nvSpPr>
      <xdr:spPr>
        <a:xfrm>
          <a:off x="2818060" y="772741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229799</xdr:colOff>
      <xdr:row>36</xdr:row>
      <xdr:rowOff>58576</xdr:rowOff>
    </xdr:from>
    <xdr:to>
      <xdr:col>3</xdr:col>
      <xdr:colOff>272377</xdr:colOff>
      <xdr:row>36</xdr:row>
      <xdr:rowOff>104064</xdr:rowOff>
    </xdr:to>
    <xdr:sp macro="" textlink="">
      <xdr:nvSpPr>
        <xdr:cNvPr id="381" name="Shape 203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/>
      </xdr:nvSpPr>
      <xdr:spPr>
        <a:xfrm>
          <a:off x="2891786" y="772870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397669</xdr:colOff>
      <xdr:row>35</xdr:row>
      <xdr:rowOff>35718</xdr:rowOff>
    </xdr:from>
    <xdr:to>
      <xdr:col>3</xdr:col>
      <xdr:colOff>653133</xdr:colOff>
      <xdr:row>36</xdr:row>
      <xdr:rowOff>111943</xdr:rowOff>
    </xdr:to>
    <xdr:sp macro="" textlink="">
      <xdr:nvSpPr>
        <xdr:cNvPr id="382" name="Shape 200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/>
      </xdr:nvSpPr>
      <xdr:spPr>
        <a:xfrm>
          <a:off x="3055144" y="7493793"/>
          <a:ext cx="255464" cy="276250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426610</xdr:colOff>
      <xdr:row>35</xdr:row>
      <xdr:rowOff>51964</xdr:rowOff>
    </xdr:from>
    <xdr:to>
      <xdr:col>3</xdr:col>
      <xdr:colOff>469188</xdr:colOff>
      <xdr:row>35</xdr:row>
      <xdr:rowOff>97452</xdr:rowOff>
    </xdr:to>
    <xdr:sp macro="" textlink="">
      <xdr:nvSpPr>
        <xdr:cNvPr id="383" name="Shape 201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/>
      </xdr:nvSpPr>
      <xdr:spPr>
        <a:xfrm>
          <a:off x="3084085" y="751003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502473</xdr:colOff>
      <xdr:row>35</xdr:row>
      <xdr:rowOff>51964</xdr:rowOff>
    </xdr:from>
    <xdr:to>
      <xdr:col>3</xdr:col>
      <xdr:colOff>545051</xdr:colOff>
      <xdr:row>35</xdr:row>
      <xdr:rowOff>97452</xdr:rowOff>
    </xdr:to>
    <xdr:sp macro="" textlink="">
      <xdr:nvSpPr>
        <xdr:cNvPr id="384" name="Shape 202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/>
      </xdr:nvSpPr>
      <xdr:spPr>
        <a:xfrm>
          <a:off x="3159948" y="751003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576199</xdr:colOff>
      <xdr:row>35</xdr:row>
      <xdr:rowOff>53260</xdr:rowOff>
    </xdr:from>
    <xdr:to>
      <xdr:col>3</xdr:col>
      <xdr:colOff>618777</xdr:colOff>
      <xdr:row>35</xdr:row>
      <xdr:rowOff>98748</xdr:rowOff>
    </xdr:to>
    <xdr:sp macro="" textlink="">
      <xdr:nvSpPr>
        <xdr:cNvPr id="385" name="Shape 203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/>
      </xdr:nvSpPr>
      <xdr:spPr>
        <a:xfrm>
          <a:off x="3233674" y="751133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425742</xdr:colOff>
      <xdr:row>35</xdr:row>
      <xdr:rowOff>124284</xdr:rowOff>
    </xdr:from>
    <xdr:to>
      <xdr:col>3</xdr:col>
      <xdr:colOff>468320</xdr:colOff>
      <xdr:row>35</xdr:row>
      <xdr:rowOff>169772</xdr:rowOff>
    </xdr:to>
    <xdr:sp macro="" textlink="">
      <xdr:nvSpPr>
        <xdr:cNvPr id="386" name="Shape 201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/>
      </xdr:nvSpPr>
      <xdr:spPr>
        <a:xfrm>
          <a:off x="3083217" y="758235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501605</xdr:colOff>
      <xdr:row>35</xdr:row>
      <xdr:rowOff>124284</xdr:rowOff>
    </xdr:from>
    <xdr:to>
      <xdr:col>3</xdr:col>
      <xdr:colOff>544183</xdr:colOff>
      <xdr:row>35</xdr:row>
      <xdr:rowOff>169772</xdr:rowOff>
    </xdr:to>
    <xdr:sp macro="" textlink="">
      <xdr:nvSpPr>
        <xdr:cNvPr id="387" name="Shape 202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/>
      </xdr:nvSpPr>
      <xdr:spPr>
        <a:xfrm>
          <a:off x="3159080" y="758235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575331</xdr:colOff>
      <xdr:row>35</xdr:row>
      <xdr:rowOff>125580</xdr:rowOff>
    </xdr:from>
    <xdr:to>
      <xdr:col>3</xdr:col>
      <xdr:colOff>617909</xdr:colOff>
      <xdr:row>35</xdr:row>
      <xdr:rowOff>171068</xdr:rowOff>
    </xdr:to>
    <xdr:sp macro="" textlink="">
      <xdr:nvSpPr>
        <xdr:cNvPr id="388" name="Shape 203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/>
      </xdr:nvSpPr>
      <xdr:spPr>
        <a:xfrm>
          <a:off x="3232806" y="758365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426610</xdr:colOff>
      <xdr:row>35</xdr:row>
      <xdr:rowOff>189455</xdr:rowOff>
    </xdr:from>
    <xdr:to>
      <xdr:col>3</xdr:col>
      <xdr:colOff>469188</xdr:colOff>
      <xdr:row>36</xdr:row>
      <xdr:rowOff>34416</xdr:rowOff>
    </xdr:to>
    <xdr:sp macro="" textlink="">
      <xdr:nvSpPr>
        <xdr:cNvPr id="389" name="Shape 201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>
          <a:off x="3084085" y="764753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502473</xdr:colOff>
      <xdr:row>35</xdr:row>
      <xdr:rowOff>189455</xdr:rowOff>
    </xdr:from>
    <xdr:to>
      <xdr:col>3</xdr:col>
      <xdr:colOff>545051</xdr:colOff>
      <xdr:row>36</xdr:row>
      <xdr:rowOff>34416</xdr:rowOff>
    </xdr:to>
    <xdr:sp macro="" textlink="">
      <xdr:nvSpPr>
        <xdr:cNvPr id="390" name="Shape 202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>
          <a:off x="3159948" y="764753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576199</xdr:colOff>
      <xdr:row>35</xdr:row>
      <xdr:rowOff>190751</xdr:rowOff>
    </xdr:from>
    <xdr:to>
      <xdr:col>3</xdr:col>
      <xdr:colOff>618777</xdr:colOff>
      <xdr:row>36</xdr:row>
      <xdr:rowOff>35712</xdr:rowOff>
    </xdr:to>
    <xdr:sp macro="" textlink="">
      <xdr:nvSpPr>
        <xdr:cNvPr id="391" name="Shape 203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/>
      </xdr:nvSpPr>
      <xdr:spPr>
        <a:xfrm>
          <a:off x="3233674" y="764882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423863</xdr:colOff>
      <xdr:row>36</xdr:row>
      <xdr:rowOff>50007</xdr:rowOff>
    </xdr:from>
    <xdr:to>
      <xdr:col>3</xdr:col>
      <xdr:colOff>466441</xdr:colOff>
      <xdr:row>36</xdr:row>
      <xdr:rowOff>94993</xdr:rowOff>
    </xdr:to>
    <xdr:sp macro="" textlink="">
      <xdr:nvSpPr>
        <xdr:cNvPr id="393" name="Shape 201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/>
      </xdr:nvSpPr>
      <xdr:spPr>
        <a:xfrm>
          <a:off x="3081338" y="770810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499726</xdr:colOff>
      <xdr:row>36</xdr:row>
      <xdr:rowOff>50007</xdr:rowOff>
    </xdr:from>
    <xdr:to>
      <xdr:col>3</xdr:col>
      <xdr:colOff>542304</xdr:colOff>
      <xdr:row>36</xdr:row>
      <xdr:rowOff>94993</xdr:rowOff>
    </xdr:to>
    <xdr:sp macro="" textlink="">
      <xdr:nvSpPr>
        <xdr:cNvPr id="394" name="Shape 202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3157201" y="770810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573452</xdr:colOff>
      <xdr:row>36</xdr:row>
      <xdr:rowOff>51303</xdr:rowOff>
    </xdr:from>
    <xdr:to>
      <xdr:col>3</xdr:col>
      <xdr:colOff>616030</xdr:colOff>
      <xdr:row>36</xdr:row>
      <xdr:rowOff>96289</xdr:rowOff>
    </xdr:to>
    <xdr:sp macro="" textlink="">
      <xdr:nvSpPr>
        <xdr:cNvPr id="395" name="Shape 203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SpPr/>
      </xdr:nvSpPr>
      <xdr:spPr>
        <a:xfrm>
          <a:off x="3230927" y="770940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53008</xdr:colOff>
      <xdr:row>36</xdr:row>
      <xdr:rowOff>154261</xdr:rowOff>
    </xdr:from>
    <xdr:to>
      <xdr:col>3</xdr:col>
      <xdr:colOff>308472</xdr:colOff>
      <xdr:row>38</xdr:row>
      <xdr:rowOff>30381</xdr:rowOff>
    </xdr:to>
    <xdr:sp macro="" textlink="">
      <xdr:nvSpPr>
        <xdr:cNvPr id="397" name="Shape 200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/>
      </xdr:nvSpPr>
      <xdr:spPr>
        <a:xfrm>
          <a:off x="2714405" y="7834293"/>
          <a:ext cx="255464" cy="276330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81949</xdr:colOff>
      <xdr:row>36</xdr:row>
      <xdr:rowOff>170507</xdr:rowOff>
    </xdr:from>
    <xdr:to>
      <xdr:col>3</xdr:col>
      <xdr:colOff>124527</xdr:colOff>
      <xdr:row>37</xdr:row>
      <xdr:rowOff>15890</xdr:rowOff>
    </xdr:to>
    <xdr:sp macro="" textlink="">
      <xdr:nvSpPr>
        <xdr:cNvPr id="398" name="Shape 201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/>
      </xdr:nvSpPr>
      <xdr:spPr>
        <a:xfrm>
          <a:off x="2743346" y="785053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157812</xdr:colOff>
      <xdr:row>36</xdr:row>
      <xdr:rowOff>170507</xdr:rowOff>
    </xdr:from>
    <xdr:to>
      <xdr:col>3</xdr:col>
      <xdr:colOff>200390</xdr:colOff>
      <xdr:row>37</xdr:row>
      <xdr:rowOff>15890</xdr:rowOff>
    </xdr:to>
    <xdr:sp macro="" textlink="">
      <xdr:nvSpPr>
        <xdr:cNvPr id="399" name="Shape 202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/>
      </xdr:nvSpPr>
      <xdr:spPr>
        <a:xfrm>
          <a:off x="2819209" y="785053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231538</xdr:colOff>
      <xdr:row>36</xdr:row>
      <xdr:rowOff>171803</xdr:rowOff>
    </xdr:from>
    <xdr:to>
      <xdr:col>3</xdr:col>
      <xdr:colOff>274116</xdr:colOff>
      <xdr:row>37</xdr:row>
      <xdr:rowOff>17186</xdr:rowOff>
    </xdr:to>
    <xdr:sp macro="" textlink="">
      <xdr:nvSpPr>
        <xdr:cNvPr id="400" name="Shape 203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/>
      </xdr:nvSpPr>
      <xdr:spPr>
        <a:xfrm>
          <a:off x="2892935" y="785183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81081</xdr:colOff>
      <xdr:row>37</xdr:row>
      <xdr:rowOff>42722</xdr:rowOff>
    </xdr:from>
    <xdr:to>
      <xdr:col>3</xdr:col>
      <xdr:colOff>123659</xdr:colOff>
      <xdr:row>37</xdr:row>
      <xdr:rowOff>88210</xdr:rowOff>
    </xdr:to>
    <xdr:sp macro="" textlink="">
      <xdr:nvSpPr>
        <xdr:cNvPr id="401" name="Shape 201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/>
      </xdr:nvSpPr>
      <xdr:spPr>
        <a:xfrm>
          <a:off x="2742478" y="792285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156944</xdr:colOff>
      <xdr:row>37</xdr:row>
      <xdr:rowOff>42722</xdr:rowOff>
    </xdr:from>
    <xdr:to>
      <xdr:col>3</xdr:col>
      <xdr:colOff>199522</xdr:colOff>
      <xdr:row>37</xdr:row>
      <xdr:rowOff>88210</xdr:rowOff>
    </xdr:to>
    <xdr:sp macro="" textlink="">
      <xdr:nvSpPr>
        <xdr:cNvPr id="402" name="Shape 202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/>
      </xdr:nvSpPr>
      <xdr:spPr>
        <a:xfrm>
          <a:off x="2818341" y="792285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230670</xdr:colOff>
      <xdr:row>37</xdr:row>
      <xdr:rowOff>44018</xdr:rowOff>
    </xdr:from>
    <xdr:to>
      <xdr:col>3</xdr:col>
      <xdr:colOff>273248</xdr:colOff>
      <xdr:row>37</xdr:row>
      <xdr:rowOff>89506</xdr:rowOff>
    </xdr:to>
    <xdr:sp macro="" textlink="">
      <xdr:nvSpPr>
        <xdr:cNvPr id="403" name="Shape 203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SpPr/>
      </xdr:nvSpPr>
      <xdr:spPr>
        <a:xfrm>
          <a:off x="2892067" y="792415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81949</xdr:colOff>
      <xdr:row>37</xdr:row>
      <xdr:rowOff>107893</xdr:rowOff>
    </xdr:from>
    <xdr:to>
      <xdr:col>3</xdr:col>
      <xdr:colOff>124527</xdr:colOff>
      <xdr:row>37</xdr:row>
      <xdr:rowOff>152959</xdr:rowOff>
    </xdr:to>
    <xdr:sp macro="" textlink="">
      <xdr:nvSpPr>
        <xdr:cNvPr id="404" name="Shape 201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/>
      </xdr:nvSpPr>
      <xdr:spPr>
        <a:xfrm>
          <a:off x="2743346" y="7988030"/>
          <a:ext cx="42578" cy="4506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157812</xdr:colOff>
      <xdr:row>37</xdr:row>
      <xdr:rowOff>107893</xdr:rowOff>
    </xdr:from>
    <xdr:to>
      <xdr:col>3</xdr:col>
      <xdr:colOff>200390</xdr:colOff>
      <xdr:row>37</xdr:row>
      <xdr:rowOff>152959</xdr:rowOff>
    </xdr:to>
    <xdr:sp macro="" textlink="">
      <xdr:nvSpPr>
        <xdr:cNvPr id="405" name="Shape 202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/>
      </xdr:nvSpPr>
      <xdr:spPr>
        <a:xfrm>
          <a:off x="2819209" y="7988030"/>
          <a:ext cx="42578" cy="4506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231538</xdr:colOff>
      <xdr:row>37</xdr:row>
      <xdr:rowOff>109189</xdr:rowOff>
    </xdr:from>
    <xdr:to>
      <xdr:col>3</xdr:col>
      <xdr:colOff>274116</xdr:colOff>
      <xdr:row>37</xdr:row>
      <xdr:rowOff>154255</xdr:rowOff>
    </xdr:to>
    <xdr:sp macro="" textlink="">
      <xdr:nvSpPr>
        <xdr:cNvPr id="406" name="Shape 203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/>
      </xdr:nvSpPr>
      <xdr:spPr>
        <a:xfrm>
          <a:off x="2892935" y="7989326"/>
          <a:ext cx="42578" cy="4506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79202</xdr:colOff>
      <xdr:row>37</xdr:row>
      <xdr:rowOff>168550</xdr:rowOff>
    </xdr:from>
    <xdr:to>
      <xdr:col>3</xdr:col>
      <xdr:colOff>121780</xdr:colOff>
      <xdr:row>38</xdr:row>
      <xdr:rowOff>13431</xdr:rowOff>
    </xdr:to>
    <xdr:sp macro="" textlink="">
      <xdr:nvSpPr>
        <xdr:cNvPr id="407" name="Shape 201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/>
      </xdr:nvSpPr>
      <xdr:spPr>
        <a:xfrm>
          <a:off x="2740599" y="804868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155065</xdr:colOff>
      <xdr:row>37</xdr:row>
      <xdr:rowOff>168550</xdr:rowOff>
    </xdr:from>
    <xdr:to>
      <xdr:col>3</xdr:col>
      <xdr:colOff>197643</xdr:colOff>
      <xdr:row>38</xdr:row>
      <xdr:rowOff>13431</xdr:rowOff>
    </xdr:to>
    <xdr:sp macro="" textlink="">
      <xdr:nvSpPr>
        <xdr:cNvPr id="408" name="Shape 202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2816462" y="804868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228791</xdr:colOff>
      <xdr:row>37</xdr:row>
      <xdr:rowOff>169846</xdr:rowOff>
    </xdr:from>
    <xdr:to>
      <xdr:col>3</xdr:col>
      <xdr:colOff>271369</xdr:colOff>
      <xdr:row>38</xdr:row>
      <xdr:rowOff>14727</xdr:rowOff>
    </xdr:to>
    <xdr:sp macro="" textlink="">
      <xdr:nvSpPr>
        <xdr:cNvPr id="409" name="Shape 203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>
          <a:off x="2890188" y="804998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396208</xdr:colOff>
      <xdr:row>36</xdr:row>
      <xdr:rowOff>156082</xdr:rowOff>
    </xdr:from>
    <xdr:to>
      <xdr:col>3</xdr:col>
      <xdr:colOff>651672</xdr:colOff>
      <xdr:row>38</xdr:row>
      <xdr:rowOff>32203</xdr:rowOff>
    </xdr:to>
    <xdr:sp macro="" textlink="">
      <xdr:nvSpPr>
        <xdr:cNvPr id="410" name="Shape 200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>
          <a:off x="3057605" y="7836114"/>
          <a:ext cx="255464" cy="27633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425149</xdr:colOff>
      <xdr:row>36</xdr:row>
      <xdr:rowOff>172328</xdr:rowOff>
    </xdr:from>
    <xdr:to>
      <xdr:col>3</xdr:col>
      <xdr:colOff>467727</xdr:colOff>
      <xdr:row>37</xdr:row>
      <xdr:rowOff>17711</xdr:rowOff>
    </xdr:to>
    <xdr:sp macro="" textlink="">
      <xdr:nvSpPr>
        <xdr:cNvPr id="411" name="Shape 201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/>
      </xdr:nvSpPr>
      <xdr:spPr>
        <a:xfrm>
          <a:off x="3086546" y="785236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501012</xdr:colOff>
      <xdr:row>36</xdr:row>
      <xdr:rowOff>172328</xdr:rowOff>
    </xdr:from>
    <xdr:to>
      <xdr:col>3</xdr:col>
      <xdr:colOff>543590</xdr:colOff>
      <xdr:row>37</xdr:row>
      <xdr:rowOff>17711</xdr:rowOff>
    </xdr:to>
    <xdr:sp macro="" textlink="">
      <xdr:nvSpPr>
        <xdr:cNvPr id="412" name="Shape 202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>
          <a:off x="3162409" y="785236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574738</xdr:colOff>
      <xdr:row>36</xdr:row>
      <xdr:rowOff>173624</xdr:rowOff>
    </xdr:from>
    <xdr:to>
      <xdr:col>3</xdr:col>
      <xdr:colOff>617316</xdr:colOff>
      <xdr:row>37</xdr:row>
      <xdr:rowOff>19007</xdr:rowOff>
    </xdr:to>
    <xdr:sp macro="" textlink="">
      <xdr:nvSpPr>
        <xdr:cNvPr id="413" name="Shape 203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>
          <a:off x="3236135" y="7853656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424281</xdr:colOff>
      <xdr:row>37</xdr:row>
      <xdr:rowOff>44543</xdr:rowOff>
    </xdr:from>
    <xdr:to>
      <xdr:col>3</xdr:col>
      <xdr:colOff>466859</xdr:colOff>
      <xdr:row>37</xdr:row>
      <xdr:rowOff>90031</xdr:rowOff>
    </xdr:to>
    <xdr:sp macro="" textlink="">
      <xdr:nvSpPr>
        <xdr:cNvPr id="414" name="Shape 201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>
          <a:off x="3085678" y="792468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500144</xdr:colOff>
      <xdr:row>37</xdr:row>
      <xdr:rowOff>44543</xdr:rowOff>
    </xdr:from>
    <xdr:to>
      <xdr:col>3</xdr:col>
      <xdr:colOff>542722</xdr:colOff>
      <xdr:row>37</xdr:row>
      <xdr:rowOff>90031</xdr:rowOff>
    </xdr:to>
    <xdr:sp macro="" textlink="">
      <xdr:nvSpPr>
        <xdr:cNvPr id="415" name="Shape 202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>
          <a:off x="3161541" y="792468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573870</xdr:colOff>
      <xdr:row>37</xdr:row>
      <xdr:rowOff>45839</xdr:rowOff>
    </xdr:from>
    <xdr:to>
      <xdr:col>3</xdr:col>
      <xdr:colOff>616448</xdr:colOff>
      <xdr:row>37</xdr:row>
      <xdr:rowOff>91327</xdr:rowOff>
    </xdr:to>
    <xdr:sp macro="" textlink="">
      <xdr:nvSpPr>
        <xdr:cNvPr id="416" name="Shape 203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>
          <a:off x="3235267" y="7925976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425149</xdr:colOff>
      <xdr:row>37</xdr:row>
      <xdr:rowOff>109714</xdr:rowOff>
    </xdr:from>
    <xdr:to>
      <xdr:col>3</xdr:col>
      <xdr:colOff>467727</xdr:colOff>
      <xdr:row>37</xdr:row>
      <xdr:rowOff>154781</xdr:rowOff>
    </xdr:to>
    <xdr:sp macro="" textlink="">
      <xdr:nvSpPr>
        <xdr:cNvPr id="417" name="Shape 201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>
          <a:off x="3086546" y="798985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501012</xdr:colOff>
      <xdr:row>37</xdr:row>
      <xdr:rowOff>109714</xdr:rowOff>
    </xdr:from>
    <xdr:to>
      <xdr:col>3</xdr:col>
      <xdr:colOff>543590</xdr:colOff>
      <xdr:row>37</xdr:row>
      <xdr:rowOff>154781</xdr:rowOff>
    </xdr:to>
    <xdr:sp macro="" textlink="">
      <xdr:nvSpPr>
        <xdr:cNvPr id="418" name="Shape 202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>
          <a:off x="3162409" y="798985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574738</xdr:colOff>
      <xdr:row>37</xdr:row>
      <xdr:rowOff>111010</xdr:rowOff>
    </xdr:from>
    <xdr:to>
      <xdr:col>3</xdr:col>
      <xdr:colOff>617316</xdr:colOff>
      <xdr:row>37</xdr:row>
      <xdr:rowOff>156077</xdr:rowOff>
    </xdr:to>
    <xdr:sp macro="" textlink="">
      <xdr:nvSpPr>
        <xdr:cNvPr id="419" name="Shape 203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3236135" y="7991147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422402</xdr:colOff>
      <xdr:row>37</xdr:row>
      <xdr:rowOff>170372</xdr:rowOff>
    </xdr:from>
    <xdr:to>
      <xdr:col>3</xdr:col>
      <xdr:colOff>464980</xdr:colOff>
      <xdr:row>38</xdr:row>
      <xdr:rowOff>15253</xdr:rowOff>
    </xdr:to>
    <xdr:sp macro="" textlink="">
      <xdr:nvSpPr>
        <xdr:cNvPr id="420" name="Shape 201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>
          <a:off x="3083799" y="805050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498265</xdr:colOff>
      <xdr:row>37</xdr:row>
      <xdr:rowOff>170372</xdr:rowOff>
    </xdr:from>
    <xdr:to>
      <xdr:col>3</xdr:col>
      <xdr:colOff>540843</xdr:colOff>
      <xdr:row>38</xdr:row>
      <xdr:rowOff>15253</xdr:rowOff>
    </xdr:to>
    <xdr:sp macro="" textlink="">
      <xdr:nvSpPr>
        <xdr:cNvPr id="421" name="Shape 202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>
          <a:off x="3159662" y="805050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571991</xdr:colOff>
      <xdr:row>37</xdr:row>
      <xdr:rowOff>171668</xdr:rowOff>
    </xdr:from>
    <xdr:to>
      <xdr:col>3</xdr:col>
      <xdr:colOff>614569</xdr:colOff>
      <xdr:row>38</xdr:row>
      <xdr:rowOff>16549</xdr:rowOff>
    </xdr:to>
    <xdr:sp macro="" textlink="">
      <xdr:nvSpPr>
        <xdr:cNvPr id="422" name="Shape 203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>
          <a:off x="3233388" y="8051805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56030</xdr:colOff>
      <xdr:row>38</xdr:row>
      <xdr:rowOff>76040</xdr:rowOff>
    </xdr:from>
    <xdr:to>
      <xdr:col>3</xdr:col>
      <xdr:colOff>311494</xdr:colOff>
      <xdr:row>39</xdr:row>
      <xdr:rowOff>152266</xdr:rowOff>
    </xdr:to>
    <xdr:sp macro="" textlink="">
      <xdr:nvSpPr>
        <xdr:cNvPr id="423" name="Shape 200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>
          <a:off x="2717427" y="8156282"/>
          <a:ext cx="255464" cy="27633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84971</xdr:colOff>
      <xdr:row>38</xdr:row>
      <xdr:rowOff>92286</xdr:rowOff>
    </xdr:from>
    <xdr:to>
      <xdr:col>3</xdr:col>
      <xdr:colOff>127549</xdr:colOff>
      <xdr:row>38</xdr:row>
      <xdr:rowOff>137774</xdr:rowOff>
    </xdr:to>
    <xdr:sp macro="" textlink="">
      <xdr:nvSpPr>
        <xdr:cNvPr id="424" name="Shape 201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>
          <a:off x="2746368" y="817252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160834</xdr:colOff>
      <xdr:row>38</xdr:row>
      <xdr:rowOff>92286</xdr:rowOff>
    </xdr:from>
    <xdr:to>
      <xdr:col>3</xdr:col>
      <xdr:colOff>203412</xdr:colOff>
      <xdr:row>38</xdr:row>
      <xdr:rowOff>137774</xdr:rowOff>
    </xdr:to>
    <xdr:sp macro="" textlink="">
      <xdr:nvSpPr>
        <xdr:cNvPr id="425" name="Shape 202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2822231" y="817252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234560</xdr:colOff>
      <xdr:row>38</xdr:row>
      <xdr:rowOff>93582</xdr:rowOff>
    </xdr:from>
    <xdr:to>
      <xdr:col>3</xdr:col>
      <xdr:colOff>277138</xdr:colOff>
      <xdr:row>38</xdr:row>
      <xdr:rowOff>139070</xdr:rowOff>
    </xdr:to>
    <xdr:sp macro="" textlink="">
      <xdr:nvSpPr>
        <xdr:cNvPr id="426" name="Shape 203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/>
      </xdr:nvSpPr>
      <xdr:spPr>
        <a:xfrm>
          <a:off x="2895957" y="817382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84103</xdr:colOff>
      <xdr:row>38</xdr:row>
      <xdr:rowOff>164606</xdr:rowOff>
    </xdr:from>
    <xdr:to>
      <xdr:col>3</xdr:col>
      <xdr:colOff>126681</xdr:colOff>
      <xdr:row>39</xdr:row>
      <xdr:rowOff>9989</xdr:rowOff>
    </xdr:to>
    <xdr:sp macro="" textlink="">
      <xdr:nvSpPr>
        <xdr:cNvPr id="427" name="Shape 201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/>
      </xdr:nvSpPr>
      <xdr:spPr>
        <a:xfrm>
          <a:off x="2745500" y="824484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159966</xdr:colOff>
      <xdr:row>38</xdr:row>
      <xdr:rowOff>164606</xdr:rowOff>
    </xdr:from>
    <xdr:to>
      <xdr:col>3</xdr:col>
      <xdr:colOff>202544</xdr:colOff>
      <xdr:row>39</xdr:row>
      <xdr:rowOff>9989</xdr:rowOff>
    </xdr:to>
    <xdr:sp macro="" textlink="">
      <xdr:nvSpPr>
        <xdr:cNvPr id="428" name="Shape 202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/>
      </xdr:nvSpPr>
      <xdr:spPr>
        <a:xfrm>
          <a:off x="2821363" y="824484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233692</xdr:colOff>
      <xdr:row>38</xdr:row>
      <xdr:rowOff>165902</xdr:rowOff>
    </xdr:from>
    <xdr:to>
      <xdr:col>3</xdr:col>
      <xdr:colOff>276270</xdr:colOff>
      <xdr:row>39</xdr:row>
      <xdr:rowOff>11285</xdr:rowOff>
    </xdr:to>
    <xdr:sp macro="" textlink="">
      <xdr:nvSpPr>
        <xdr:cNvPr id="429" name="Shape 203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/>
      </xdr:nvSpPr>
      <xdr:spPr>
        <a:xfrm>
          <a:off x="2895089" y="824614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84971</xdr:colOff>
      <xdr:row>39</xdr:row>
      <xdr:rowOff>29672</xdr:rowOff>
    </xdr:from>
    <xdr:to>
      <xdr:col>3</xdr:col>
      <xdr:colOff>127549</xdr:colOff>
      <xdr:row>39</xdr:row>
      <xdr:rowOff>74739</xdr:rowOff>
    </xdr:to>
    <xdr:sp macro="" textlink="">
      <xdr:nvSpPr>
        <xdr:cNvPr id="430" name="Shape 201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/>
      </xdr:nvSpPr>
      <xdr:spPr>
        <a:xfrm>
          <a:off x="2746368" y="8310019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160834</xdr:colOff>
      <xdr:row>39</xdr:row>
      <xdr:rowOff>29672</xdr:rowOff>
    </xdr:from>
    <xdr:to>
      <xdr:col>3</xdr:col>
      <xdr:colOff>203412</xdr:colOff>
      <xdr:row>39</xdr:row>
      <xdr:rowOff>74739</xdr:rowOff>
    </xdr:to>
    <xdr:sp macro="" textlink="">
      <xdr:nvSpPr>
        <xdr:cNvPr id="431" name="Shape 202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2822231" y="8310019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234560</xdr:colOff>
      <xdr:row>39</xdr:row>
      <xdr:rowOff>30968</xdr:rowOff>
    </xdr:from>
    <xdr:to>
      <xdr:col>3</xdr:col>
      <xdr:colOff>277138</xdr:colOff>
      <xdr:row>39</xdr:row>
      <xdr:rowOff>76035</xdr:rowOff>
    </xdr:to>
    <xdr:sp macro="" textlink="">
      <xdr:nvSpPr>
        <xdr:cNvPr id="432" name="Shape 203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/>
      </xdr:nvSpPr>
      <xdr:spPr>
        <a:xfrm>
          <a:off x="2895957" y="8311315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82224</xdr:colOff>
      <xdr:row>39</xdr:row>
      <xdr:rowOff>90330</xdr:rowOff>
    </xdr:from>
    <xdr:to>
      <xdr:col>3</xdr:col>
      <xdr:colOff>124802</xdr:colOff>
      <xdr:row>39</xdr:row>
      <xdr:rowOff>135316</xdr:rowOff>
    </xdr:to>
    <xdr:sp macro="" textlink="">
      <xdr:nvSpPr>
        <xdr:cNvPr id="433" name="Shape 201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/>
      </xdr:nvSpPr>
      <xdr:spPr>
        <a:xfrm>
          <a:off x="2743621" y="837067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158087</xdr:colOff>
      <xdr:row>39</xdr:row>
      <xdr:rowOff>90330</xdr:rowOff>
    </xdr:from>
    <xdr:to>
      <xdr:col>3</xdr:col>
      <xdr:colOff>200665</xdr:colOff>
      <xdr:row>39</xdr:row>
      <xdr:rowOff>135316</xdr:rowOff>
    </xdr:to>
    <xdr:sp macro="" textlink="">
      <xdr:nvSpPr>
        <xdr:cNvPr id="434" name="Shape 202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2819484" y="837067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231813</xdr:colOff>
      <xdr:row>39</xdr:row>
      <xdr:rowOff>91626</xdr:rowOff>
    </xdr:from>
    <xdr:to>
      <xdr:col>3</xdr:col>
      <xdr:colOff>274391</xdr:colOff>
      <xdr:row>39</xdr:row>
      <xdr:rowOff>136612</xdr:rowOff>
    </xdr:to>
    <xdr:sp macro="" textlink="">
      <xdr:nvSpPr>
        <xdr:cNvPr id="435" name="Shape 203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2893210" y="837197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400210</xdr:colOff>
      <xdr:row>38</xdr:row>
      <xdr:rowOff>72037</xdr:rowOff>
    </xdr:from>
    <xdr:to>
      <xdr:col>3</xdr:col>
      <xdr:colOff>655674</xdr:colOff>
      <xdr:row>39</xdr:row>
      <xdr:rowOff>148263</xdr:rowOff>
    </xdr:to>
    <xdr:sp macro="" textlink="">
      <xdr:nvSpPr>
        <xdr:cNvPr id="436" name="Shape 200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3061607" y="8152279"/>
          <a:ext cx="255464" cy="27633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429151</xdr:colOff>
      <xdr:row>38</xdr:row>
      <xdr:rowOff>88283</xdr:rowOff>
    </xdr:from>
    <xdr:to>
      <xdr:col>3</xdr:col>
      <xdr:colOff>471729</xdr:colOff>
      <xdr:row>38</xdr:row>
      <xdr:rowOff>133771</xdr:rowOff>
    </xdr:to>
    <xdr:sp macro="" textlink="">
      <xdr:nvSpPr>
        <xdr:cNvPr id="437" name="Shape 201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3090548" y="816852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505014</xdr:colOff>
      <xdr:row>38</xdr:row>
      <xdr:rowOff>88283</xdr:rowOff>
    </xdr:from>
    <xdr:to>
      <xdr:col>3</xdr:col>
      <xdr:colOff>547592</xdr:colOff>
      <xdr:row>38</xdr:row>
      <xdr:rowOff>133771</xdr:rowOff>
    </xdr:to>
    <xdr:sp macro="" textlink="">
      <xdr:nvSpPr>
        <xdr:cNvPr id="438" name="Shape 202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SpPr/>
      </xdr:nvSpPr>
      <xdr:spPr>
        <a:xfrm>
          <a:off x="3166411" y="816852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578740</xdr:colOff>
      <xdr:row>38</xdr:row>
      <xdr:rowOff>89579</xdr:rowOff>
    </xdr:from>
    <xdr:to>
      <xdr:col>3</xdr:col>
      <xdr:colOff>621318</xdr:colOff>
      <xdr:row>38</xdr:row>
      <xdr:rowOff>135067</xdr:rowOff>
    </xdr:to>
    <xdr:sp macro="" textlink="">
      <xdr:nvSpPr>
        <xdr:cNvPr id="439" name="Shape 203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3240137" y="816982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428283</xdr:colOff>
      <xdr:row>38</xdr:row>
      <xdr:rowOff>160603</xdr:rowOff>
    </xdr:from>
    <xdr:to>
      <xdr:col>3</xdr:col>
      <xdr:colOff>470861</xdr:colOff>
      <xdr:row>39</xdr:row>
      <xdr:rowOff>5986</xdr:rowOff>
    </xdr:to>
    <xdr:sp macro="" textlink="">
      <xdr:nvSpPr>
        <xdr:cNvPr id="440" name="Shape 201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/>
      </xdr:nvSpPr>
      <xdr:spPr>
        <a:xfrm>
          <a:off x="3089680" y="824084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504146</xdr:colOff>
      <xdr:row>38</xdr:row>
      <xdr:rowOff>160603</xdr:rowOff>
    </xdr:from>
    <xdr:to>
      <xdr:col>3</xdr:col>
      <xdr:colOff>546724</xdr:colOff>
      <xdr:row>39</xdr:row>
      <xdr:rowOff>5986</xdr:rowOff>
    </xdr:to>
    <xdr:sp macro="" textlink="">
      <xdr:nvSpPr>
        <xdr:cNvPr id="441" name="Shape 202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3165543" y="824084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577872</xdr:colOff>
      <xdr:row>38</xdr:row>
      <xdr:rowOff>161899</xdr:rowOff>
    </xdr:from>
    <xdr:to>
      <xdr:col>3</xdr:col>
      <xdr:colOff>620450</xdr:colOff>
      <xdr:row>39</xdr:row>
      <xdr:rowOff>7282</xdr:rowOff>
    </xdr:to>
    <xdr:sp macro="" textlink="">
      <xdr:nvSpPr>
        <xdr:cNvPr id="442" name="Shape 203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/>
      </xdr:nvSpPr>
      <xdr:spPr>
        <a:xfrm>
          <a:off x="3239269" y="824214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429151</xdr:colOff>
      <xdr:row>39</xdr:row>
      <xdr:rowOff>25669</xdr:rowOff>
    </xdr:from>
    <xdr:to>
      <xdr:col>3</xdr:col>
      <xdr:colOff>471729</xdr:colOff>
      <xdr:row>39</xdr:row>
      <xdr:rowOff>70736</xdr:rowOff>
    </xdr:to>
    <xdr:sp macro="" textlink="">
      <xdr:nvSpPr>
        <xdr:cNvPr id="443" name="Shape 201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/>
      </xdr:nvSpPr>
      <xdr:spPr>
        <a:xfrm>
          <a:off x="3090548" y="830601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505014</xdr:colOff>
      <xdr:row>39</xdr:row>
      <xdr:rowOff>25669</xdr:rowOff>
    </xdr:from>
    <xdr:to>
      <xdr:col>3</xdr:col>
      <xdr:colOff>547592</xdr:colOff>
      <xdr:row>39</xdr:row>
      <xdr:rowOff>70736</xdr:rowOff>
    </xdr:to>
    <xdr:sp macro="" textlink="">
      <xdr:nvSpPr>
        <xdr:cNvPr id="444" name="Shape 202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/>
      </xdr:nvSpPr>
      <xdr:spPr>
        <a:xfrm>
          <a:off x="3166411" y="830601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578740</xdr:colOff>
      <xdr:row>39</xdr:row>
      <xdr:rowOff>26965</xdr:rowOff>
    </xdr:from>
    <xdr:to>
      <xdr:col>3</xdr:col>
      <xdr:colOff>621318</xdr:colOff>
      <xdr:row>39</xdr:row>
      <xdr:rowOff>72032</xdr:rowOff>
    </xdr:to>
    <xdr:sp macro="" textlink="">
      <xdr:nvSpPr>
        <xdr:cNvPr id="445" name="Shape 203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/>
      </xdr:nvSpPr>
      <xdr:spPr>
        <a:xfrm>
          <a:off x="3240137" y="8307312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426404</xdr:colOff>
      <xdr:row>39</xdr:row>
      <xdr:rowOff>86327</xdr:rowOff>
    </xdr:from>
    <xdr:to>
      <xdr:col>3</xdr:col>
      <xdr:colOff>468982</xdr:colOff>
      <xdr:row>39</xdr:row>
      <xdr:rowOff>131313</xdr:rowOff>
    </xdr:to>
    <xdr:sp macro="" textlink="">
      <xdr:nvSpPr>
        <xdr:cNvPr id="446" name="Shape 201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3087801" y="836667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502267</xdr:colOff>
      <xdr:row>39</xdr:row>
      <xdr:rowOff>86327</xdr:rowOff>
    </xdr:from>
    <xdr:to>
      <xdr:col>3</xdr:col>
      <xdr:colOff>544845</xdr:colOff>
      <xdr:row>39</xdr:row>
      <xdr:rowOff>131313</xdr:rowOff>
    </xdr:to>
    <xdr:sp macro="" textlink="">
      <xdr:nvSpPr>
        <xdr:cNvPr id="447" name="Shape 202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3163664" y="836667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575993</xdr:colOff>
      <xdr:row>39</xdr:row>
      <xdr:rowOff>87623</xdr:rowOff>
    </xdr:from>
    <xdr:to>
      <xdr:col>3</xdr:col>
      <xdr:colOff>618571</xdr:colOff>
      <xdr:row>39</xdr:row>
      <xdr:rowOff>132609</xdr:rowOff>
    </xdr:to>
    <xdr:sp macro="" textlink="">
      <xdr:nvSpPr>
        <xdr:cNvPr id="448" name="Shape 203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3237390" y="836797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8523</xdr:colOff>
      <xdr:row>40</xdr:row>
      <xdr:rowOff>1</xdr:rowOff>
    </xdr:from>
    <xdr:to>
      <xdr:col>3</xdr:col>
      <xdr:colOff>703384</xdr:colOff>
      <xdr:row>45</xdr:row>
      <xdr:rowOff>63371</xdr:rowOff>
    </xdr:to>
    <xdr:sp macro="" textlink="">
      <xdr:nvSpPr>
        <xdr:cNvPr id="449" name="Rectángulo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 rot="5400000">
          <a:off x="2496702" y="8590130"/>
          <a:ext cx="1052504" cy="69486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3</xdr:col>
      <xdr:colOff>35719</xdr:colOff>
      <xdr:row>40</xdr:row>
      <xdr:rowOff>41672</xdr:rowOff>
    </xdr:from>
    <xdr:to>
      <xdr:col>3</xdr:col>
      <xdr:colOff>291183</xdr:colOff>
      <xdr:row>41</xdr:row>
      <xdr:rowOff>117897</xdr:rowOff>
    </xdr:to>
    <xdr:sp macro="" textlink="">
      <xdr:nvSpPr>
        <xdr:cNvPr id="450" name="Shape 200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/>
      </xdr:nvSpPr>
      <xdr:spPr>
        <a:xfrm>
          <a:off x="2690813" y="8554641"/>
          <a:ext cx="255464" cy="27863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381251</xdr:colOff>
      <xdr:row>40</xdr:row>
      <xdr:rowOff>45640</xdr:rowOff>
    </xdr:from>
    <xdr:to>
      <xdr:col>3</xdr:col>
      <xdr:colOff>636715</xdr:colOff>
      <xdr:row>41</xdr:row>
      <xdr:rowOff>121865</xdr:rowOff>
    </xdr:to>
    <xdr:sp macro="" textlink="">
      <xdr:nvSpPr>
        <xdr:cNvPr id="451" name="Shape 200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/>
      </xdr:nvSpPr>
      <xdr:spPr>
        <a:xfrm>
          <a:off x="3036345" y="8558609"/>
          <a:ext cx="255464" cy="27863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36590</xdr:colOff>
      <xdr:row>41</xdr:row>
      <xdr:rowOff>164183</xdr:rowOff>
    </xdr:from>
    <xdr:to>
      <xdr:col>3</xdr:col>
      <xdr:colOff>292054</xdr:colOff>
      <xdr:row>43</xdr:row>
      <xdr:rowOff>40302</xdr:rowOff>
    </xdr:to>
    <xdr:sp macro="" textlink="">
      <xdr:nvSpPr>
        <xdr:cNvPr id="452" name="Shape 200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/>
      </xdr:nvSpPr>
      <xdr:spPr>
        <a:xfrm>
          <a:off x="2691684" y="8879558"/>
          <a:ext cx="255464" cy="28093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379790</xdr:colOff>
      <xdr:row>41</xdr:row>
      <xdr:rowOff>166004</xdr:rowOff>
    </xdr:from>
    <xdr:to>
      <xdr:col>3</xdr:col>
      <xdr:colOff>635254</xdr:colOff>
      <xdr:row>43</xdr:row>
      <xdr:rowOff>42124</xdr:rowOff>
    </xdr:to>
    <xdr:sp macro="" textlink="">
      <xdr:nvSpPr>
        <xdr:cNvPr id="453" name="Shape 200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3034884" y="8881379"/>
          <a:ext cx="255464" cy="280933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39612</xdr:colOff>
      <xdr:row>43</xdr:row>
      <xdr:rowOff>85961</xdr:rowOff>
    </xdr:from>
    <xdr:to>
      <xdr:col>3</xdr:col>
      <xdr:colOff>295076</xdr:colOff>
      <xdr:row>44</xdr:row>
      <xdr:rowOff>162188</xdr:rowOff>
    </xdr:to>
    <xdr:sp macro="" textlink="">
      <xdr:nvSpPr>
        <xdr:cNvPr id="454" name="Shape 200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2694706" y="9206149"/>
          <a:ext cx="255464" cy="278633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383792</xdr:colOff>
      <xdr:row>43</xdr:row>
      <xdr:rowOff>81958</xdr:rowOff>
    </xdr:from>
    <xdr:to>
      <xdr:col>3</xdr:col>
      <xdr:colOff>639256</xdr:colOff>
      <xdr:row>44</xdr:row>
      <xdr:rowOff>158185</xdr:rowOff>
    </xdr:to>
    <xdr:sp macro="" textlink="">
      <xdr:nvSpPr>
        <xdr:cNvPr id="455" name="Shape 200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3038886" y="9202146"/>
          <a:ext cx="255464" cy="278633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70043</xdr:colOff>
      <xdr:row>40</xdr:row>
      <xdr:rowOff>56942</xdr:rowOff>
    </xdr:from>
    <xdr:to>
      <xdr:col>3</xdr:col>
      <xdr:colOff>112621</xdr:colOff>
      <xdr:row>40</xdr:row>
      <xdr:rowOff>102430</xdr:rowOff>
    </xdr:to>
    <xdr:sp macro="" textlink="">
      <xdr:nvSpPr>
        <xdr:cNvPr id="456" name="Shape 201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2725654" y="8577676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145906</xdr:colOff>
      <xdr:row>40</xdr:row>
      <xdr:rowOff>56942</xdr:rowOff>
    </xdr:from>
    <xdr:to>
      <xdr:col>3</xdr:col>
      <xdr:colOff>188484</xdr:colOff>
      <xdr:row>40</xdr:row>
      <xdr:rowOff>102430</xdr:rowOff>
    </xdr:to>
    <xdr:sp macro="" textlink="">
      <xdr:nvSpPr>
        <xdr:cNvPr id="457" name="Shape 202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2801517" y="8577676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219632</xdr:colOff>
      <xdr:row>40</xdr:row>
      <xdr:rowOff>58238</xdr:rowOff>
    </xdr:from>
    <xdr:to>
      <xdr:col>3</xdr:col>
      <xdr:colOff>262210</xdr:colOff>
      <xdr:row>40</xdr:row>
      <xdr:rowOff>103726</xdr:rowOff>
    </xdr:to>
    <xdr:sp macro="" textlink="">
      <xdr:nvSpPr>
        <xdr:cNvPr id="458" name="Shape 203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875243" y="857897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69175</xdr:colOff>
      <xdr:row>40</xdr:row>
      <xdr:rowOff>129262</xdr:rowOff>
    </xdr:from>
    <xdr:to>
      <xdr:col>3</xdr:col>
      <xdr:colOff>111753</xdr:colOff>
      <xdr:row>40</xdr:row>
      <xdr:rowOff>176533</xdr:rowOff>
    </xdr:to>
    <xdr:sp macro="" textlink="">
      <xdr:nvSpPr>
        <xdr:cNvPr id="459" name="Shape 201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2724786" y="8649996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145038</xdr:colOff>
      <xdr:row>40</xdr:row>
      <xdr:rowOff>129262</xdr:rowOff>
    </xdr:from>
    <xdr:to>
      <xdr:col>3</xdr:col>
      <xdr:colOff>187616</xdr:colOff>
      <xdr:row>40</xdr:row>
      <xdr:rowOff>176533</xdr:rowOff>
    </xdr:to>
    <xdr:sp macro="" textlink="">
      <xdr:nvSpPr>
        <xdr:cNvPr id="460" name="Shape 202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2800649" y="8649996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218764</xdr:colOff>
      <xdr:row>40</xdr:row>
      <xdr:rowOff>130558</xdr:rowOff>
    </xdr:from>
    <xdr:to>
      <xdr:col>3</xdr:col>
      <xdr:colOff>261342</xdr:colOff>
      <xdr:row>40</xdr:row>
      <xdr:rowOff>177829</xdr:rowOff>
    </xdr:to>
    <xdr:sp macro="" textlink="">
      <xdr:nvSpPr>
        <xdr:cNvPr id="461" name="Shape 203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2874375" y="8651292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70043</xdr:colOff>
      <xdr:row>40</xdr:row>
      <xdr:rowOff>196216</xdr:rowOff>
    </xdr:from>
    <xdr:to>
      <xdr:col>3</xdr:col>
      <xdr:colOff>112621</xdr:colOff>
      <xdr:row>41</xdr:row>
      <xdr:rowOff>39395</xdr:rowOff>
    </xdr:to>
    <xdr:sp macro="" textlink="">
      <xdr:nvSpPr>
        <xdr:cNvPr id="462" name="Shape 201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/>
      </xdr:nvSpPr>
      <xdr:spPr>
        <a:xfrm>
          <a:off x="2725654" y="8716950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145906</xdr:colOff>
      <xdr:row>40</xdr:row>
      <xdr:rowOff>196216</xdr:rowOff>
    </xdr:from>
    <xdr:to>
      <xdr:col>3</xdr:col>
      <xdr:colOff>188484</xdr:colOff>
      <xdr:row>41</xdr:row>
      <xdr:rowOff>39395</xdr:rowOff>
    </xdr:to>
    <xdr:sp macro="" textlink="">
      <xdr:nvSpPr>
        <xdr:cNvPr id="463" name="Shape 20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2801517" y="8716950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219632</xdr:colOff>
      <xdr:row>40</xdr:row>
      <xdr:rowOff>197512</xdr:rowOff>
    </xdr:from>
    <xdr:to>
      <xdr:col>3</xdr:col>
      <xdr:colOff>262210</xdr:colOff>
      <xdr:row>41</xdr:row>
      <xdr:rowOff>40691</xdr:rowOff>
    </xdr:to>
    <xdr:sp macro="" textlink="">
      <xdr:nvSpPr>
        <xdr:cNvPr id="464" name="Shape 20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2875243" y="871824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67296</xdr:colOff>
      <xdr:row>41</xdr:row>
      <xdr:rowOff>54986</xdr:rowOff>
    </xdr:from>
    <xdr:to>
      <xdr:col>3</xdr:col>
      <xdr:colOff>109874</xdr:colOff>
      <xdr:row>41</xdr:row>
      <xdr:rowOff>99972</xdr:rowOff>
    </xdr:to>
    <xdr:sp macro="" textlink="">
      <xdr:nvSpPr>
        <xdr:cNvPr id="465" name="Shape 201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/>
      </xdr:nvSpPr>
      <xdr:spPr>
        <a:xfrm>
          <a:off x="2722907" y="8777608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143159</xdr:colOff>
      <xdr:row>41</xdr:row>
      <xdr:rowOff>54986</xdr:rowOff>
    </xdr:from>
    <xdr:to>
      <xdr:col>3</xdr:col>
      <xdr:colOff>185737</xdr:colOff>
      <xdr:row>41</xdr:row>
      <xdr:rowOff>99972</xdr:rowOff>
    </xdr:to>
    <xdr:sp macro="" textlink="">
      <xdr:nvSpPr>
        <xdr:cNvPr id="466" name="Shape 202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2798770" y="8777608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216885</xdr:colOff>
      <xdr:row>41</xdr:row>
      <xdr:rowOff>56282</xdr:rowOff>
    </xdr:from>
    <xdr:to>
      <xdr:col>3</xdr:col>
      <xdr:colOff>259463</xdr:colOff>
      <xdr:row>41</xdr:row>
      <xdr:rowOff>101268</xdr:rowOff>
    </xdr:to>
    <xdr:sp macro="" textlink="">
      <xdr:nvSpPr>
        <xdr:cNvPr id="467" name="Shape 203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2872496" y="877890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416878</xdr:colOff>
      <xdr:row>40</xdr:row>
      <xdr:rowOff>62119</xdr:rowOff>
    </xdr:from>
    <xdr:to>
      <xdr:col>3</xdr:col>
      <xdr:colOff>459456</xdr:colOff>
      <xdr:row>40</xdr:row>
      <xdr:rowOff>107607</xdr:rowOff>
    </xdr:to>
    <xdr:sp macro="" textlink="">
      <xdr:nvSpPr>
        <xdr:cNvPr id="468" name="Shape 201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3072489" y="8582853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492741</xdr:colOff>
      <xdr:row>40</xdr:row>
      <xdr:rowOff>62119</xdr:rowOff>
    </xdr:from>
    <xdr:to>
      <xdr:col>3</xdr:col>
      <xdr:colOff>535319</xdr:colOff>
      <xdr:row>40</xdr:row>
      <xdr:rowOff>107607</xdr:rowOff>
    </xdr:to>
    <xdr:sp macro="" textlink="">
      <xdr:nvSpPr>
        <xdr:cNvPr id="469" name="Shape 202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3148352" y="8582853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566467</xdr:colOff>
      <xdr:row>40</xdr:row>
      <xdr:rowOff>63415</xdr:rowOff>
    </xdr:from>
    <xdr:to>
      <xdr:col>3</xdr:col>
      <xdr:colOff>609045</xdr:colOff>
      <xdr:row>40</xdr:row>
      <xdr:rowOff>108903</xdr:rowOff>
    </xdr:to>
    <xdr:sp macro="" textlink="">
      <xdr:nvSpPr>
        <xdr:cNvPr id="470" name="Shape 203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3222078" y="858414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416010</xdr:colOff>
      <xdr:row>40</xdr:row>
      <xdr:rowOff>134439</xdr:rowOff>
    </xdr:from>
    <xdr:to>
      <xdr:col>3</xdr:col>
      <xdr:colOff>458588</xdr:colOff>
      <xdr:row>40</xdr:row>
      <xdr:rowOff>181710</xdr:rowOff>
    </xdr:to>
    <xdr:sp macro="" textlink="">
      <xdr:nvSpPr>
        <xdr:cNvPr id="471" name="Shape 201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3071621" y="8655173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491873</xdr:colOff>
      <xdr:row>40</xdr:row>
      <xdr:rowOff>134439</xdr:rowOff>
    </xdr:from>
    <xdr:to>
      <xdr:col>3</xdr:col>
      <xdr:colOff>534451</xdr:colOff>
      <xdr:row>40</xdr:row>
      <xdr:rowOff>181710</xdr:rowOff>
    </xdr:to>
    <xdr:sp macro="" textlink="">
      <xdr:nvSpPr>
        <xdr:cNvPr id="472" name="Shape 202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3147484" y="8655173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565599</xdr:colOff>
      <xdr:row>40</xdr:row>
      <xdr:rowOff>135735</xdr:rowOff>
    </xdr:from>
    <xdr:to>
      <xdr:col>3</xdr:col>
      <xdr:colOff>608177</xdr:colOff>
      <xdr:row>40</xdr:row>
      <xdr:rowOff>183006</xdr:rowOff>
    </xdr:to>
    <xdr:sp macro="" textlink="">
      <xdr:nvSpPr>
        <xdr:cNvPr id="473" name="Shape 203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3221210" y="8656469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416878</xdr:colOff>
      <xdr:row>40</xdr:row>
      <xdr:rowOff>201393</xdr:rowOff>
    </xdr:from>
    <xdr:to>
      <xdr:col>3</xdr:col>
      <xdr:colOff>459456</xdr:colOff>
      <xdr:row>41</xdr:row>
      <xdr:rowOff>44572</xdr:rowOff>
    </xdr:to>
    <xdr:sp macro="" textlink="">
      <xdr:nvSpPr>
        <xdr:cNvPr id="474" name="Shape 201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/>
      </xdr:nvSpPr>
      <xdr:spPr>
        <a:xfrm>
          <a:off x="3072489" y="8722127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492741</xdr:colOff>
      <xdr:row>40</xdr:row>
      <xdr:rowOff>201393</xdr:rowOff>
    </xdr:from>
    <xdr:to>
      <xdr:col>3</xdr:col>
      <xdr:colOff>535319</xdr:colOff>
      <xdr:row>41</xdr:row>
      <xdr:rowOff>44572</xdr:rowOff>
    </xdr:to>
    <xdr:sp macro="" textlink="">
      <xdr:nvSpPr>
        <xdr:cNvPr id="475" name="Shape 202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/>
      </xdr:nvSpPr>
      <xdr:spPr>
        <a:xfrm>
          <a:off x="3148352" y="8722127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566467</xdr:colOff>
      <xdr:row>41</xdr:row>
      <xdr:rowOff>801</xdr:rowOff>
    </xdr:from>
    <xdr:to>
      <xdr:col>3</xdr:col>
      <xdr:colOff>609045</xdr:colOff>
      <xdr:row>41</xdr:row>
      <xdr:rowOff>45868</xdr:rowOff>
    </xdr:to>
    <xdr:sp macro="" textlink="">
      <xdr:nvSpPr>
        <xdr:cNvPr id="476" name="Shape 203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/>
      </xdr:nvSpPr>
      <xdr:spPr>
        <a:xfrm>
          <a:off x="3222078" y="8723423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414131</xdr:colOff>
      <xdr:row>41</xdr:row>
      <xdr:rowOff>60163</xdr:rowOff>
    </xdr:from>
    <xdr:to>
      <xdr:col>3</xdr:col>
      <xdr:colOff>456709</xdr:colOff>
      <xdr:row>41</xdr:row>
      <xdr:rowOff>105149</xdr:rowOff>
    </xdr:to>
    <xdr:sp macro="" textlink="">
      <xdr:nvSpPr>
        <xdr:cNvPr id="477" name="Shape 201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/>
      </xdr:nvSpPr>
      <xdr:spPr>
        <a:xfrm>
          <a:off x="3069742" y="8782785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489994</xdr:colOff>
      <xdr:row>41</xdr:row>
      <xdr:rowOff>60163</xdr:rowOff>
    </xdr:from>
    <xdr:to>
      <xdr:col>3</xdr:col>
      <xdr:colOff>532572</xdr:colOff>
      <xdr:row>41</xdr:row>
      <xdr:rowOff>105149</xdr:rowOff>
    </xdr:to>
    <xdr:sp macro="" textlink="">
      <xdr:nvSpPr>
        <xdr:cNvPr id="478" name="Shape 202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/>
      </xdr:nvSpPr>
      <xdr:spPr>
        <a:xfrm>
          <a:off x="3145605" y="8782785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563720</xdr:colOff>
      <xdr:row>41</xdr:row>
      <xdr:rowOff>61459</xdr:rowOff>
    </xdr:from>
    <xdr:to>
      <xdr:col>3</xdr:col>
      <xdr:colOff>606298</xdr:colOff>
      <xdr:row>41</xdr:row>
      <xdr:rowOff>106445</xdr:rowOff>
    </xdr:to>
    <xdr:sp macro="" textlink="">
      <xdr:nvSpPr>
        <xdr:cNvPr id="479" name="Shape 203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3219331" y="8784081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70043</xdr:colOff>
      <xdr:row>41</xdr:row>
      <xdr:rowOff>186359</xdr:rowOff>
    </xdr:from>
    <xdr:to>
      <xdr:col>3</xdr:col>
      <xdr:colOff>112621</xdr:colOff>
      <xdr:row>42</xdr:row>
      <xdr:rowOff>29958</xdr:rowOff>
    </xdr:to>
    <xdr:sp macro="" textlink="">
      <xdr:nvSpPr>
        <xdr:cNvPr id="480" name="Shape 201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/>
      </xdr:nvSpPr>
      <xdr:spPr>
        <a:xfrm>
          <a:off x="2725654" y="890898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145906</xdr:colOff>
      <xdr:row>41</xdr:row>
      <xdr:rowOff>186359</xdr:rowOff>
    </xdr:from>
    <xdr:to>
      <xdr:col>3</xdr:col>
      <xdr:colOff>188484</xdr:colOff>
      <xdr:row>42</xdr:row>
      <xdr:rowOff>29958</xdr:rowOff>
    </xdr:to>
    <xdr:sp macro="" textlink="">
      <xdr:nvSpPr>
        <xdr:cNvPr id="481" name="Shape 202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2801517" y="890898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219632</xdr:colOff>
      <xdr:row>41</xdr:row>
      <xdr:rowOff>187655</xdr:rowOff>
    </xdr:from>
    <xdr:to>
      <xdr:col>3</xdr:col>
      <xdr:colOff>262210</xdr:colOff>
      <xdr:row>42</xdr:row>
      <xdr:rowOff>31254</xdr:rowOff>
    </xdr:to>
    <xdr:sp macro="" textlink="">
      <xdr:nvSpPr>
        <xdr:cNvPr id="482" name="Shape 203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/>
      </xdr:nvSpPr>
      <xdr:spPr>
        <a:xfrm>
          <a:off x="2875243" y="891027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69175</xdr:colOff>
      <xdr:row>42</xdr:row>
      <xdr:rowOff>56790</xdr:rowOff>
    </xdr:from>
    <xdr:to>
      <xdr:col>3</xdr:col>
      <xdr:colOff>111753</xdr:colOff>
      <xdr:row>42</xdr:row>
      <xdr:rowOff>104061</xdr:rowOff>
    </xdr:to>
    <xdr:sp macro="" textlink="">
      <xdr:nvSpPr>
        <xdr:cNvPr id="483" name="Shape 201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SpPr/>
      </xdr:nvSpPr>
      <xdr:spPr>
        <a:xfrm>
          <a:off x="2724786" y="898130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145038</xdr:colOff>
      <xdr:row>42</xdr:row>
      <xdr:rowOff>56790</xdr:rowOff>
    </xdr:from>
    <xdr:to>
      <xdr:col>3</xdr:col>
      <xdr:colOff>187616</xdr:colOff>
      <xdr:row>42</xdr:row>
      <xdr:rowOff>104061</xdr:rowOff>
    </xdr:to>
    <xdr:sp macro="" textlink="">
      <xdr:nvSpPr>
        <xdr:cNvPr id="484" name="Shape 202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SpPr/>
      </xdr:nvSpPr>
      <xdr:spPr>
        <a:xfrm>
          <a:off x="2800649" y="898130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218764</xdr:colOff>
      <xdr:row>42</xdr:row>
      <xdr:rowOff>58086</xdr:rowOff>
    </xdr:from>
    <xdr:to>
      <xdr:col>3</xdr:col>
      <xdr:colOff>261342</xdr:colOff>
      <xdr:row>42</xdr:row>
      <xdr:rowOff>105357</xdr:rowOff>
    </xdr:to>
    <xdr:sp macro="" textlink="">
      <xdr:nvSpPr>
        <xdr:cNvPr id="485" name="Shape 203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/>
      </xdr:nvSpPr>
      <xdr:spPr>
        <a:xfrm>
          <a:off x="2874375" y="898259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70043</xdr:colOff>
      <xdr:row>42</xdr:row>
      <xdr:rowOff>123744</xdr:rowOff>
    </xdr:from>
    <xdr:to>
      <xdr:col>3</xdr:col>
      <xdr:colOff>112621</xdr:colOff>
      <xdr:row>42</xdr:row>
      <xdr:rowOff>168811</xdr:rowOff>
    </xdr:to>
    <xdr:sp macro="" textlink="">
      <xdr:nvSpPr>
        <xdr:cNvPr id="486" name="Shape 201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2725654" y="9048255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145906</xdr:colOff>
      <xdr:row>42</xdr:row>
      <xdr:rowOff>123744</xdr:rowOff>
    </xdr:from>
    <xdr:to>
      <xdr:col>3</xdr:col>
      <xdr:colOff>188484</xdr:colOff>
      <xdr:row>42</xdr:row>
      <xdr:rowOff>168811</xdr:rowOff>
    </xdr:to>
    <xdr:sp macro="" textlink="">
      <xdr:nvSpPr>
        <xdr:cNvPr id="487" name="Shape 202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SpPr/>
      </xdr:nvSpPr>
      <xdr:spPr>
        <a:xfrm>
          <a:off x="2801517" y="9048255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219632</xdr:colOff>
      <xdr:row>42</xdr:row>
      <xdr:rowOff>125040</xdr:rowOff>
    </xdr:from>
    <xdr:to>
      <xdr:col>3</xdr:col>
      <xdr:colOff>262210</xdr:colOff>
      <xdr:row>42</xdr:row>
      <xdr:rowOff>170107</xdr:rowOff>
    </xdr:to>
    <xdr:sp macro="" textlink="">
      <xdr:nvSpPr>
        <xdr:cNvPr id="488" name="Shape 203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SpPr/>
      </xdr:nvSpPr>
      <xdr:spPr>
        <a:xfrm>
          <a:off x="2875243" y="904955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67296</xdr:colOff>
      <xdr:row>42</xdr:row>
      <xdr:rowOff>184402</xdr:rowOff>
    </xdr:from>
    <xdr:to>
      <xdr:col>3</xdr:col>
      <xdr:colOff>109874</xdr:colOff>
      <xdr:row>43</xdr:row>
      <xdr:rowOff>27500</xdr:rowOff>
    </xdr:to>
    <xdr:sp macro="" textlink="">
      <xdr:nvSpPr>
        <xdr:cNvPr id="489" name="Shape 201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SpPr/>
      </xdr:nvSpPr>
      <xdr:spPr>
        <a:xfrm>
          <a:off x="2722907" y="910891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143159</xdr:colOff>
      <xdr:row>42</xdr:row>
      <xdr:rowOff>184402</xdr:rowOff>
    </xdr:from>
    <xdr:to>
      <xdr:col>3</xdr:col>
      <xdr:colOff>185737</xdr:colOff>
      <xdr:row>43</xdr:row>
      <xdr:rowOff>27500</xdr:rowOff>
    </xdr:to>
    <xdr:sp macro="" textlink="">
      <xdr:nvSpPr>
        <xdr:cNvPr id="490" name="Shape 202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SpPr/>
      </xdr:nvSpPr>
      <xdr:spPr>
        <a:xfrm>
          <a:off x="2798770" y="910891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216885</xdr:colOff>
      <xdr:row>42</xdr:row>
      <xdr:rowOff>185698</xdr:rowOff>
    </xdr:from>
    <xdr:to>
      <xdr:col>3</xdr:col>
      <xdr:colOff>259463</xdr:colOff>
      <xdr:row>43</xdr:row>
      <xdr:rowOff>28796</xdr:rowOff>
    </xdr:to>
    <xdr:sp macro="" textlink="">
      <xdr:nvSpPr>
        <xdr:cNvPr id="491" name="Shape 203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SpPr/>
      </xdr:nvSpPr>
      <xdr:spPr>
        <a:xfrm>
          <a:off x="2872496" y="911020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416878</xdr:colOff>
      <xdr:row>41</xdr:row>
      <xdr:rowOff>176005</xdr:rowOff>
    </xdr:from>
    <xdr:to>
      <xdr:col>3</xdr:col>
      <xdr:colOff>459456</xdr:colOff>
      <xdr:row>42</xdr:row>
      <xdr:rowOff>19604</xdr:rowOff>
    </xdr:to>
    <xdr:sp macro="" textlink="">
      <xdr:nvSpPr>
        <xdr:cNvPr id="492" name="Shape 201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SpPr/>
      </xdr:nvSpPr>
      <xdr:spPr>
        <a:xfrm>
          <a:off x="3072489" y="889862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492741</xdr:colOff>
      <xdr:row>41</xdr:row>
      <xdr:rowOff>176005</xdr:rowOff>
    </xdr:from>
    <xdr:to>
      <xdr:col>3</xdr:col>
      <xdr:colOff>535319</xdr:colOff>
      <xdr:row>42</xdr:row>
      <xdr:rowOff>19604</xdr:rowOff>
    </xdr:to>
    <xdr:sp macro="" textlink="">
      <xdr:nvSpPr>
        <xdr:cNvPr id="493" name="Shape 202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/>
      </xdr:nvSpPr>
      <xdr:spPr>
        <a:xfrm>
          <a:off x="3148352" y="889862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566467</xdr:colOff>
      <xdr:row>41</xdr:row>
      <xdr:rowOff>177301</xdr:rowOff>
    </xdr:from>
    <xdr:to>
      <xdr:col>3</xdr:col>
      <xdr:colOff>609045</xdr:colOff>
      <xdr:row>42</xdr:row>
      <xdr:rowOff>20900</xdr:rowOff>
    </xdr:to>
    <xdr:sp macro="" textlink="">
      <xdr:nvSpPr>
        <xdr:cNvPr id="494" name="Shape 203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SpPr/>
      </xdr:nvSpPr>
      <xdr:spPr>
        <a:xfrm>
          <a:off x="3222078" y="8899923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416010</xdr:colOff>
      <xdr:row>42</xdr:row>
      <xdr:rowOff>46436</xdr:rowOff>
    </xdr:from>
    <xdr:to>
      <xdr:col>3</xdr:col>
      <xdr:colOff>458588</xdr:colOff>
      <xdr:row>42</xdr:row>
      <xdr:rowOff>93707</xdr:rowOff>
    </xdr:to>
    <xdr:sp macro="" textlink="">
      <xdr:nvSpPr>
        <xdr:cNvPr id="495" name="Shape 201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SpPr/>
      </xdr:nvSpPr>
      <xdr:spPr>
        <a:xfrm>
          <a:off x="3071621" y="897094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491873</xdr:colOff>
      <xdr:row>42</xdr:row>
      <xdr:rowOff>46436</xdr:rowOff>
    </xdr:from>
    <xdr:to>
      <xdr:col>3</xdr:col>
      <xdr:colOff>534451</xdr:colOff>
      <xdr:row>42</xdr:row>
      <xdr:rowOff>93707</xdr:rowOff>
    </xdr:to>
    <xdr:sp macro="" textlink="">
      <xdr:nvSpPr>
        <xdr:cNvPr id="496" name="Shape 202"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SpPr/>
      </xdr:nvSpPr>
      <xdr:spPr>
        <a:xfrm>
          <a:off x="3147484" y="897094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565599</xdr:colOff>
      <xdr:row>42</xdr:row>
      <xdr:rowOff>47732</xdr:rowOff>
    </xdr:from>
    <xdr:to>
      <xdr:col>3</xdr:col>
      <xdr:colOff>608177</xdr:colOff>
      <xdr:row>42</xdr:row>
      <xdr:rowOff>95003</xdr:rowOff>
    </xdr:to>
    <xdr:sp macro="" textlink="">
      <xdr:nvSpPr>
        <xdr:cNvPr id="497" name="Shape 203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SpPr/>
      </xdr:nvSpPr>
      <xdr:spPr>
        <a:xfrm>
          <a:off x="3221210" y="8972243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416878</xdr:colOff>
      <xdr:row>42</xdr:row>
      <xdr:rowOff>113390</xdr:rowOff>
    </xdr:from>
    <xdr:to>
      <xdr:col>3</xdr:col>
      <xdr:colOff>459456</xdr:colOff>
      <xdr:row>42</xdr:row>
      <xdr:rowOff>158457</xdr:rowOff>
    </xdr:to>
    <xdr:sp macro="" textlink="">
      <xdr:nvSpPr>
        <xdr:cNvPr id="498" name="Shape 201"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SpPr/>
      </xdr:nvSpPr>
      <xdr:spPr>
        <a:xfrm>
          <a:off x="3072489" y="903790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492741</xdr:colOff>
      <xdr:row>42</xdr:row>
      <xdr:rowOff>113390</xdr:rowOff>
    </xdr:from>
    <xdr:to>
      <xdr:col>3</xdr:col>
      <xdr:colOff>535319</xdr:colOff>
      <xdr:row>42</xdr:row>
      <xdr:rowOff>158457</xdr:rowOff>
    </xdr:to>
    <xdr:sp macro="" textlink="">
      <xdr:nvSpPr>
        <xdr:cNvPr id="499" name="Shape 202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SpPr/>
      </xdr:nvSpPr>
      <xdr:spPr>
        <a:xfrm>
          <a:off x="3148352" y="903790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566467</xdr:colOff>
      <xdr:row>42</xdr:row>
      <xdr:rowOff>114686</xdr:rowOff>
    </xdr:from>
    <xdr:to>
      <xdr:col>3</xdr:col>
      <xdr:colOff>609045</xdr:colOff>
      <xdr:row>42</xdr:row>
      <xdr:rowOff>159753</xdr:rowOff>
    </xdr:to>
    <xdr:sp macro="" textlink="">
      <xdr:nvSpPr>
        <xdr:cNvPr id="500" name="Shape 203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SpPr/>
      </xdr:nvSpPr>
      <xdr:spPr>
        <a:xfrm>
          <a:off x="3222078" y="9039197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414131</xdr:colOff>
      <xdr:row>42</xdr:row>
      <xdr:rowOff>174048</xdr:rowOff>
    </xdr:from>
    <xdr:to>
      <xdr:col>3</xdr:col>
      <xdr:colOff>456709</xdr:colOff>
      <xdr:row>43</xdr:row>
      <xdr:rowOff>17146</xdr:rowOff>
    </xdr:to>
    <xdr:sp macro="" textlink="">
      <xdr:nvSpPr>
        <xdr:cNvPr id="501" name="Shape 201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SpPr/>
      </xdr:nvSpPr>
      <xdr:spPr>
        <a:xfrm>
          <a:off x="3069742" y="909855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489994</xdr:colOff>
      <xdr:row>42</xdr:row>
      <xdr:rowOff>174048</xdr:rowOff>
    </xdr:from>
    <xdr:to>
      <xdr:col>3</xdr:col>
      <xdr:colOff>532572</xdr:colOff>
      <xdr:row>43</xdr:row>
      <xdr:rowOff>17146</xdr:rowOff>
    </xdr:to>
    <xdr:sp macro="" textlink="">
      <xdr:nvSpPr>
        <xdr:cNvPr id="502" name="Shape 202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SpPr/>
      </xdr:nvSpPr>
      <xdr:spPr>
        <a:xfrm>
          <a:off x="3145605" y="909855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563720</xdr:colOff>
      <xdr:row>42</xdr:row>
      <xdr:rowOff>175344</xdr:rowOff>
    </xdr:from>
    <xdr:to>
      <xdr:col>3</xdr:col>
      <xdr:colOff>606298</xdr:colOff>
      <xdr:row>43</xdr:row>
      <xdr:rowOff>18442</xdr:rowOff>
    </xdr:to>
    <xdr:sp macro="" textlink="">
      <xdr:nvSpPr>
        <xdr:cNvPr id="503" name="Shape 203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SpPr/>
      </xdr:nvSpPr>
      <xdr:spPr>
        <a:xfrm>
          <a:off x="3219331" y="9099855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80397</xdr:colOff>
      <xdr:row>43</xdr:row>
      <xdr:rowOff>98356</xdr:rowOff>
    </xdr:from>
    <xdr:to>
      <xdr:col>3</xdr:col>
      <xdr:colOff>122975</xdr:colOff>
      <xdr:row>43</xdr:row>
      <xdr:rowOff>143844</xdr:rowOff>
    </xdr:to>
    <xdr:sp macro="" textlink="">
      <xdr:nvSpPr>
        <xdr:cNvPr id="504" name="Shape 201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SpPr/>
      </xdr:nvSpPr>
      <xdr:spPr>
        <a:xfrm>
          <a:off x="2736008" y="922475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156260</xdr:colOff>
      <xdr:row>43</xdr:row>
      <xdr:rowOff>98356</xdr:rowOff>
    </xdr:from>
    <xdr:to>
      <xdr:col>3</xdr:col>
      <xdr:colOff>198838</xdr:colOff>
      <xdr:row>43</xdr:row>
      <xdr:rowOff>143844</xdr:rowOff>
    </xdr:to>
    <xdr:sp macro="" textlink="">
      <xdr:nvSpPr>
        <xdr:cNvPr id="505" name="Shape 202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SpPr/>
      </xdr:nvSpPr>
      <xdr:spPr>
        <a:xfrm>
          <a:off x="2811871" y="922475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229986</xdr:colOff>
      <xdr:row>43</xdr:row>
      <xdr:rowOff>99652</xdr:rowOff>
    </xdr:from>
    <xdr:to>
      <xdr:col>3</xdr:col>
      <xdr:colOff>272564</xdr:colOff>
      <xdr:row>43</xdr:row>
      <xdr:rowOff>145140</xdr:rowOff>
    </xdr:to>
    <xdr:sp macro="" textlink="">
      <xdr:nvSpPr>
        <xdr:cNvPr id="506" name="Shape 203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SpPr/>
      </xdr:nvSpPr>
      <xdr:spPr>
        <a:xfrm>
          <a:off x="2885597" y="922605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79529</xdr:colOff>
      <xdr:row>43</xdr:row>
      <xdr:rowOff>170676</xdr:rowOff>
    </xdr:from>
    <xdr:to>
      <xdr:col>3</xdr:col>
      <xdr:colOff>122107</xdr:colOff>
      <xdr:row>44</xdr:row>
      <xdr:rowOff>16058</xdr:rowOff>
    </xdr:to>
    <xdr:sp macro="" textlink="">
      <xdr:nvSpPr>
        <xdr:cNvPr id="507" name="Shape 201"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SpPr/>
      </xdr:nvSpPr>
      <xdr:spPr>
        <a:xfrm>
          <a:off x="2735140" y="9297075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155392</xdr:colOff>
      <xdr:row>43</xdr:row>
      <xdr:rowOff>170676</xdr:rowOff>
    </xdr:from>
    <xdr:to>
      <xdr:col>3</xdr:col>
      <xdr:colOff>197970</xdr:colOff>
      <xdr:row>44</xdr:row>
      <xdr:rowOff>16058</xdr:rowOff>
    </xdr:to>
    <xdr:sp macro="" textlink="">
      <xdr:nvSpPr>
        <xdr:cNvPr id="508" name="Shape 202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2811003" y="9297075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229118</xdr:colOff>
      <xdr:row>43</xdr:row>
      <xdr:rowOff>171972</xdr:rowOff>
    </xdr:from>
    <xdr:to>
      <xdr:col>3</xdr:col>
      <xdr:colOff>271696</xdr:colOff>
      <xdr:row>44</xdr:row>
      <xdr:rowOff>17354</xdr:rowOff>
    </xdr:to>
    <xdr:sp macro="" textlink="">
      <xdr:nvSpPr>
        <xdr:cNvPr id="509" name="Shape 203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/>
      </xdr:nvSpPr>
      <xdr:spPr>
        <a:xfrm>
          <a:off x="2884729" y="929837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80397</xdr:colOff>
      <xdr:row>44</xdr:row>
      <xdr:rowOff>35741</xdr:rowOff>
    </xdr:from>
    <xdr:to>
      <xdr:col>3</xdr:col>
      <xdr:colOff>122975</xdr:colOff>
      <xdr:row>44</xdr:row>
      <xdr:rowOff>80808</xdr:rowOff>
    </xdr:to>
    <xdr:sp macro="" textlink="">
      <xdr:nvSpPr>
        <xdr:cNvPr id="510" name="Shape 201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SpPr/>
      </xdr:nvSpPr>
      <xdr:spPr>
        <a:xfrm>
          <a:off x="2736008" y="9364029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156260</xdr:colOff>
      <xdr:row>44</xdr:row>
      <xdr:rowOff>35741</xdr:rowOff>
    </xdr:from>
    <xdr:to>
      <xdr:col>3</xdr:col>
      <xdr:colOff>198838</xdr:colOff>
      <xdr:row>44</xdr:row>
      <xdr:rowOff>80808</xdr:rowOff>
    </xdr:to>
    <xdr:sp macro="" textlink="">
      <xdr:nvSpPr>
        <xdr:cNvPr id="511" name="Shape 202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/>
      </xdr:nvSpPr>
      <xdr:spPr>
        <a:xfrm>
          <a:off x="2811871" y="9364029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229986</xdr:colOff>
      <xdr:row>44</xdr:row>
      <xdr:rowOff>37037</xdr:rowOff>
    </xdr:from>
    <xdr:to>
      <xdr:col>3</xdr:col>
      <xdr:colOff>272564</xdr:colOff>
      <xdr:row>44</xdr:row>
      <xdr:rowOff>82104</xdr:rowOff>
    </xdr:to>
    <xdr:sp macro="" textlink="">
      <xdr:nvSpPr>
        <xdr:cNvPr id="512" name="Shape 203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/>
      </xdr:nvSpPr>
      <xdr:spPr>
        <a:xfrm>
          <a:off x="2885597" y="9365325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77650</xdr:colOff>
      <xdr:row>44</xdr:row>
      <xdr:rowOff>96399</xdr:rowOff>
    </xdr:from>
    <xdr:to>
      <xdr:col>3</xdr:col>
      <xdr:colOff>120228</xdr:colOff>
      <xdr:row>44</xdr:row>
      <xdr:rowOff>141385</xdr:rowOff>
    </xdr:to>
    <xdr:sp macro="" textlink="">
      <xdr:nvSpPr>
        <xdr:cNvPr id="513" name="Shape 201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/>
      </xdr:nvSpPr>
      <xdr:spPr>
        <a:xfrm>
          <a:off x="2733261" y="942468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153513</xdr:colOff>
      <xdr:row>44</xdr:row>
      <xdr:rowOff>96399</xdr:rowOff>
    </xdr:from>
    <xdr:to>
      <xdr:col>3</xdr:col>
      <xdr:colOff>196091</xdr:colOff>
      <xdr:row>44</xdr:row>
      <xdr:rowOff>141385</xdr:rowOff>
    </xdr:to>
    <xdr:sp macro="" textlink="">
      <xdr:nvSpPr>
        <xdr:cNvPr id="514" name="Shape 202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/>
      </xdr:nvSpPr>
      <xdr:spPr>
        <a:xfrm>
          <a:off x="2809124" y="942468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227239</xdr:colOff>
      <xdr:row>44</xdr:row>
      <xdr:rowOff>97695</xdr:rowOff>
    </xdr:from>
    <xdr:to>
      <xdr:col>3</xdr:col>
      <xdr:colOff>269817</xdr:colOff>
      <xdr:row>44</xdr:row>
      <xdr:rowOff>142681</xdr:rowOff>
    </xdr:to>
    <xdr:sp macro="" textlink="">
      <xdr:nvSpPr>
        <xdr:cNvPr id="515" name="Shape 203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SpPr/>
      </xdr:nvSpPr>
      <xdr:spPr>
        <a:xfrm>
          <a:off x="2882850" y="942598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411701</xdr:colOff>
      <xdr:row>43</xdr:row>
      <xdr:rowOff>103533</xdr:rowOff>
    </xdr:from>
    <xdr:to>
      <xdr:col>3</xdr:col>
      <xdr:colOff>454279</xdr:colOff>
      <xdr:row>43</xdr:row>
      <xdr:rowOff>149021</xdr:rowOff>
    </xdr:to>
    <xdr:sp macro="" textlink="">
      <xdr:nvSpPr>
        <xdr:cNvPr id="516" name="Shape 201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SpPr/>
      </xdr:nvSpPr>
      <xdr:spPr>
        <a:xfrm>
          <a:off x="3067312" y="922993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487564</xdr:colOff>
      <xdr:row>43</xdr:row>
      <xdr:rowOff>103533</xdr:rowOff>
    </xdr:from>
    <xdr:to>
      <xdr:col>3</xdr:col>
      <xdr:colOff>530142</xdr:colOff>
      <xdr:row>43</xdr:row>
      <xdr:rowOff>149021</xdr:rowOff>
    </xdr:to>
    <xdr:sp macro="" textlink="">
      <xdr:nvSpPr>
        <xdr:cNvPr id="517" name="Shape 202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SpPr/>
      </xdr:nvSpPr>
      <xdr:spPr>
        <a:xfrm>
          <a:off x="3143175" y="9229932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561290</xdr:colOff>
      <xdr:row>43</xdr:row>
      <xdr:rowOff>104829</xdr:rowOff>
    </xdr:from>
    <xdr:to>
      <xdr:col>3</xdr:col>
      <xdr:colOff>603868</xdr:colOff>
      <xdr:row>43</xdr:row>
      <xdr:rowOff>150317</xdr:rowOff>
    </xdr:to>
    <xdr:sp macro="" textlink="">
      <xdr:nvSpPr>
        <xdr:cNvPr id="518" name="Shape 203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SpPr/>
      </xdr:nvSpPr>
      <xdr:spPr>
        <a:xfrm>
          <a:off x="3216901" y="923122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410833</xdr:colOff>
      <xdr:row>43</xdr:row>
      <xdr:rowOff>175853</xdr:rowOff>
    </xdr:from>
    <xdr:to>
      <xdr:col>3</xdr:col>
      <xdr:colOff>453411</xdr:colOff>
      <xdr:row>44</xdr:row>
      <xdr:rowOff>21235</xdr:rowOff>
    </xdr:to>
    <xdr:sp macro="" textlink="">
      <xdr:nvSpPr>
        <xdr:cNvPr id="519" name="Shape 201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SpPr/>
      </xdr:nvSpPr>
      <xdr:spPr>
        <a:xfrm>
          <a:off x="3066444" y="9302252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486696</xdr:colOff>
      <xdr:row>43</xdr:row>
      <xdr:rowOff>175853</xdr:rowOff>
    </xdr:from>
    <xdr:to>
      <xdr:col>3</xdr:col>
      <xdr:colOff>529274</xdr:colOff>
      <xdr:row>44</xdr:row>
      <xdr:rowOff>21235</xdr:rowOff>
    </xdr:to>
    <xdr:sp macro="" textlink="">
      <xdr:nvSpPr>
        <xdr:cNvPr id="520" name="Shape 202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SpPr/>
      </xdr:nvSpPr>
      <xdr:spPr>
        <a:xfrm>
          <a:off x="3142307" y="9302252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560422</xdr:colOff>
      <xdr:row>43</xdr:row>
      <xdr:rowOff>177149</xdr:rowOff>
    </xdr:from>
    <xdr:to>
      <xdr:col>3</xdr:col>
      <xdr:colOff>603000</xdr:colOff>
      <xdr:row>44</xdr:row>
      <xdr:rowOff>22531</xdr:rowOff>
    </xdr:to>
    <xdr:sp macro="" textlink="">
      <xdr:nvSpPr>
        <xdr:cNvPr id="521" name="Shape 203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SpPr/>
      </xdr:nvSpPr>
      <xdr:spPr>
        <a:xfrm>
          <a:off x="3216033" y="9303548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411701</xdr:colOff>
      <xdr:row>44</xdr:row>
      <xdr:rowOff>40918</xdr:rowOff>
    </xdr:from>
    <xdr:to>
      <xdr:col>3</xdr:col>
      <xdr:colOff>454279</xdr:colOff>
      <xdr:row>44</xdr:row>
      <xdr:rowOff>85985</xdr:rowOff>
    </xdr:to>
    <xdr:sp macro="" textlink="">
      <xdr:nvSpPr>
        <xdr:cNvPr id="522" name="Shape 201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SpPr/>
      </xdr:nvSpPr>
      <xdr:spPr>
        <a:xfrm>
          <a:off x="3067312" y="936920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487564</xdr:colOff>
      <xdr:row>44</xdr:row>
      <xdr:rowOff>40918</xdr:rowOff>
    </xdr:from>
    <xdr:to>
      <xdr:col>3</xdr:col>
      <xdr:colOff>530142</xdr:colOff>
      <xdr:row>44</xdr:row>
      <xdr:rowOff>85985</xdr:rowOff>
    </xdr:to>
    <xdr:sp macro="" textlink="">
      <xdr:nvSpPr>
        <xdr:cNvPr id="523" name="Shape 202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/>
      </xdr:nvSpPr>
      <xdr:spPr>
        <a:xfrm>
          <a:off x="3143175" y="936920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561290</xdr:colOff>
      <xdr:row>44</xdr:row>
      <xdr:rowOff>42214</xdr:rowOff>
    </xdr:from>
    <xdr:to>
      <xdr:col>3</xdr:col>
      <xdr:colOff>603868</xdr:colOff>
      <xdr:row>44</xdr:row>
      <xdr:rowOff>87281</xdr:rowOff>
    </xdr:to>
    <xdr:sp macro="" textlink="">
      <xdr:nvSpPr>
        <xdr:cNvPr id="524" name="Shape 203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/>
      </xdr:nvSpPr>
      <xdr:spPr>
        <a:xfrm>
          <a:off x="3216901" y="9370502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408954</xdr:colOff>
      <xdr:row>44</xdr:row>
      <xdr:rowOff>101576</xdr:rowOff>
    </xdr:from>
    <xdr:to>
      <xdr:col>3</xdr:col>
      <xdr:colOff>451532</xdr:colOff>
      <xdr:row>44</xdr:row>
      <xdr:rowOff>146562</xdr:rowOff>
    </xdr:to>
    <xdr:sp macro="" textlink="">
      <xdr:nvSpPr>
        <xdr:cNvPr id="525" name="Shape 201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SpPr/>
      </xdr:nvSpPr>
      <xdr:spPr>
        <a:xfrm>
          <a:off x="3064565" y="942986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484817</xdr:colOff>
      <xdr:row>44</xdr:row>
      <xdr:rowOff>101576</xdr:rowOff>
    </xdr:from>
    <xdr:to>
      <xdr:col>3</xdr:col>
      <xdr:colOff>527395</xdr:colOff>
      <xdr:row>44</xdr:row>
      <xdr:rowOff>146562</xdr:rowOff>
    </xdr:to>
    <xdr:sp macro="" textlink="">
      <xdr:nvSpPr>
        <xdr:cNvPr id="526" name="Shape 202"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SpPr/>
      </xdr:nvSpPr>
      <xdr:spPr>
        <a:xfrm>
          <a:off x="3140428" y="942986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558543</xdr:colOff>
      <xdr:row>44</xdr:row>
      <xdr:rowOff>102872</xdr:rowOff>
    </xdr:from>
    <xdr:to>
      <xdr:col>3</xdr:col>
      <xdr:colOff>601121</xdr:colOff>
      <xdr:row>44</xdr:row>
      <xdr:rowOff>147858</xdr:rowOff>
    </xdr:to>
    <xdr:sp macro="" textlink="">
      <xdr:nvSpPr>
        <xdr:cNvPr id="527" name="Shape 203">
          <a:extLst>
            <a:ext uri="{FF2B5EF4-FFF2-40B4-BE49-F238E27FC236}">
              <a16:creationId xmlns:a16="http://schemas.microsoft.com/office/drawing/2014/main" id="{00000000-0008-0000-0400-00000F020000}"/>
            </a:ext>
          </a:extLst>
        </xdr:cNvPr>
        <xdr:cNvSpPr/>
      </xdr:nvSpPr>
      <xdr:spPr>
        <a:xfrm>
          <a:off x="3214154" y="943116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24</xdr:row>
      <xdr:rowOff>133350</xdr:rowOff>
    </xdr:from>
    <xdr:ext cx="323850" cy="36195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 txBox="1"/>
      </xdr:nvSpPr>
      <xdr:spPr>
        <a:xfrm>
          <a:off x="5188838" y="3603788"/>
          <a:ext cx="3143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4</xdr:col>
      <xdr:colOff>104775</xdr:colOff>
      <xdr:row>30</xdr:row>
      <xdr:rowOff>0</xdr:rowOff>
    </xdr:from>
    <xdr:ext cx="323850" cy="34290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 txBox="1"/>
      </xdr:nvSpPr>
      <xdr:spPr>
        <a:xfrm>
          <a:off x="5188838" y="3613313"/>
          <a:ext cx="31432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438150</xdr:colOff>
      <xdr:row>27</xdr:row>
      <xdr:rowOff>95250</xdr:rowOff>
    </xdr:from>
    <xdr:ext cx="285750" cy="361950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328369</xdr:colOff>
      <xdr:row>27</xdr:row>
      <xdr:rowOff>7327</xdr:rowOff>
    </xdr:from>
    <xdr:ext cx="838200" cy="1141057"/>
    <xdr:sp macro="" textlink="">
      <xdr:nvSpPr>
        <xdr:cNvPr id="21" name="Shape 28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 rot="16200000">
          <a:off x="3525729" y="5482730"/>
          <a:ext cx="1141057" cy="83820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4</xdr:col>
      <xdr:colOff>330563</xdr:colOff>
      <xdr:row>32</xdr:row>
      <xdr:rowOff>118888</xdr:rowOff>
    </xdr:from>
    <xdr:ext cx="838200" cy="1155700"/>
    <xdr:sp macro="" textlink="">
      <xdr:nvSpPr>
        <xdr:cNvPr id="22" name="Shape 28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 rot="16200000">
          <a:off x="3520602" y="6604243"/>
          <a:ext cx="1155700" cy="83820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24660</xdr:colOff>
      <xdr:row>26</xdr:row>
      <xdr:rowOff>23783</xdr:rowOff>
    </xdr:from>
    <xdr:ext cx="323850" cy="342900"/>
    <xdr:sp macro="" textlink="">
      <xdr:nvSpPr>
        <xdr:cNvPr id="23" name="Shape 28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3373449" y="5147230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G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31</xdr:row>
      <xdr:rowOff>159807</xdr:rowOff>
    </xdr:from>
    <xdr:ext cx="323850" cy="361950"/>
    <xdr:sp macro="" textlink="">
      <xdr:nvSpPr>
        <xdr:cNvPr id="24" name="Shape 28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3348789" y="6285886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Q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5</xdr:col>
      <xdr:colOff>432101</xdr:colOff>
      <xdr:row>31</xdr:row>
      <xdr:rowOff>177151</xdr:rowOff>
    </xdr:from>
    <xdr:ext cx="323850" cy="342900"/>
    <xdr:sp macro="" textlink="">
      <xdr:nvSpPr>
        <xdr:cNvPr id="25" name="Shape 28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4492759" y="6303230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</a:t>
          </a:r>
          <a:endParaRPr sz="1400"/>
        </a:p>
      </xdr:txBody>
    </xdr:sp>
    <xdr:clientData fLocksWithSheet="0"/>
  </xdr:oneCellAnchor>
  <xdr:oneCellAnchor>
    <xdr:from>
      <xdr:col>5</xdr:col>
      <xdr:colOff>409817</xdr:colOff>
      <xdr:row>26</xdr:row>
      <xdr:rowOff>0</xdr:rowOff>
    </xdr:from>
    <xdr:ext cx="323850" cy="342900"/>
    <xdr:sp macro="" textlink="">
      <xdr:nvSpPr>
        <xdr:cNvPr id="26" name="Shape 287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4470475" y="5123447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H</a:t>
          </a:r>
          <a:endParaRPr sz="1400"/>
        </a:p>
      </xdr:txBody>
    </xdr:sp>
    <xdr:clientData fLocksWithSheet="0"/>
  </xdr:oneCellAnchor>
  <xdr:oneCellAnchor>
    <xdr:from>
      <xdr:col>4</xdr:col>
      <xdr:colOff>652009</xdr:colOff>
      <xdr:row>28</xdr:row>
      <xdr:rowOff>110755</xdr:rowOff>
    </xdr:from>
    <xdr:ext cx="285750" cy="361950"/>
    <xdr:sp macro="" textlink="">
      <xdr:nvSpPr>
        <xdr:cNvPr id="27" name="Shape 288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4000798" y="5635255"/>
          <a:ext cx="2857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400"/>
        </a:p>
      </xdr:txBody>
    </xdr:sp>
    <xdr:clientData fLocksWithSheet="0"/>
  </xdr:oneCellAnchor>
  <xdr:oneCellAnchor>
    <xdr:from>
      <xdr:col>4</xdr:col>
      <xdr:colOff>620200</xdr:colOff>
      <xdr:row>34</xdr:row>
      <xdr:rowOff>107184</xdr:rowOff>
    </xdr:from>
    <xdr:ext cx="323850" cy="361950"/>
    <xdr:sp macro="" textlink="">
      <xdr:nvSpPr>
        <xdr:cNvPr id="28" name="Shape 28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3968989" y="6834842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II</a:t>
          </a:r>
          <a:endParaRPr sz="1400"/>
        </a:p>
      </xdr:txBody>
    </xdr:sp>
    <xdr:clientData fLocksWithSheet="0"/>
  </xdr:oneCellAnchor>
  <xdr:oneCellAnchor>
    <xdr:from>
      <xdr:col>4</xdr:col>
      <xdr:colOff>291608</xdr:colOff>
      <xdr:row>26</xdr:row>
      <xdr:rowOff>61646</xdr:rowOff>
    </xdr:from>
    <xdr:ext cx="228600" cy="190500"/>
    <xdr:sp macro="" textlink="">
      <xdr:nvSpPr>
        <xdr:cNvPr id="29" name="Shape 290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3640397" y="5185093"/>
          <a:ext cx="228600" cy="190500"/>
        </a:xfrm>
        <a:prstGeom prst="ellipse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579507</xdr:colOff>
      <xdr:row>30</xdr:row>
      <xdr:rowOff>150552</xdr:rowOff>
    </xdr:from>
    <xdr:ext cx="424816" cy="491076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4012518" y="5965815"/>
          <a:ext cx="424816" cy="491076"/>
          <a:chOff x="4940234" y="3570450"/>
          <a:chExt cx="424816" cy="491076"/>
        </a:xfrm>
      </xdr:grpSpPr>
      <xdr:grpSp>
        <xdr:nvGrpSpPr>
          <xdr:cNvPr id="31" name="Shape 291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32" name="Shape 7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3" name="Shape 29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616908</xdr:colOff>
      <xdr:row>27</xdr:row>
      <xdr:rowOff>91852</xdr:rowOff>
    </xdr:from>
    <xdr:ext cx="4009136" cy="944927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/>
      </xdr:nvGrpSpPr>
      <xdr:grpSpPr>
        <a:xfrm>
          <a:off x="4049919" y="5305536"/>
          <a:ext cx="4009136" cy="944927"/>
          <a:chOff x="1355914" y="-26300"/>
          <a:chExt cx="4009136" cy="3972988"/>
        </a:xfrm>
      </xdr:grpSpPr>
      <xdr:grpSp>
        <xdr:nvGrpSpPr>
          <xdr:cNvPr id="35" name="Shape 293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GrpSpPr/>
        </xdr:nvGrpSpPr>
        <xdr:grpSpPr>
          <a:xfrm>
            <a:off x="1355914" y="-26300"/>
            <a:ext cx="4009136" cy="3972988"/>
            <a:chOff x="4348479" y="-26300"/>
            <a:chExt cx="1002284" cy="3972988"/>
          </a:xfrm>
        </xdr:grpSpPr>
        <xdr:sp macro="" textlink="">
          <xdr:nvSpPr>
            <xdr:cNvPr id="36" name="Shape 7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SpPr/>
          </xdr:nvSpPr>
          <xdr:spPr>
            <a:xfrm>
              <a:off x="5341238" y="3613313"/>
              <a:ext cx="952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7" name="Shape 294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CxnSpPr>
              <a:endCxn id="27" idx="2"/>
            </xdr:cNvCxnSpPr>
          </xdr:nvCxnSpPr>
          <xdr:spPr>
            <a:xfrm>
              <a:off x="4348479" y="-26300"/>
              <a:ext cx="73819" cy="19051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388901</xdr:colOff>
      <xdr:row>28</xdr:row>
      <xdr:rowOff>123335</xdr:rowOff>
    </xdr:from>
    <xdr:ext cx="181297" cy="31683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/>
      </xdr:nvGrpSpPr>
      <xdr:grpSpPr>
        <a:xfrm rot="5400000">
          <a:off x="4484058" y="5605315"/>
          <a:ext cx="316835" cy="181297"/>
          <a:chOff x="4940234" y="3570450"/>
          <a:chExt cx="424816" cy="491076"/>
        </a:xfrm>
      </xdr:grpSpPr>
      <xdr:grpSp>
        <xdr:nvGrpSpPr>
          <xdr:cNvPr id="39" name="Shape 291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40" name="Shape 7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1" name="Shape 292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564734</xdr:colOff>
      <xdr:row>29</xdr:row>
      <xdr:rowOff>68426</xdr:rowOff>
    </xdr:from>
    <xdr:ext cx="424816" cy="491076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pSpPr/>
      </xdr:nvGrpSpPr>
      <xdr:grpSpPr>
        <a:xfrm>
          <a:off x="3997745" y="5683163"/>
          <a:ext cx="424816" cy="491076"/>
          <a:chOff x="4940234" y="3570450"/>
          <a:chExt cx="424816" cy="491076"/>
        </a:xfrm>
      </xdr:grpSpPr>
      <xdr:grpSp>
        <xdr:nvGrpSpPr>
          <xdr:cNvPr id="43" name="Shape 291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44" name="Shape 7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" name="Shape 292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391199</xdr:colOff>
      <xdr:row>28</xdr:row>
      <xdr:rowOff>88732</xdr:rowOff>
    </xdr:from>
    <xdr:ext cx="491076" cy="424816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GrpSpPr/>
      </xdr:nvGrpSpPr>
      <xdr:grpSpPr>
        <a:xfrm rot="5400000">
          <a:off x="3857340" y="5469813"/>
          <a:ext cx="424816" cy="491076"/>
          <a:chOff x="4940234" y="3570450"/>
          <a:chExt cx="424816" cy="491076"/>
        </a:xfrm>
      </xdr:grpSpPr>
      <xdr:grpSp>
        <xdr:nvGrpSpPr>
          <xdr:cNvPr id="47" name="Shape 291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48" name="Shape 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9" name="Shape 292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436354</xdr:colOff>
      <xdr:row>34</xdr:row>
      <xdr:rowOff>17503</xdr:rowOff>
    </xdr:from>
    <xdr:ext cx="491076" cy="424816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 rot="5400000">
          <a:off x="3902495" y="6601741"/>
          <a:ext cx="424816" cy="491076"/>
          <a:chOff x="4940234" y="3570450"/>
          <a:chExt cx="424816" cy="491076"/>
        </a:xfrm>
      </xdr:grpSpPr>
      <xdr:grpSp>
        <xdr:nvGrpSpPr>
          <xdr:cNvPr id="51" name="Shape 291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52" name="Shape 7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3" name="Shape 292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378317</xdr:colOff>
      <xdr:row>33</xdr:row>
      <xdr:rowOff>189102</xdr:rowOff>
    </xdr:from>
    <xdr:ext cx="491076" cy="424816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pSpPr/>
      </xdr:nvGrpSpPr>
      <xdr:grpSpPr>
        <a:xfrm rot="5400000">
          <a:off x="4574373" y="6572814"/>
          <a:ext cx="424816" cy="491076"/>
          <a:chOff x="4940234" y="3570450"/>
          <a:chExt cx="424816" cy="491076"/>
        </a:xfrm>
      </xdr:grpSpPr>
      <xdr:grpSp>
        <xdr:nvGrpSpPr>
          <xdr:cNvPr id="55" name="Shape 291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56" name="Shape 7">
              <a:extLst>
                <a:ext uri="{FF2B5EF4-FFF2-40B4-BE49-F238E27FC236}">
                  <a16:creationId xmlns:a16="http://schemas.microsoft.com/office/drawing/2014/main" id="{00000000-0008-0000-0500-000038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7" name="Shape 292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552034</xdr:colOff>
      <xdr:row>36</xdr:row>
      <xdr:rowOff>172566</xdr:rowOff>
    </xdr:from>
    <xdr:ext cx="424816" cy="177103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pSpPr/>
      </xdr:nvGrpSpPr>
      <xdr:grpSpPr>
        <a:xfrm>
          <a:off x="3985045" y="7190987"/>
          <a:ext cx="424816" cy="177103"/>
          <a:chOff x="4940234" y="3570450"/>
          <a:chExt cx="424816" cy="491076"/>
        </a:xfrm>
      </xdr:grpSpPr>
      <xdr:grpSp>
        <xdr:nvGrpSpPr>
          <xdr:cNvPr id="59" name="Shape 291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GrpSpPr/>
        </xdr:nvGrpSpPr>
        <xdr:grpSpPr>
          <a:xfrm>
            <a:off x="4940234" y="3570450"/>
            <a:ext cx="424816" cy="491076"/>
            <a:chOff x="5244559" y="3570450"/>
            <a:chExt cx="106204" cy="491076"/>
          </a:xfrm>
        </xdr:grpSpPr>
        <xdr:sp macro="" textlink="">
          <xdr:nvSpPr>
            <xdr:cNvPr id="60" name="Shape 7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SpPr/>
          </xdr:nvSpPr>
          <xdr:spPr>
            <a:xfrm>
              <a:off x="5341238" y="3570450"/>
              <a:ext cx="95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1" name="Shape 292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CxnSpPr/>
          </xdr:nvCxnSpPr>
          <xdr:spPr>
            <a:xfrm flipV="1">
              <a:off x="5244559" y="4055811"/>
              <a:ext cx="96679" cy="571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26395</xdr:colOff>
      <xdr:row>37</xdr:row>
      <xdr:rowOff>48241</xdr:rowOff>
    </xdr:from>
    <xdr:ext cx="323850" cy="361950"/>
    <xdr:sp macro="" textlink="">
      <xdr:nvSpPr>
        <xdr:cNvPr id="62" name="Shape 283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3375184" y="7377478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5</xdr:col>
      <xdr:colOff>458014</xdr:colOff>
      <xdr:row>37</xdr:row>
      <xdr:rowOff>60941</xdr:rowOff>
    </xdr:from>
    <xdr:ext cx="323850" cy="361950"/>
    <xdr:sp macro="" textlink="">
      <xdr:nvSpPr>
        <xdr:cNvPr id="63" name="Shape 283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4518672" y="7390178"/>
          <a:ext cx="3238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cs typeface="Calibri"/>
              <a:sym typeface="Calibri"/>
            </a:rPr>
            <a:t>B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</xdr:colOff>
      <xdr:row>10</xdr:row>
      <xdr:rowOff>16418</xdr:rowOff>
    </xdr:from>
    <xdr:to>
      <xdr:col>9</xdr:col>
      <xdr:colOff>450056</xdr:colOff>
      <xdr:row>13</xdr:row>
      <xdr:rowOff>154531</xdr:rowOff>
    </xdr:to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449877" y="1814738"/>
          <a:ext cx="1315879" cy="64865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>
    <xdr:from>
      <xdr:col>8</xdr:col>
      <xdr:colOff>71437</xdr:colOff>
      <xdr:row>10</xdr:row>
      <xdr:rowOff>16418</xdr:rowOff>
    </xdr:from>
    <xdr:to>
      <xdr:col>9</xdr:col>
      <xdr:colOff>450056</xdr:colOff>
      <xdr:row>13</xdr:row>
      <xdr:rowOff>154531</xdr:rowOff>
    </xdr:to>
    <xdr:sp macro="" textlink="">
      <xdr:nvSpPr>
        <xdr:cNvPr id="5" name="Shape 19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0449877" y="1814738"/>
          <a:ext cx="1315879" cy="64865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/>
  </xdr:twoCellAnchor>
  <xdr:twoCellAnchor>
    <xdr:from>
      <xdr:col>6</xdr:col>
      <xdr:colOff>592894</xdr:colOff>
      <xdr:row>4</xdr:row>
      <xdr:rowOff>928</xdr:rowOff>
    </xdr:from>
    <xdr:to>
      <xdr:col>7</xdr:col>
      <xdr:colOff>103337</xdr:colOff>
      <xdr:row>5</xdr:row>
      <xdr:rowOff>142402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 txBox="1"/>
      </xdr:nvSpPr>
      <xdr:spPr>
        <a:xfrm>
          <a:off x="7568556" y="834366"/>
          <a:ext cx="273844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5</a:t>
          </a:r>
        </a:p>
      </xdr:txBody>
    </xdr:sp>
    <xdr:clientData/>
  </xdr:twoCellAnchor>
  <xdr:twoCellAnchor>
    <xdr:from>
      <xdr:col>6</xdr:col>
      <xdr:colOff>575424</xdr:colOff>
      <xdr:row>11</xdr:row>
      <xdr:rowOff>76255</xdr:rowOff>
    </xdr:from>
    <xdr:to>
      <xdr:col>7</xdr:col>
      <xdr:colOff>192927</xdr:colOff>
      <xdr:row>13</xdr:row>
      <xdr:rowOff>28630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 txBox="1"/>
      </xdr:nvSpPr>
      <xdr:spPr>
        <a:xfrm>
          <a:off x="7551086" y="2247395"/>
          <a:ext cx="380904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</a:t>
          </a:r>
        </a:p>
      </xdr:txBody>
    </xdr:sp>
    <xdr:clientData/>
  </xdr:twoCellAnchor>
  <xdr:twoCellAnchor>
    <xdr:from>
      <xdr:col>8</xdr:col>
      <xdr:colOff>959</xdr:colOff>
      <xdr:row>12</xdr:row>
      <xdr:rowOff>72666</xdr:rowOff>
    </xdr:from>
    <xdr:to>
      <xdr:col>8</xdr:col>
      <xdr:colOff>437030</xdr:colOff>
      <xdr:row>14</xdr:row>
      <xdr:rowOff>56729</xdr:rowOff>
    </xdr:to>
    <xdr:cxnSp macro="">
      <xdr:nvCxnSpPr>
        <xdr:cNvPr id="177" name="106 Conector recto de flecha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CxnSpPr/>
      </xdr:nvCxnSpPr>
      <xdr:spPr>
        <a:xfrm>
          <a:off x="8503422" y="2432905"/>
          <a:ext cx="436071" cy="362262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381042</xdr:colOff>
      <xdr:row>14</xdr:row>
      <xdr:rowOff>100143</xdr:rowOff>
    </xdr:from>
    <xdr:to>
      <xdr:col>9</xdr:col>
      <xdr:colOff>58290</xdr:colOff>
      <xdr:row>16</xdr:row>
      <xdr:rowOff>52518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 txBox="1"/>
      </xdr:nvSpPr>
      <xdr:spPr>
        <a:xfrm>
          <a:off x="8883505" y="2838581"/>
          <a:ext cx="440649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PTAR</a:t>
          </a:r>
        </a:p>
      </xdr:txBody>
    </xdr:sp>
    <xdr:clientData/>
  </xdr:twoCellAnchor>
  <xdr:twoCellAnchor>
    <xdr:from>
      <xdr:col>8</xdr:col>
      <xdr:colOff>404532</xdr:colOff>
      <xdr:row>15</xdr:row>
      <xdr:rowOff>103374</xdr:rowOff>
    </xdr:from>
    <xdr:to>
      <xdr:col>9</xdr:col>
      <xdr:colOff>62730</xdr:colOff>
      <xdr:row>17</xdr:row>
      <xdr:rowOff>57151</xdr:rowOff>
    </xdr:to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 txBox="1"/>
      </xdr:nvSpPr>
      <xdr:spPr>
        <a:xfrm>
          <a:off x="8906995" y="3030911"/>
          <a:ext cx="421599" cy="33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73</a:t>
          </a:r>
        </a:p>
      </xdr:txBody>
    </xdr:sp>
    <xdr:clientData/>
  </xdr:twoCellAnchor>
  <xdr:twoCellAnchor>
    <xdr:from>
      <xdr:col>12</xdr:col>
      <xdr:colOff>445108</xdr:colOff>
      <xdr:row>0</xdr:row>
      <xdr:rowOff>1456</xdr:rowOff>
    </xdr:from>
    <xdr:to>
      <xdr:col>12</xdr:col>
      <xdr:colOff>490827</xdr:colOff>
      <xdr:row>0</xdr:row>
      <xdr:rowOff>47175</xdr:rowOff>
    </xdr:to>
    <xdr:sp macro="" textlink="">
      <xdr:nvSpPr>
        <xdr:cNvPr id="427" name="Shape 203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/>
      </xdr:nvSpPr>
      <xdr:spPr>
        <a:xfrm>
          <a:off x="3904588" y="6234616"/>
          <a:ext cx="45719" cy="45719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21405</xdr:colOff>
      <xdr:row>1</xdr:row>
      <xdr:rowOff>10703</xdr:rowOff>
    </xdr:from>
    <xdr:to>
      <xdr:col>7</xdr:col>
      <xdr:colOff>719223</xdr:colOff>
      <xdr:row>6</xdr:row>
      <xdr:rowOff>97727</xdr:rowOff>
    </xdr:to>
    <xdr:sp macro="" textlink="">
      <xdr:nvSpPr>
        <xdr:cNvPr id="235" name="Rectángulo 234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/>
      </xdr:nvSpPr>
      <xdr:spPr>
        <a:xfrm rot="5400000">
          <a:off x="7572223" y="454463"/>
          <a:ext cx="1050226" cy="69781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7</xdr:col>
      <xdr:colOff>69408</xdr:colOff>
      <xdr:row>1</xdr:row>
      <xdr:rowOff>100206</xdr:rowOff>
    </xdr:from>
    <xdr:to>
      <xdr:col>7</xdr:col>
      <xdr:colOff>324872</xdr:colOff>
      <xdr:row>2</xdr:row>
      <xdr:rowOff>181617</xdr:rowOff>
    </xdr:to>
    <xdr:sp macro="" textlink="">
      <xdr:nvSpPr>
        <xdr:cNvPr id="236" name="Shape 200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/>
      </xdr:nvSpPr>
      <xdr:spPr>
        <a:xfrm>
          <a:off x="7796430" y="367762"/>
          <a:ext cx="255464" cy="27405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414940</xdr:colOff>
      <xdr:row>1</xdr:row>
      <xdr:rowOff>104174</xdr:rowOff>
    </xdr:from>
    <xdr:to>
      <xdr:col>7</xdr:col>
      <xdr:colOff>670404</xdr:colOff>
      <xdr:row>2</xdr:row>
      <xdr:rowOff>185585</xdr:rowOff>
    </xdr:to>
    <xdr:sp macro="" textlink="">
      <xdr:nvSpPr>
        <xdr:cNvPr id="237" name="Shape 200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/>
      </xdr:nvSpPr>
      <xdr:spPr>
        <a:xfrm>
          <a:off x="8141962" y="371730"/>
          <a:ext cx="255464" cy="27405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70279</xdr:colOff>
      <xdr:row>3</xdr:row>
      <xdr:rowOff>35263</xdr:rowOff>
    </xdr:from>
    <xdr:to>
      <xdr:col>7</xdr:col>
      <xdr:colOff>325743</xdr:colOff>
      <xdr:row>4</xdr:row>
      <xdr:rowOff>114396</xdr:rowOff>
    </xdr:to>
    <xdr:sp macro="" textlink="">
      <xdr:nvSpPr>
        <xdr:cNvPr id="238" name="Shape 200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/>
      </xdr:nvSpPr>
      <xdr:spPr>
        <a:xfrm>
          <a:off x="7797301" y="688100"/>
          <a:ext cx="255464" cy="27177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413479</xdr:colOff>
      <xdr:row>3</xdr:row>
      <xdr:rowOff>37084</xdr:rowOff>
    </xdr:from>
    <xdr:to>
      <xdr:col>7</xdr:col>
      <xdr:colOff>668943</xdr:colOff>
      <xdr:row>4</xdr:row>
      <xdr:rowOff>116218</xdr:rowOff>
    </xdr:to>
    <xdr:sp macro="" textlink="">
      <xdr:nvSpPr>
        <xdr:cNvPr id="239" name="Shape 200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/>
      </xdr:nvSpPr>
      <xdr:spPr>
        <a:xfrm>
          <a:off x="8140501" y="689921"/>
          <a:ext cx="255464" cy="2717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73301</xdr:colOff>
      <xdr:row>4</xdr:row>
      <xdr:rowOff>160055</xdr:rowOff>
    </xdr:from>
    <xdr:to>
      <xdr:col>7</xdr:col>
      <xdr:colOff>328765</xdr:colOff>
      <xdr:row>6</xdr:row>
      <xdr:rowOff>48828</xdr:rowOff>
    </xdr:to>
    <xdr:sp macro="" textlink="">
      <xdr:nvSpPr>
        <xdr:cNvPr id="240" name="Shape 200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/>
      </xdr:nvSpPr>
      <xdr:spPr>
        <a:xfrm>
          <a:off x="7800323" y="1005533"/>
          <a:ext cx="255464" cy="274053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417481</xdr:colOff>
      <xdr:row>4</xdr:row>
      <xdr:rowOff>156052</xdr:rowOff>
    </xdr:from>
    <xdr:to>
      <xdr:col>7</xdr:col>
      <xdr:colOff>672945</xdr:colOff>
      <xdr:row>6</xdr:row>
      <xdr:rowOff>44825</xdr:rowOff>
    </xdr:to>
    <xdr:sp macro="" textlink="">
      <xdr:nvSpPr>
        <xdr:cNvPr id="241" name="Shape 20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/>
      </xdr:nvSpPr>
      <xdr:spPr>
        <a:xfrm>
          <a:off x="8144503" y="1001530"/>
          <a:ext cx="255464" cy="274053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25794</xdr:colOff>
      <xdr:row>6</xdr:row>
      <xdr:rowOff>94390</xdr:rowOff>
    </xdr:from>
    <xdr:to>
      <xdr:col>7</xdr:col>
      <xdr:colOff>720655</xdr:colOff>
      <xdr:row>11</xdr:row>
      <xdr:rowOff>172989</xdr:rowOff>
    </xdr:to>
    <xdr:sp macro="" textlink="">
      <xdr:nvSpPr>
        <xdr:cNvPr id="242" name="Rectángulo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/>
      </xdr:nvSpPr>
      <xdr:spPr>
        <a:xfrm rot="5400000">
          <a:off x="7573995" y="1503969"/>
          <a:ext cx="1052504" cy="69486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7</xdr:col>
      <xdr:colOff>52990</xdr:colOff>
      <xdr:row>6</xdr:row>
      <xdr:rowOff>136061</xdr:rowOff>
    </xdr:from>
    <xdr:to>
      <xdr:col>7</xdr:col>
      <xdr:colOff>308454</xdr:colOff>
      <xdr:row>8</xdr:row>
      <xdr:rowOff>24832</xdr:rowOff>
    </xdr:to>
    <xdr:sp macro="" textlink="">
      <xdr:nvSpPr>
        <xdr:cNvPr id="243" name="Shape 200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/>
      </xdr:nvSpPr>
      <xdr:spPr>
        <a:xfrm>
          <a:off x="7780012" y="1366819"/>
          <a:ext cx="255464" cy="27405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398522</xdr:colOff>
      <xdr:row>6</xdr:row>
      <xdr:rowOff>140029</xdr:rowOff>
    </xdr:from>
    <xdr:to>
      <xdr:col>7</xdr:col>
      <xdr:colOff>653986</xdr:colOff>
      <xdr:row>8</xdr:row>
      <xdr:rowOff>28800</xdr:rowOff>
    </xdr:to>
    <xdr:sp macro="" textlink="">
      <xdr:nvSpPr>
        <xdr:cNvPr id="244" name="Shape 200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/>
      </xdr:nvSpPr>
      <xdr:spPr>
        <a:xfrm>
          <a:off x="8125544" y="1370787"/>
          <a:ext cx="255464" cy="27405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53861</xdr:colOff>
      <xdr:row>8</xdr:row>
      <xdr:rowOff>71118</xdr:rowOff>
    </xdr:from>
    <xdr:to>
      <xdr:col>7</xdr:col>
      <xdr:colOff>309325</xdr:colOff>
      <xdr:row>9</xdr:row>
      <xdr:rowOff>150249</xdr:rowOff>
    </xdr:to>
    <xdr:sp macro="" textlink="">
      <xdr:nvSpPr>
        <xdr:cNvPr id="245" name="Shape 200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/>
      </xdr:nvSpPr>
      <xdr:spPr>
        <a:xfrm>
          <a:off x="7780883" y="1687157"/>
          <a:ext cx="255464" cy="271772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397061</xdr:colOff>
      <xdr:row>8</xdr:row>
      <xdr:rowOff>72939</xdr:rowOff>
    </xdr:from>
    <xdr:to>
      <xdr:col>7</xdr:col>
      <xdr:colOff>652525</xdr:colOff>
      <xdr:row>9</xdr:row>
      <xdr:rowOff>152071</xdr:rowOff>
    </xdr:to>
    <xdr:sp macro="" textlink="">
      <xdr:nvSpPr>
        <xdr:cNvPr id="246" name="Shape 200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/>
      </xdr:nvSpPr>
      <xdr:spPr>
        <a:xfrm>
          <a:off x="8124083" y="1688978"/>
          <a:ext cx="255464" cy="271773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56883</xdr:colOff>
      <xdr:row>10</xdr:row>
      <xdr:rowOff>3268</xdr:rowOff>
    </xdr:from>
    <xdr:to>
      <xdr:col>7</xdr:col>
      <xdr:colOff>312347</xdr:colOff>
      <xdr:row>11</xdr:row>
      <xdr:rowOff>73979</xdr:rowOff>
    </xdr:to>
    <xdr:sp macro="" textlink="">
      <xdr:nvSpPr>
        <xdr:cNvPr id="247" name="Shape 200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/>
      </xdr:nvSpPr>
      <xdr:spPr>
        <a:xfrm>
          <a:off x="7783905" y="2004588"/>
          <a:ext cx="255464" cy="27405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401063</xdr:colOff>
      <xdr:row>9</xdr:row>
      <xdr:rowOff>191905</xdr:rowOff>
    </xdr:from>
    <xdr:to>
      <xdr:col>7</xdr:col>
      <xdr:colOff>656527</xdr:colOff>
      <xdr:row>11</xdr:row>
      <xdr:rowOff>69976</xdr:rowOff>
    </xdr:to>
    <xdr:sp macro="" textlink="">
      <xdr:nvSpPr>
        <xdr:cNvPr id="248" name="Shape 200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/>
      </xdr:nvSpPr>
      <xdr:spPr>
        <a:xfrm>
          <a:off x="8128085" y="2000585"/>
          <a:ext cx="255464" cy="27405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109770</xdr:colOff>
      <xdr:row>1</xdr:row>
      <xdr:rowOff>107023</xdr:rowOff>
    </xdr:from>
    <xdr:to>
      <xdr:col>7</xdr:col>
      <xdr:colOff>152348</xdr:colOff>
      <xdr:row>1</xdr:row>
      <xdr:rowOff>152511</xdr:rowOff>
    </xdr:to>
    <xdr:sp macro="" textlink="">
      <xdr:nvSpPr>
        <xdr:cNvPr id="251" name="Shape 201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/>
      </xdr:nvSpPr>
      <xdr:spPr>
        <a:xfrm>
          <a:off x="7836792" y="37457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185633</xdr:colOff>
      <xdr:row>1</xdr:row>
      <xdr:rowOff>107023</xdr:rowOff>
    </xdr:from>
    <xdr:to>
      <xdr:col>7</xdr:col>
      <xdr:colOff>228211</xdr:colOff>
      <xdr:row>1</xdr:row>
      <xdr:rowOff>152511</xdr:rowOff>
    </xdr:to>
    <xdr:sp macro="" textlink="">
      <xdr:nvSpPr>
        <xdr:cNvPr id="252" name="Shape 202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/>
      </xdr:nvSpPr>
      <xdr:spPr>
        <a:xfrm>
          <a:off x="7912655" y="37457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259359</xdr:colOff>
      <xdr:row>1</xdr:row>
      <xdr:rowOff>108319</xdr:rowOff>
    </xdr:from>
    <xdr:to>
      <xdr:col>7</xdr:col>
      <xdr:colOff>301937</xdr:colOff>
      <xdr:row>1</xdr:row>
      <xdr:rowOff>153807</xdr:rowOff>
    </xdr:to>
    <xdr:sp macro="" textlink="">
      <xdr:nvSpPr>
        <xdr:cNvPr id="253" name="Shape 203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/>
      </xdr:nvSpPr>
      <xdr:spPr>
        <a:xfrm>
          <a:off x="7986381" y="37587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108902</xdr:colOff>
      <xdr:row>1</xdr:row>
      <xdr:rowOff>179343</xdr:rowOff>
    </xdr:from>
    <xdr:to>
      <xdr:col>7</xdr:col>
      <xdr:colOff>151480</xdr:colOff>
      <xdr:row>2</xdr:row>
      <xdr:rowOff>33973</xdr:rowOff>
    </xdr:to>
    <xdr:sp macro="" textlink="">
      <xdr:nvSpPr>
        <xdr:cNvPr id="254" name="Shape 201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/>
      </xdr:nvSpPr>
      <xdr:spPr>
        <a:xfrm>
          <a:off x="7835924" y="446899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184765</xdr:colOff>
      <xdr:row>1</xdr:row>
      <xdr:rowOff>179343</xdr:rowOff>
    </xdr:from>
    <xdr:to>
      <xdr:col>7</xdr:col>
      <xdr:colOff>227343</xdr:colOff>
      <xdr:row>2</xdr:row>
      <xdr:rowOff>33973</xdr:rowOff>
    </xdr:to>
    <xdr:sp macro="" textlink="">
      <xdr:nvSpPr>
        <xdr:cNvPr id="255" name="Shape 202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/>
      </xdr:nvSpPr>
      <xdr:spPr>
        <a:xfrm>
          <a:off x="7911787" y="446899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258491</xdr:colOff>
      <xdr:row>1</xdr:row>
      <xdr:rowOff>180639</xdr:rowOff>
    </xdr:from>
    <xdr:to>
      <xdr:col>7</xdr:col>
      <xdr:colOff>301069</xdr:colOff>
      <xdr:row>2</xdr:row>
      <xdr:rowOff>35269</xdr:rowOff>
    </xdr:to>
    <xdr:sp macro="" textlink="">
      <xdr:nvSpPr>
        <xdr:cNvPr id="256" name="Shape 203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/>
      </xdr:nvSpPr>
      <xdr:spPr>
        <a:xfrm>
          <a:off x="7985513" y="448195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109770</xdr:colOff>
      <xdr:row>2</xdr:row>
      <xdr:rowOff>53656</xdr:rowOff>
    </xdr:from>
    <xdr:to>
      <xdr:col>7</xdr:col>
      <xdr:colOff>152348</xdr:colOff>
      <xdr:row>2</xdr:row>
      <xdr:rowOff>96860</xdr:rowOff>
    </xdr:to>
    <xdr:sp macro="" textlink="">
      <xdr:nvSpPr>
        <xdr:cNvPr id="257" name="Shape 201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/>
      </xdr:nvSpPr>
      <xdr:spPr>
        <a:xfrm>
          <a:off x="7836792" y="513853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185633</xdr:colOff>
      <xdr:row>2</xdr:row>
      <xdr:rowOff>53656</xdr:rowOff>
    </xdr:from>
    <xdr:to>
      <xdr:col>7</xdr:col>
      <xdr:colOff>228211</xdr:colOff>
      <xdr:row>2</xdr:row>
      <xdr:rowOff>96860</xdr:rowOff>
    </xdr:to>
    <xdr:sp macro="" textlink="">
      <xdr:nvSpPr>
        <xdr:cNvPr id="258" name="Shape 202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/>
      </xdr:nvSpPr>
      <xdr:spPr>
        <a:xfrm>
          <a:off x="7912655" y="513853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259359</xdr:colOff>
      <xdr:row>2</xdr:row>
      <xdr:rowOff>53089</xdr:rowOff>
    </xdr:from>
    <xdr:to>
      <xdr:col>7</xdr:col>
      <xdr:colOff>301937</xdr:colOff>
      <xdr:row>2</xdr:row>
      <xdr:rowOff>98156</xdr:rowOff>
    </xdr:to>
    <xdr:sp macro="" textlink="">
      <xdr:nvSpPr>
        <xdr:cNvPr id="259" name="Shape 203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/>
      </xdr:nvSpPr>
      <xdr:spPr>
        <a:xfrm>
          <a:off x="7986381" y="51328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107023</xdr:colOff>
      <xdr:row>2</xdr:row>
      <xdr:rowOff>112451</xdr:rowOff>
    </xdr:from>
    <xdr:to>
      <xdr:col>7</xdr:col>
      <xdr:colOff>149601</xdr:colOff>
      <xdr:row>2</xdr:row>
      <xdr:rowOff>157437</xdr:rowOff>
    </xdr:to>
    <xdr:sp macro="" textlink="">
      <xdr:nvSpPr>
        <xdr:cNvPr id="260" name="Shape 201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/>
      </xdr:nvSpPr>
      <xdr:spPr>
        <a:xfrm>
          <a:off x="7834045" y="572648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182886</xdr:colOff>
      <xdr:row>2</xdr:row>
      <xdr:rowOff>112451</xdr:rowOff>
    </xdr:from>
    <xdr:to>
      <xdr:col>7</xdr:col>
      <xdr:colOff>225464</xdr:colOff>
      <xdr:row>2</xdr:row>
      <xdr:rowOff>157437</xdr:rowOff>
    </xdr:to>
    <xdr:sp macro="" textlink="">
      <xdr:nvSpPr>
        <xdr:cNvPr id="261" name="Shape 202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/>
      </xdr:nvSpPr>
      <xdr:spPr>
        <a:xfrm>
          <a:off x="7909908" y="572648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256612</xdr:colOff>
      <xdr:row>2</xdr:row>
      <xdr:rowOff>113747</xdr:rowOff>
    </xdr:from>
    <xdr:to>
      <xdr:col>7</xdr:col>
      <xdr:colOff>299190</xdr:colOff>
      <xdr:row>2</xdr:row>
      <xdr:rowOff>158733</xdr:rowOff>
    </xdr:to>
    <xdr:sp macro="" textlink="">
      <xdr:nvSpPr>
        <xdr:cNvPr id="262" name="Shape 203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/>
      </xdr:nvSpPr>
      <xdr:spPr>
        <a:xfrm>
          <a:off x="7983634" y="57394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452115</xdr:colOff>
      <xdr:row>1</xdr:row>
      <xdr:rowOff>116844</xdr:rowOff>
    </xdr:from>
    <xdr:to>
      <xdr:col>7</xdr:col>
      <xdr:colOff>494693</xdr:colOff>
      <xdr:row>1</xdr:row>
      <xdr:rowOff>162332</xdr:rowOff>
    </xdr:to>
    <xdr:sp macro="" textlink="">
      <xdr:nvSpPr>
        <xdr:cNvPr id="263" name="Shape 201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8184174" y="38298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527978</xdr:colOff>
      <xdr:row>1</xdr:row>
      <xdr:rowOff>116844</xdr:rowOff>
    </xdr:from>
    <xdr:to>
      <xdr:col>7</xdr:col>
      <xdr:colOff>570556</xdr:colOff>
      <xdr:row>1</xdr:row>
      <xdr:rowOff>162332</xdr:rowOff>
    </xdr:to>
    <xdr:sp macro="" textlink="">
      <xdr:nvSpPr>
        <xdr:cNvPr id="264" name="Shape 202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8260037" y="38298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601704</xdr:colOff>
      <xdr:row>1</xdr:row>
      <xdr:rowOff>118140</xdr:rowOff>
    </xdr:from>
    <xdr:to>
      <xdr:col>7</xdr:col>
      <xdr:colOff>644282</xdr:colOff>
      <xdr:row>1</xdr:row>
      <xdr:rowOff>163628</xdr:rowOff>
    </xdr:to>
    <xdr:sp macro="" textlink="">
      <xdr:nvSpPr>
        <xdr:cNvPr id="265" name="Shape 203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8333763" y="38428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451247</xdr:colOff>
      <xdr:row>1</xdr:row>
      <xdr:rowOff>189164</xdr:rowOff>
    </xdr:from>
    <xdr:to>
      <xdr:col>7</xdr:col>
      <xdr:colOff>493825</xdr:colOff>
      <xdr:row>2</xdr:row>
      <xdr:rowOff>45935</xdr:rowOff>
    </xdr:to>
    <xdr:sp macro="" textlink="">
      <xdr:nvSpPr>
        <xdr:cNvPr id="266" name="Shape 201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/>
      </xdr:nvSpPr>
      <xdr:spPr>
        <a:xfrm>
          <a:off x="8183306" y="455304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527110</xdr:colOff>
      <xdr:row>1</xdr:row>
      <xdr:rowOff>189164</xdr:rowOff>
    </xdr:from>
    <xdr:to>
      <xdr:col>7</xdr:col>
      <xdr:colOff>569688</xdr:colOff>
      <xdr:row>2</xdr:row>
      <xdr:rowOff>45935</xdr:rowOff>
    </xdr:to>
    <xdr:sp macro="" textlink="">
      <xdr:nvSpPr>
        <xdr:cNvPr id="267" name="Shape 202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/>
      </xdr:nvSpPr>
      <xdr:spPr>
        <a:xfrm>
          <a:off x="8259169" y="455304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600836</xdr:colOff>
      <xdr:row>1</xdr:row>
      <xdr:rowOff>190460</xdr:rowOff>
    </xdr:from>
    <xdr:to>
      <xdr:col>7</xdr:col>
      <xdr:colOff>643414</xdr:colOff>
      <xdr:row>2</xdr:row>
      <xdr:rowOff>47231</xdr:rowOff>
    </xdr:to>
    <xdr:sp macro="" textlink="">
      <xdr:nvSpPr>
        <xdr:cNvPr id="268" name="Shape 203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/>
      </xdr:nvSpPr>
      <xdr:spPr>
        <a:xfrm>
          <a:off x="8332895" y="456600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452115</xdr:colOff>
      <xdr:row>2</xdr:row>
      <xdr:rowOff>65618</xdr:rowOff>
    </xdr:from>
    <xdr:to>
      <xdr:col>7</xdr:col>
      <xdr:colOff>494693</xdr:colOff>
      <xdr:row>2</xdr:row>
      <xdr:rowOff>108822</xdr:rowOff>
    </xdr:to>
    <xdr:sp macro="" textlink="">
      <xdr:nvSpPr>
        <xdr:cNvPr id="269" name="Shape 201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/>
      </xdr:nvSpPr>
      <xdr:spPr>
        <a:xfrm>
          <a:off x="8184174" y="522258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527978</xdr:colOff>
      <xdr:row>2</xdr:row>
      <xdr:rowOff>65618</xdr:rowOff>
    </xdr:from>
    <xdr:to>
      <xdr:col>7</xdr:col>
      <xdr:colOff>570556</xdr:colOff>
      <xdr:row>2</xdr:row>
      <xdr:rowOff>108822</xdr:rowOff>
    </xdr:to>
    <xdr:sp macro="" textlink="">
      <xdr:nvSpPr>
        <xdr:cNvPr id="270" name="Shape 202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/>
      </xdr:nvSpPr>
      <xdr:spPr>
        <a:xfrm>
          <a:off x="8260037" y="522258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601704</xdr:colOff>
      <xdr:row>2</xdr:row>
      <xdr:rowOff>65051</xdr:rowOff>
    </xdr:from>
    <xdr:to>
      <xdr:col>7</xdr:col>
      <xdr:colOff>644282</xdr:colOff>
      <xdr:row>2</xdr:row>
      <xdr:rowOff>110118</xdr:rowOff>
    </xdr:to>
    <xdr:sp macro="" textlink="">
      <xdr:nvSpPr>
        <xdr:cNvPr id="271" name="Shape 203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/>
      </xdr:nvSpPr>
      <xdr:spPr>
        <a:xfrm>
          <a:off x="8333763" y="52169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449368</xdr:colOff>
      <xdr:row>2</xdr:row>
      <xdr:rowOff>124413</xdr:rowOff>
    </xdr:from>
    <xdr:to>
      <xdr:col>7</xdr:col>
      <xdr:colOff>491946</xdr:colOff>
      <xdr:row>2</xdr:row>
      <xdr:rowOff>169399</xdr:rowOff>
    </xdr:to>
    <xdr:sp macro="" textlink="">
      <xdr:nvSpPr>
        <xdr:cNvPr id="272" name="Shape 20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/>
      </xdr:nvSpPr>
      <xdr:spPr>
        <a:xfrm>
          <a:off x="8181427" y="58105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525231</xdr:colOff>
      <xdr:row>2</xdr:row>
      <xdr:rowOff>124413</xdr:rowOff>
    </xdr:from>
    <xdr:to>
      <xdr:col>7</xdr:col>
      <xdr:colOff>567809</xdr:colOff>
      <xdr:row>2</xdr:row>
      <xdr:rowOff>169399</xdr:rowOff>
    </xdr:to>
    <xdr:sp macro="" textlink="">
      <xdr:nvSpPr>
        <xdr:cNvPr id="273" name="Shape 20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/>
      </xdr:nvSpPr>
      <xdr:spPr>
        <a:xfrm>
          <a:off x="8257290" y="58105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598957</xdr:colOff>
      <xdr:row>2</xdr:row>
      <xdr:rowOff>125709</xdr:rowOff>
    </xdr:from>
    <xdr:to>
      <xdr:col>7</xdr:col>
      <xdr:colOff>641535</xdr:colOff>
      <xdr:row>2</xdr:row>
      <xdr:rowOff>170695</xdr:rowOff>
    </xdr:to>
    <xdr:sp macro="" textlink="">
      <xdr:nvSpPr>
        <xdr:cNvPr id="274" name="Shape 203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/>
      </xdr:nvSpPr>
      <xdr:spPr>
        <a:xfrm>
          <a:off x="8331016" y="58234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108654</xdr:colOff>
      <xdr:row>3</xdr:row>
      <xdr:rowOff>47928</xdr:rowOff>
    </xdr:from>
    <xdr:to>
      <xdr:col>7</xdr:col>
      <xdr:colOff>151232</xdr:colOff>
      <xdr:row>3</xdr:row>
      <xdr:rowOff>93416</xdr:rowOff>
    </xdr:to>
    <xdr:sp macro="" textlink="">
      <xdr:nvSpPr>
        <xdr:cNvPr id="275" name="Shape 201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/>
      </xdr:nvSpPr>
      <xdr:spPr>
        <a:xfrm>
          <a:off x="7840713" y="69506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184517</xdr:colOff>
      <xdr:row>3</xdr:row>
      <xdr:rowOff>47928</xdr:rowOff>
    </xdr:from>
    <xdr:to>
      <xdr:col>7</xdr:col>
      <xdr:colOff>227095</xdr:colOff>
      <xdr:row>3</xdr:row>
      <xdr:rowOff>93416</xdr:rowOff>
    </xdr:to>
    <xdr:sp macro="" textlink="">
      <xdr:nvSpPr>
        <xdr:cNvPr id="276" name="Shape 202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/>
      </xdr:nvSpPr>
      <xdr:spPr>
        <a:xfrm>
          <a:off x="7916576" y="69506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258243</xdr:colOff>
      <xdr:row>3</xdr:row>
      <xdr:rowOff>49224</xdr:rowOff>
    </xdr:from>
    <xdr:to>
      <xdr:col>7</xdr:col>
      <xdr:colOff>300821</xdr:colOff>
      <xdr:row>3</xdr:row>
      <xdr:rowOff>94712</xdr:rowOff>
    </xdr:to>
    <xdr:sp macro="" textlink="">
      <xdr:nvSpPr>
        <xdr:cNvPr id="277" name="Shape 203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/>
      </xdr:nvSpPr>
      <xdr:spPr>
        <a:xfrm>
          <a:off x="7990302" y="69636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107786</xdr:colOff>
      <xdr:row>3</xdr:row>
      <xdr:rowOff>120248</xdr:rowOff>
    </xdr:from>
    <xdr:to>
      <xdr:col>7</xdr:col>
      <xdr:colOff>150364</xdr:colOff>
      <xdr:row>3</xdr:row>
      <xdr:rowOff>167519</xdr:rowOff>
    </xdr:to>
    <xdr:sp macro="" textlink="">
      <xdr:nvSpPr>
        <xdr:cNvPr id="278" name="Shape 201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/>
      </xdr:nvSpPr>
      <xdr:spPr>
        <a:xfrm>
          <a:off x="7839845" y="767388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183649</xdr:colOff>
      <xdr:row>3</xdr:row>
      <xdr:rowOff>120248</xdr:rowOff>
    </xdr:from>
    <xdr:to>
      <xdr:col>7</xdr:col>
      <xdr:colOff>226227</xdr:colOff>
      <xdr:row>3</xdr:row>
      <xdr:rowOff>167519</xdr:rowOff>
    </xdr:to>
    <xdr:sp macro="" textlink="">
      <xdr:nvSpPr>
        <xdr:cNvPr id="279" name="Shape 202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/>
      </xdr:nvSpPr>
      <xdr:spPr>
        <a:xfrm>
          <a:off x="7915708" y="767388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257375</xdr:colOff>
      <xdr:row>3</xdr:row>
      <xdr:rowOff>121544</xdr:rowOff>
    </xdr:from>
    <xdr:to>
      <xdr:col>7</xdr:col>
      <xdr:colOff>299953</xdr:colOff>
      <xdr:row>3</xdr:row>
      <xdr:rowOff>168815</xdr:rowOff>
    </xdr:to>
    <xdr:sp macro="" textlink="">
      <xdr:nvSpPr>
        <xdr:cNvPr id="280" name="Shape 203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/>
      </xdr:nvSpPr>
      <xdr:spPr>
        <a:xfrm>
          <a:off x="7989434" y="768684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108654</xdr:colOff>
      <xdr:row>3</xdr:row>
      <xdr:rowOff>187202</xdr:rowOff>
    </xdr:from>
    <xdr:to>
      <xdr:col>7</xdr:col>
      <xdr:colOff>151232</xdr:colOff>
      <xdr:row>4</xdr:row>
      <xdr:rowOff>39906</xdr:rowOff>
    </xdr:to>
    <xdr:sp macro="" textlink="">
      <xdr:nvSpPr>
        <xdr:cNvPr id="281" name="Shape 201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/>
      </xdr:nvSpPr>
      <xdr:spPr>
        <a:xfrm>
          <a:off x="7840713" y="834342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184517</xdr:colOff>
      <xdr:row>3</xdr:row>
      <xdr:rowOff>187202</xdr:rowOff>
    </xdr:from>
    <xdr:to>
      <xdr:col>7</xdr:col>
      <xdr:colOff>227095</xdr:colOff>
      <xdr:row>4</xdr:row>
      <xdr:rowOff>39906</xdr:rowOff>
    </xdr:to>
    <xdr:sp macro="" textlink="">
      <xdr:nvSpPr>
        <xdr:cNvPr id="282" name="Shape 202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/>
      </xdr:nvSpPr>
      <xdr:spPr>
        <a:xfrm>
          <a:off x="7916576" y="834342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258243</xdr:colOff>
      <xdr:row>3</xdr:row>
      <xdr:rowOff>186635</xdr:rowOff>
    </xdr:from>
    <xdr:to>
      <xdr:col>7</xdr:col>
      <xdr:colOff>300821</xdr:colOff>
      <xdr:row>4</xdr:row>
      <xdr:rowOff>41202</xdr:rowOff>
    </xdr:to>
    <xdr:sp macro="" textlink="">
      <xdr:nvSpPr>
        <xdr:cNvPr id="283" name="Shape 203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/>
      </xdr:nvSpPr>
      <xdr:spPr>
        <a:xfrm>
          <a:off x="7990302" y="833775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105907</xdr:colOff>
      <xdr:row>4</xdr:row>
      <xdr:rowOff>55497</xdr:rowOff>
    </xdr:from>
    <xdr:to>
      <xdr:col>7</xdr:col>
      <xdr:colOff>148485</xdr:colOff>
      <xdr:row>4</xdr:row>
      <xdr:rowOff>100483</xdr:rowOff>
    </xdr:to>
    <xdr:sp macro="" textlink="">
      <xdr:nvSpPr>
        <xdr:cNvPr id="284" name="Shape 201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/>
      </xdr:nvSpPr>
      <xdr:spPr>
        <a:xfrm>
          <a:off x="7837966" y="89313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181770</xdr:colOff>
      <xdr:row>4</xdr:row>
      <xdr:rowOff>55497</xdr:rowOff>
    </xdr:from>
    <xdr:to>
      <xdr:col>7</xdr:col>
      <xdr:colOff>224348</xdr:colOff>
      <xdr:row>4</xdr:row>
      <xdr:rowOff>100483</xdr:rowOff>
    </xdr:to>
    <xdr:sp macro="" textlink="">
      <xdr:nvSpPr>
        <xdr:cNvPr id="285" name="Shape 202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/>
      </xdr:nvSpPr>
      <xdr:spPr>
        <a:xfrm>
          <a:off x="7913829" y="89313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255496</xdr:colOff>
      <xdr:row>4</xdr:row>
      <xdr:rowOff>56793</xdr:rowOff>
    </xdr:from>
    <xdr:to>
      <xdr:col>7</xdr:col>
      <xdr:colOff>298074</xdr:colOff>
      <xdr:row>4</xdr:row>
      <xdr:rowOff>101779</xdr:rowOff>
    </xdr:to>
    <xdr:sp macro="" textlink="">
      <xdr:nvSpPr>
        <xdr:cNvPr id="286" name="Shape 203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/>
      </xdr:nvSpPr>
      <xdr:spPr>
        <a:xfrm>
          <a:off x="7987555" y="89443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448752</xdr:colOff>
      <xdr:row>3</xdr:row>
      <xdr:rowOff>49049</xdr:rowOff>
    </xdr:from>
    <xdr:to>
      <xdr:col>7</xdr:col>
      <xdr:colOff>491330</xdr:colOff>
      <xdr:row>3</xdr:row>
      <xdr:rowOff>94537</xdr:rowOff>
    </xdr:to>
    <xdr:sp macro="" textlink="">
      <xdr:nvSpPr>
        <xdr:cNvPr id="287" name="Shape 201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/>
      </xdr:nvSpPr>
      <xdr:spPr>
        <a:xfrm>
          <a:off x="8180811" y="69618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524615</xdr:colOff>
      <xdr:row>3</xdr:row>
      <xdr:rowOff>49049</xdr:rowOff>
    </xdr:from>
    <xdr:to>
      <xdr:col>7</xdr:col>
      <xdr:colOff>567193</xdr:colOff>
      <xdr:row>3</xdr:row>
      <xdr:rowOff>94537</xdr:rowOff>
    </xdr:to>
    <xdr:sp macro="" textlink="">
      <xdr:nvSpPr>
        <xdr:cNvPr id="288" name="Shape 202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/>
      </xdr:nvSpPr>
      <xdr:spPr>
        <a:xfrm>
          <a:off x="8256674" y="696189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598341</xdr:colOff>
      <xdr:row>3</xdr:row>
      <xdr:rowOff>50345</xdr:rowOff>
    </xdr:from>
    <xdr:to>
      <xdr:col>7</xdr:col>
      <xdr:colOff>640919</xdr:colOff>
      <xdr:row>3</xdr:row>
      <xdr:rowOff>95833</xdr:rowOff>
    </xdr:to>
    <xdr:sp macro="" textlink="">
      <xdr:nvSpPr>
        <xdr:cNvPr id="289" name="Shape 203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/>
      </xdr:nvSpPr>
      <xdr:spPr>
        <a:xfrm>
          <a:off x="8330400" y="697485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447884</xdr:colOff>
      <xdr:row>3</xdr:row>
      <xdr:rowOff>121369</xdr:rowOff>
    </xdr:from>
    <xdr:to>
      <xdr:col>7</xdr:col>
      <xdr:colOff>490462</xdr:colOff>
      <xdr:row>3</xdr:row>
      <xdr:rowOff>168640</xdr:rowOff>
    </xdr:to>
    <xdr:sp macro="" textlink="">
      <xdr:nvSpPr>
        <xdr:cNvPr id="290" name="Shape 201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/>
      </xdr:nvSpPr>
      <xdr:spPr>
        <a:xfrm>
          <a:off x="8179943" y="768509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523747</xdr:colOff>
      <xdr:row>3</xdr:row>
      <xdr:rowOff>121369</xdr:rowOff>
    </xdr:from>
    <xdr:to>
      <xdr:col>7</xdr:col>
      <xdr:colOff>566325</xdr:colOff>
      <xdr:row>3</xdr:row>
      <xdr:rowOff>168640</xdr:rowOff>
    </xdr:to>
    <xdr:sp macro="" textlink="">
      <xdr:nvSpPr>
        <xdr:cNvPr id="291" name="Shape 202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/>
      </xdr:nvSpPr>
      <xdr:spPr>
        <a:xfrm>
          <a:off x="8255806" y="768509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597473</xdr:colOff>
      <xdr:row>3</xdr:row>
      <xdr:rowOff>122665</xdr:rowOff>
    </xdr:from>
    <xdr:to>
      <xdr:col>7</xdr:col>
      <xdr:colOff>640051</xdr:colOff>
      <xdr:row>3</xdr:row>
      <xdr:rowOff>169936</xdr:rowOff>
    </xdr:to>
    <xdr:sp macro="" textlink="">
      <xdr:nvSpPr>
        <xdr:cNvPr id="292" name="Shape 203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/>
      </xdr:nvSpPr>
      <xdr:spPr>
        <a:xfrm>
          <a:off x="8329532" y="769805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448752</xdr:colOff>
      <xdr:row>3</xdr:row>
      <xdr:rowOff>188323</xdr:rowOff>
    </xdr:from>
    <xdr:to>
      <xdr:col>7</xdr:col>
      <xdr:colOff>491330</xdr:colOff>
      <xdr:row>4</xdr:row>
      <xdr:rowOff>41027</xdr:rowOff>
    </xdr:to>
    <xdr:sp macro="" textlink="">
      <xdr:nvSpPr>
        <xdr:cNvPr id="293" name="Shape 201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/>
      </xdr:nvSpPr>
      <xdr:spPr>
        <a:xfrm>
          <a:off x="8180811" y="835463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524615</xdr:colOff>
      <xdr:row>3</xdr:row>
      <xdr:rowOff>188323</xdr:rowOff>
    </xdr:from>
    <xdr:to>
      <xdr:col>7</xdr:col>
      <xdr:colOff>567193</xdr:colOff>
      <xdr:row>4</xdr:row>
      <xdr:rowOff>41027</xdr:rowOff>
    </xdr:to>
    <xdr:sp macro="" textlink="">
      <xdr:nvSpPr>
        <xdr:cNvPr id="294" name="Shape 202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/>
      </xdr:nvSpPr>
      <xdr:spPr>
        <a:xfrm>
          <a:off x="8256674" y="835463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598341</xdr:colOff>
      <xdr:row>3</xdr:row>
      <xdr:rowOff>187756</xdr:rowOff>
    </xdr:from>
    <xdr:to>
      <xdr:col>7</xdr:col>
      <xdr:colOff>640919</xdr:colOff>
      <xdr:row>4</xdr:row>
      <xdr:rowOff>42323</xdr:rowOff>
    </xdr:to>
    <xdr:sp macro="" textlink="">
      <xdr:nvSpPr>
        <xdr:cNvPr id="295" name="Shape 203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/>
      </xdr:nvSpPr>
      <xdr:spPr>
        <a:xfrm>
          <a:off x="8330400" y="834896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446005</xdr:colOff>
      <xdr:row>4</xdr:row>
      <xdr:rowOff>56618</xdr:rowOff>
    </xdr:from>
    <xdr:to>
      <xdr:col>7</xdr:col>
      <xdr:colOff>488583</xdr:colOff>
      <xdr:row>4</xdr:row>
      <xdr:rowOff>101604</xdr:rowOff>
    </xdr:to>
    <xdr:sp macro="" textlink="">
      <xdr:nvSpPr>
        <xdr:cNvPr id="296" name="Shape 201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/>
      </xdr:nvSpPr>
      <xdr:spPr>
        <a:xfrm>
          <a:off x="8178064" y="894258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521868</xdr:colOff>
      <xdr:row>4</xdr:row>
      <xdr:rowOff>56618</xdr:rowOff>
    </xdr:from>
    <xdr:to>
      <xdr:col>7</xdr:col>
      <xdr:colOff>564446</xdr:colOff>
      <xdr:row>4</xdr:row>
      <xdr:rowOff>101604</xdr:rowOff>
    </xdr:to>
    <xdr:sp macro="" textlink="">
      <xdr:nvSpPr>
        <xdr:cNvPr id="297" name="Shape 202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/>
      </xdr:nvSpPr>
      <xdr:spPr>
        <a:xfrm>
          <a:off x="8253927" y="894258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595594</xdr:colOff>
      <xdr:row>4</xdr:row>
      <xdr:rowOff>57914</xdr:rowOff>
    </xdr:from>
    <xdr:to>
      <xdr:col>7</xdr:col>
      <xdr:colOff>638172</xdr:colOff>
      <xdr:row>4</xdr:row>
      <xdr:rowOff>102900</xdr:rowOff>
    </xdr:to>
    <xdr:sp macro="" textlink="">
      <xdr:nvSpPr>
        <xdr:cNvPr id="298" name="Shape 203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/>
      </xdr:nvSpPr>
      <xdr:spPr>
        <a:xfrm>
          <a:off x="8327653" y="895554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110895</xdr:colOff>
      <xdr:row>4</xdr:row>
      <xdr:rowOff>167831</xdr:rowOff>
    </xdr:from>
    <xdr:to>
      <xdr:col>7</xdr:col>
      <xdr:colOff>153473</xdr:colOff>
      <xdr:row>5</xdr:row>
      <xdr:rowOff>22819</xdr:rowOff>
    </xdr:to>
    <xdr:sp macro="" textlink="">
      <xdr:nvSpPr>
        <xdr:cNvPr id="299" name="Shape 201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/>
      </xdr:nvSpPr>
      <xdr:spPr>
        <a:xfrm>
          <a:off x="7842954" y="100547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186758</xdr:colOff>
      <xdr:row>4</xdr:row>
      <xdr:rowOff>167831</xdr:rowOff>
    </xdr:from>
    <xdr:to>
      <xdr:col>7</xdr:col>
      <xdr:colOff>229336</xdr:colOff>
      <xdr:row>5</xdr:row>
      <xdr:rowOff>22819</xdr:rowOff>
    </xdr:to>
    <xdr:sp macro="" textlink="">
      <xdr:nvSpPr>
        <xdr:cNvPr id="300" name="Shape 202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/>
      </xdr:nvSpPr>
      <xdr:spPr>
        <a:xfrm>
          <a:off x="7918817" y="100547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260484</xdr:colOff>
      <xdr:row>4</xdr:row>
      <xdr:rowOff>169127</xdr:rowOff>
    </xdr:from>
    <xdr:to>
      <xdr:col>7</xdr:col>
      <xdr:colOff>303062</xdr:colOff>
      <xdr:row>5</xdr:row>
      <xdr:rowOff>24115</xdr:rowOff>
    </xdr:to>
    <xdr:sp macro="" textlink="">
      <xdr:nvSpPr>
        <xdr:cNvPr id="301" name="Shape 203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/>
      </xdr:nvSpPr>
      <xdr:spPr>
        <a:xfrm>
          <a:off x="7992543" y="100676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110027</xdr:colOff>
      <xdr:row>5</xdr:row>
      <xdr:rowOff>49651</xdr:rowOff>
    </xdr:from>
    <xdr:to>
      <xdr:col>7</xdr:col>
      <xdr:colOff>152605</xdr:colOff>
      <xdr:row>5</xdr:row>
      <xdr:rowOff>96922</xdr:rowOff>
    </xdr:to>
    <xdr:sp macro="" textlink="">
      <xdr:nvSpPr>
        <xdr:cNvPr id="302" name="Shape 201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/>
      </xdr:nvSpPr>
      <xdr:spPr>
        <a:xfrm>
          <a:off x="7842086" y="107779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185890</xdr:colOff>
      <xdr:row>5</xdr:row>
      <xdr:rowOff>49651</xdr:rowOff>
    </xdr:from>
    <xdr:to>
      <xdr:col>7</xdr:col>
      <xdr:colOff>228468</xdr:colOff>
      <xdr:row>5</xdr:row>
      <xdr:rowOff>96922</xdr:rowOff>
    </xdr:to>
    <xdr:sp macro="" textlink="">
      <xdr:nvSpPr>
        <xdr:cNvPr id="303" name="Shape 202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/>
      </xdr:nvSpPr>
      <xdr:spPr>
        <a:xfrm>
          <a:off x="7917949" y="107779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259616</xdr:colOff>
      <xdr:row>5</xdr:row>
      <xdr:rowOff>50947</xdr:rowOff>
    </xdr:from>
    <xdr:to>
      <xdr:col>7</xdr:col>
      <xdr:colOff>302194</xdr:colOff>
      <xdr:row>5</xdr:row>
      <xdr:rowOff>98218</xdr:rowOff>
    </xdr:to>
    <xdr:sp macro="" textlink="">
      <xdr:nvSpPr>
        <xdr:cNvPr id="304" name="Shape 203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/>
      </xdr:nvSpPr>
      <xdr:spPr>
        <a:xfrm>
          <a:off x="7991675" y="107908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110895</xdr:colOff>
      <xdr:row>5</xdr:row>
      <xdr:rowOff>116605</xdr:rowOff>
    </xdr:from>
    <xdr:to>
      <xdr:col>7</xdr:col>
      <xdr:colOff>153473</xdr:colOff>
      <xdr:row>5</xdr:row>
      <xdr:rowOff>159809</xdr:rowOff>
    </xdr:to>
    <xdr:sp macro="" textlink="">
      <xdr:nvSpPr>
        <xdr:cNvPr id="305" name="Shape 201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/>
      </xdr:nvSpPr>
      <xdr:spPr>
        <a:xfrm>
          <a:off x="7842954" y="1144745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186758</xdr:colOff>
      <xdr:row>5</xdr:row>
      <xdr:rowOff>116605</xdr:rowOff>
    </xdr:from>
    <xdr:to>
      <xdr:col>7</xdr:col>
      <xdr:colOff>229336</xdr:colOff>
      <xdr:row>5</xdr:row>
      <xdr:rowOff>159809</xdr:rowOff>
    </xdr:to>
    <xdr:sp macro="" textlink="">
      <xdr:nvSpPr>
        <xdr:cNvPr id="306" name="Shape 202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/>
      </xdr:nvSpPr>
      <xdr:spPr>
        <a:xfrm>
          <a:off x="7918817" y="1144745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260484</xdr:colOff>
      <xdr:row>5</xdr:row>
      <xdr:rowOff>116038</xdr:rowOff>
    </xdr:from>
    <xdr:to>
      <xdr:col>7</xdr:col>
      <xdr:colOff>303062</xdr:colOff>
      <xdr:row>5</xdr:row>
      <xdr:rowOff>161105</xdr:rowOff>
    </xdr:to>
    <xdr:sp macro="" textlink="">
      <xdr:nvSpPr>
        <xdr:cNvPr id="307" name="Shape 203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/>
      </xdr:nvSpPr>
      <xdr:spPr>
        <a:xfrm>
          <a:off x="7992543" y="1144178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108148</xdr:colOff>
      <xdr:row>5</xdr:row>
      <xdr:rowOff>175400</xdr:rowOff>
    </xdr:from>
    <xdr:to>
      <xdr:col>7</xdr:col>
      <xdr:colOff>150726</xdr:colOff>
      <xdr:row>6</xdr:row>
      <xdr:rowOff>29886</xdr:rowOff>
    </xdr:to>
    <xdr:sp macro="" textlink="">
      <xdr:nvSpPr>
        <xdr:cNvPr id="308" name="Shape 201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/>
      </xdr:nvSpPr>
      <xdr:spPr>
        <a:xfrm>
          <a:off x="7840207" y="120354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184011</xdr:colOff>
      <xdr:row>5</xdr:row>
      <xdr:rowOff>175400</xdr:rowOff>
    </xdr:from>
    <xdr:to>
      <xdr:col>7</xdr:col>
      <xdr:colOff>226589</xdr:colOff>
      <xdr:row>6</xdr:row>
      <xdr:rowOff>29886</xdr:rowOff>
    </xdr:to>
    <xdr:sp macro="" textlink="">
      <xdr:nvSpPr>
        <xdr:cNvPr id="309" name="Shape 202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/>
      </xdr:nvSpPr>
      <xdr:spPr>
        <a:xfrm>
          <a:off x="7916070" y="120354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257737</xdr:colOff>
      <xdr:row>5</xdr:row>
      <xdr:rowOff>176696</xdr:rowOff>
    </xdr:from>
    <xdr:to>
      <xdr:col>7</xdr:col>
      <xdr:colOff>300315</xdr:colOff>
      <xdr:row>6</xdr:row>
      <xdr:rowOff>31182</xdr:rowOff>
    </xdr:to>
    <xdr:sp macro="" textlink="">
      <xdr:nvSpPr>
        <xdr:cNvPr id="310" name="Shape 203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/>
      </xdr:nvSpPr>
      <xdr:spPr>
        <a:xfrm>
          <a:off x="7989796" y="120483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453795</xdr:colOff>
      <xdr:row>4</xdr:row>
      <xdr:rowOff>160547</xdr:rowOff>
    </xdr:from>
    <xdr:to>
      <xdr:col>7</xdr:col>
      <xdr:colOff>496373</xdr:colOff>
      <xdr:row>5</xdr:row>
      <xdr:rowOff>15535</xdr:rowOff>
    </xdr:to>
    <xdr:sp macro="" textlink="">
      <xdr:nvSpPr>
        <xdr:cNvPr id="311" name="Shape 201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/>
      </xdr:nvSpPr>
      <xdr:spPr>
        <a:xfrm>
          <a:off x="8185854" y="99818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529658</xdr:colOff>
      <xdr:row>4</xdr:row>
      <xdr:rowOff>160547</xdr:rowOff>
    </xdr:from>
    <xdr:to>
      <xdr:col>7</xdr:col>
      <xdr:colOff>572236</xdr:colOff>
      <xdr:row>5</xdr:row>
      <xdr:rowOff>15535</xdr:rowOff>
    </xdr:to>
    <xdr:sp macro="" textlink="">
      <xdr:nvSpPr>
        <xdr:cNvPr id="312" name="Shape 202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/>
      </xdr:nvSpPr>
      <xdr:spPr>
        <a:xfrm>
          <a:off x="8261717" y="99818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603384</xdr:colOff>
      <xdr:row>4</xdr:row>
      <xdr:rowOff>161843</xdr:rowOff>
    </xdr:from>
    <xdr:to>
      <xdr:col>7</xdr:col>
      <xdr:colOff>645962</xdr:colOff>
      <xdr:row>5</xdr:row>
      <xdr:rowOff>16831</xdr:rowOff>
    </xdr:to>
    <xdr:sp macro="" textlink="">
      <xdr:nvSpPr>
        <xdr:cNvPr id="313" name="Shape 203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/>
      </xdr:nvSpPr>
      <xdr:spPr>
        <a:xfrm>
          <a:off x="8335443" y="999483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452927</xdr:colOff>
      <xdr:row>5</xdr:row>
      <xdr:rowOff>42367</xdr:rowOff>
    </xdr:from>
    <xdr:to>
      <xdr:col>7</xdr:col>
      <xdr:colOff>495505</xdr:colOff>
      <xdr:row>5</xdr:row>
      <xdr:rowOff>89638</xdr:rowOff>
    </xdr:to>
    <xdr:sp macro="" textlink="">
      <xdr:nvSpPr>
        <xdr:cNvPr id="314" name="Shape 201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/>
      </xdr:nvSpPr>
      <xdr:spPr>
        <a:xfrm>
          <a:off x="8184986" y="107050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528790</xdr:colOff>
      <xdr:row>5</xdr:row>
      <xdr:rowOff>42367</xdr:rowOff>
    </xdr:from>
    <xdr:to>
      <xdr:col>7</xdr:col>
      <xdr:colOff>571368</xdr:colOff>
      <xdr:row>5</xdr:row>
      <xdr:rowOff>89638</xdr:rowOff>
    </xdr:to>
    <xdr:sp macro="" textlink="">
      <xdr:nvSpPr>
        <xdr:cNvPr id="315" name="Shape 202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/>
      </xdr:nvSpPr>
      <xdr:spPr>
        <a:xfrm>
          <a:off x="8260849" y="107050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602516</xdr:colOff>
      <xdr:row>5</xdr:row>
      <xdr:rowOff>43663</xdr:rowOff>
    </xdr:from>
    <xdr:to>
      <xdr:col>7</xdr:col>
      <xdr:colOff>645094</xdr:colOff>
      <xdr:row>5</xdr:row>
      <xdr:rowOff>90934</xdr:rowOff>
    </xdr:to>
    <xdr:sp macro="" textlink="">
      <xdr:nvSpPr>
        <xdr:cNvPr id="316" name="Shape 203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/>
      </xdr:nvSpPr>
      <xdr:spPr>
        <a:xfrm>
          <a:off x="8334575" y="1071803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453795</xdr:colOff>
      <xdr:row>5</xdr:row>
      <xdr:rowOff>109321</xdr:rowOff>
    </xdr:from>
    <xdr:to>
      <xdr:col>7</xdr:col>
      <xdr:colOff>496373</xdr:colOff>
      <xdr:row>5</xdr:row>
      <xdr:rowOff>152525</xdr:rowOff>
    </xdr:to>
    <xdr:sp macro="" textlink="">
      <xdr:nvSpPr>
        <xdr:cNvPr id="317" name="Shape 201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/>
      </xdr:nvSpPr>
      <xdr:spPr>
        <a:xfrm>
          <a:off x="8185854" y="1137461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529658</xdr:colOff>
      <xdr:row>5</xdr:row>
      <xdr:rowOff>109321</xdr:rowOff>
    </xdr:from>
    <xdr:to>
      <xdr:col>7</xdr:col>
      <xdr:colOff>572236</xdr:colOff>
      <xdr:row>5</xdr:row>
      <xdr:rowOff>152525</xdr:rowOff>
    </xdr:to>
    <xdr:sp macro="" textlink="">
      <xdr:nvSpPr>
        <xdr:cNvPr id="318" name="Shape 202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/>
      </xdr:nvSpPr>
      <xdr:spPr>
        <a:xfrm>
          <a:off x="8261717" y="1137461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603384</xdr:colOff>
      <xdr:row>5</xdr:row>
      <xdr:rowOff>108754</xdr:rowOff>
    </xdr:from>
    <xdr:to>
      <xdr:col>7</xdr:col>
      <xdr:colOff>645962</xdr:colOff>
      <xdr:row>5</xdr:row>
      <xdr:rowOff>153821</xdr:rowOff>
    </xdr:to>
    <xdr:sp macro="" textlink="">
      <xdr:nvSpPr>
        <xdr:cNvPr id="319" name="Shape 203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/>
      </xdr:nvSpPr>
      <xdr:spPr>
        <a:xfrm>
          <a:off x="8335443" y="1136894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451048</xdr:colOff>
      <xdr:row>5</xdr:row>
      <xdr:rowOff>168116</xdr:rowOff>
    </xdr:from>
    <xdr:to>
      <xdr:col>7</xdr:col>
      <xdr:colOff>493626</xdr:colOff>
      <xdr:row>6</xdr:row>
      <xdr:rowOff>22602</xdr:rowOff>
    </xdr:to>
    <xdr:sp macro="" textlink="">
      <xdr:nvSpPr>
        <xdr:cNvPr id="320" name="Shape 201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/>
      </xdr:nvSpPr>
      <xdr:spPr>
        <a:xfrm>
          <a:off x="8183107" y="119625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526911</xdr:colOff>
      <xdr:row>5</xdr:row>
      <xdr:rowOff>168116</xdr:rowOff>
    </xdr:from>
    <xdr:to>
      <xdr:col>7</xdr:col>
      <xdr:colOff>569489</xdr:colOff>
      <xdr:row>6</xdr:row>
      <xdr:rowOff>22602</xdr:rowOff>
    </xdr:to>
    <xdr:sp macro="" textlink="">
      <xdr:nvSpPr>
        <xdr:cNvPr id="321" name="Shape 202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/>
      </xdr:nvSpPr>
      <xdr:spPr>
        <a:xfrm>
          <a:off x="8258970" y="119625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600637</xdr:colOff>
      <xdr:row>5</xdr:row>
      <xdr:rowOff>169412</xdr:rowOff>
    </xdr:from>
    <xdr:to>
      <xdr:col>7</xdr:col>
      <xdr:colOff>643215</xdr:colOff>
      <xdr:row>6</xdr:row>
      <xdr:rowOff>23898</xdr:rowOff>
    </xdr:to>
    <xdr:sp macro="" textlink="">
      <xdr:nvSpPr>
        <xdr:cNvPr id="322" name="Shape 203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/>
      </xdr:nvSpPr>
      <xdr:spPr>
        <a:xfrm>
          <a:off x="8332696" y="1197552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87923</xdr:colOff>
      <xdr:row>6</xdr:row>
      <xdr:rowOff>147660</xdr:rowOff>
    </xdr:from>
    <xdr:to>
      <xdr:col>7</xdr:col>
      <xdr:colOff>130501</xdr:colOff>
      <xdr:row>7</xdr:row>
      <xdr:rowOff>2648</xdr:rowOff>
    </xdr:to>
    <xdr:sp macro="" textlink="">
      <xdr:nvSpPr>
        <xdr:cNvPr id="323" name="Shape 201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/>
      </xdr:nvSpPr>
      <xdr:spPr>
        <a:xfrm>
          <a:off x="7819982" y="136630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163786</xdr:colOff>
      <xdr:row>6</xdr:row>
      <xdr:rowOff>147660</xdr:rowOff>
    </xdr:from>
    <xdr:to>
      <xdr:col>7</xdr:col>
      <xdr:colOff>206364</xdr:colOff>
      <xdr:row>7</xdr:row>
      <xdr:rowOff>2648</xdr:rowOff>
    </xdr:to>
    <xdr:sp macro="" textlink="">
      <xdr:nvSpPr>
        <xdr:cNvPr id="324" name="Shape 202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/>
      </xdr:nvSpPr>
      <xdr:spPr>
        <a:xfrm>
          <a:off x="7895845" y="136630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237512</xdr:colOff>
      <xdr:row>6</xdr:row>
      <xdr:rowOff>148956</xdr:rowOff>
    </xdr:from>
    <xdr:to>
      <xdr:col>7</xdr:col>
      <xdr:colOff>280090</xdr:colOff>
      <xdr:row>7</xdr:row>
      <xdr:rowOff>3944</xdr:rowOff>
    </xdr:to>
    <xdr:sp macro="" textlink="">
      <xdr:nvSpPr>
        <xdr:cNvPr id="325" name="Shape 203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/>
      </xdr:nvSpPr>
      <xdr:spPr>
        <a:xfrm>
          <a:off x="7969571" y="1367596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87055</xdr:colOff>
      <xdr:row>7</xdr:row>
      <xdr:rowOff>29480</xdr:rowOff>
    </xdr:from>
    <xdr:to>
      <xdr:col>7</xdr:col>
      <xdr:colOff>129633</xdr:colOff>
      <xdr:row>7</xdr:row>
      <xdr:rowOff>76751</xdr:rowOff>
    </xdr:to>
    <xdr:sp macro="" textlink="">
      <xdr:nvSpPr>
        <xdr:cNvPr id="326" name="Shape 201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/>
      </xdr:nvSpPr>
      <xdr:spPr>
        <a:xfrm>
          <a:off x="7819114" y="1438620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162918</xdr:colOff>
      <xdr:row>7</xdr:row>
      <xdr:rowOff>29480</xdr:rowOff>
    </xdr:from>
    <xdr:to>
      <xdr:col>7</xdr:col>
      <xdr:colOff>205496</xdr:colOff>
      <xdr:row>7</xdr:row>
      <xdr:rowOff>76751</xdr:rowOff>
    </xdr:to>
    <xdr:sp macro="" textlink="">
      <xdr:nvSpPr>
        <xdr:cNvPr id="327" name="Shape 202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/>
      </xdr:nvSpPr>
      <xdr:spPr>
        <a:xfrm>
          <a:off x="7894977" y="1438620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236644</xdr:colOff>
      <xdr:row>7</xdr:row>
      <xdr:rowOff>30776</xdr:rowOff>
    </xdr:from>
    <xdr:to>
      <xdr:col>7</xdr:col>
      <xdr:colOff>279222</xdr:colOff>
      <xdr:row>7</xdr:row>
      <xdr:rowOff>78047</xdr:rowOff>
    </xdr:to>
    <xdr:sp macro="" textlink="">
      <xdr:nvSpPr>
        <xdr:cNvPr id="328" name="Shape 203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/>
      </xdr:nvSpPr>
      <xdr:spPr>
        <a:xfrm>
          <a:off x="7968703" y="1439916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87923</xdr:colOff>
      <xdr:row>7</xdr:row>
      <xdr:rowOff>96434</xdr:rowOff>
    </xdr:from>
    <xdr:to>
      <xdr:col>7</xdr:col>
      <xdr:colOff>130501</xdr:colOff>
      <xdr:row>7</xdr:row>
      <xdr:rowOff>139638</xdr:rowOff>
    </xdr:to>
    <xdr:sp macro="" textlink="">
      <xdr:nvSpPr>
        <xdr:cNvPr id="329" name="Shape 201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>
          <a:off x="7819982" y="1505574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163786</xdr:colOff>
      <xdr:row>7</xdr:row>
      <xdr:rowOff>96434</xdr:rowOff>
    </xdr:from>
    <xdr:to>
      <xdr:col>7</xdr:col>
      <xdr:colOff>206364</xdr:colOff>
      <xdr:row>7</xdr:row>
      <xdr:rowOff>139638</xdr:rowOff>
    </xdr:to>
    <xdr:sp macro="" textlink="">
      <xdr:nvSpPr>
        <xdr:cNvPr id="330" name="Shape 202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7895845" y="1505574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237512</xdr:colOff>
      <xdr:row>7</xdr:row>
      <xdr:rowOff>95867</xdr:rowOff>
    </xdr:from>
    <xdr:to>
      <xdr:col>7</xdr:col>
      <xdr:colOff>280090</xdr:colOff>
      <xdr:row>7</xdr:row>
      <xdr:rowOff>140934</xdr:rowOff>
    </xdr:to>
    <xdr:sp macro="" textlink="">
      <xdr:nvSpPr>
        <xdr:cNvPr id="331" name="Shape 203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7969571" y="1505007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85176</xdr:colOff>
      <xdr:row>7</xdr:row>
      <xdr:rowOff>155229</xdr:rowOff>
    </xdr:from>
    <xdr:to>
      <xdr:col>7</xdr:col>
      <xdr:colOff>127754</xdr:colOff>
      <xdr:row>8</xdr:row>
      <xdr:rowOff>9715</xdr:rowOff>
    </xdr:to>
    <xdr:sp macro="" textlink="">
      <xdr:nvSpPr>
        <xdr:cNvPr id="332" name="Shape 201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/>
      </xdr:nvSpPr>
      <xdr:spPr>
        <a:xfrm>
          <a:off x="7817235" y="156436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161039</xdr:colOff>
      <xdr:row>7</xdr:row>
      <xdr:rowOff>155229</xdr:rowOff>
    </xdr:from>
    <xdr:to>
      <xdr:col>7</xdr:col>
      <xdr:colOff>203617</xdr:colOff>
      <xdr:row>8</xdr:row>
      <xdr:rowOff>9715</xdr:rowOff>
    </xdr:to>
    <xdr:sp macro="" textlink="">
      <xdr:nvSpPr>
        <xdr:cNvPr id="333" name="Shape 202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/>
      </xdr:nvSpPr>
      <xdr:spPr>
        <a:xfrm>
          <a:off x="7893098" y="156436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234765</xdr:colOff>
      <xdr:row>7</xdr:row>
      <xdr:rowOff>156525</xdr:rowOff>
    </xdr:from>
    <xdr:to>
      <xdr:col>7</xdr:col>
      <xdr:colOff>277343</xdr:colOff>
      <xdr:row>8</xdr:row>
      <xdr:rowOff>11011</xdr:rowOff>
    </xdr:to>
    <xdr:sp macro="" textlink="">
      <xdr:nvSpPr>
        <xdr:cNvPr id="334" name="Shape 203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/>
      </xdr:nvSpPr>
      <xdr:spPr>
        <a:xfrm>
          <a:off x="7966824" y="1565665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433624</xdr:colOff>
      <xdr:row>6</xdr:row>
      <xdr:rowOff>154384</xdr:rowOff>
    </xdr:from>
    <xdr:to>
      <xdr:col>7</xdr:col>
      <xdr:colOff>476202</xdr:colOff>
      <xdr:row>7</xdr:row>
      <xdr:rowOff>9372</xdr:rowOff>
    </xdr:to>
    <xdr:sp macro="" textlink="">
      <xdr:nvSpPr>
        <xdr:cNvPr id="335" name="Shape 201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/>
      </xdr:nvSpPr>
      <xdr:spPr>
        <a:xfrm>
          <a:off x="8165683" y="137302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509487</xdr:colOff>
      <xdr:row>6</xdr:row>
      <xdr:rowOff>154384</xdr:rowOff>
    </xdr:from>
    <xdr:to>
      <xdr:col>7</xdr:col>
      <xdr:colOff>552065</xdr:colOff>
      <xdr:row>7</xdr:row>
      <xdr:rowOff>9372</xdr:rowOff>
    </xdr:to>
    <xdr:sp macro="" textlink="">
      <xdr:nvSpPr>
        <xdr:cNvPr id="336" name="Shape 202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/>
      </xdr:nvSpPr>
      <xdr:spPr>
        <a:xfrm>
          <a:off x="8241546" y="137302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583213</xdr:colOff>
      <xdr:row>6</xdr:row>
      <xdr:rowOff>155680</xdr:rowOff>
    </xdr:from>
    <xdr:to>
      <xdr:col>7</xdr:col>
      <xdr:colOff>625791</xdr:colOff>
      <xdr:row>7</xdr:row>
      <xdr:rowOff>10668</xdr:rowOff>
    </xdr:to>
    <xdr:sp macro="" textlink="">
      <xdr:nvSpPr>
        <xdr:cNvPr id="337" name="Shape 203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/>
      </xdr:nvSpPr>
      <xdr:spPr>
        <a:xfrm>
          <a:off x="8315272" y="1374320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432756</xdr:colOff>
      <xdr:row>7</xdr:row>
      <xdr:rowOff>36204</xdr:rowOff>
    </xdr:from>
    <xdr:to>
      <xdr:col>7</xdr:col>
      <xdr:colOff>475334</xdr:colOff>
      <xdr:row>7</xdr:row>
      <xdr:rowOff>83475</xdr:rowOff>
    </xdr:to>
    <xdr:sp macro="" textlink="">
      <xdr:nvSpPr>
        <xdr:cNvPr id="338" name="Shape 201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/>
      </xdr:nvSpPr>
      <xdr:spPr>
        <a:xfrm>
          <a:off x="8164815" y="1445344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508619</xdr:colOff>
      <xdr:row>7</xdr:row>
      <xdr:rowOff>36204</xdr:rowOff>
    </xdr:from>
    <xdr:to>
      <xdr:col>7</xdr:col>
      <xdr:colOff>551197</xdr:colOff>
      <xdr:row>7</xdr:row>
      <xdr:rowOff>83475</xdr:rowOff>
    </xdr:to>
    <xdr:sp macro="" textlink="">
      <xdr:nvSpPr>
        <xdr:cNvPr id="339" name="Shape 202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/>
      </xdr:nvSpPr>
      <xdr:spPr>
        <a:xfrm>
          <a:off x="8240678" y="1445344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582345</xdr:colOff>
      <xdr:row>7</xdr:row>
      <xdr:rowOff>37500</xdr:rowOff>
    </xdr:from>
    <xdr:to>
      <xdr:col>7</xdr:col>
      <xdr:colOff>624923</xdr:colOff>
      <xdr:row>7</xdr:row>
      <xdr:rowOff>84771</xdr:rowOff>
    </xdr:to>
    <xdr:sp macro="" textlink="">
      <xdr:nvSpPr>
        <xdr:cNvPr id="340" name="Shape 203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/>
      </xdr:nvSpPr>
      <xdr:spPr>
        <a:xfrm>
          <a:off x="8314404" y="1446640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433624</xdr:colOff>
      <xdr:row>7</xdr:row>
      <xdr:rowOff>103158</xdr:rowOff>
    </xdr:from>
    <xdr:to>
      <xdr:col>7</xdr:col>
      <xdr:colOff>476202</xdr:colOff>
      <xdr:row>7</xdr:row>
      <xdr:rowOff>146362</xdr:rowOff>
    </xdr:to>
    <xdr:sp macro="" textlink="">
      <xdr:nvSpPr>
        <xdr:cNvPr id="341" name="Shape 201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/>
      </xdr:nvSpPr>
      <xdr:spPr>
        <a:xfrm>
          <a:off x="8165683" y="1512298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509487</xdr:colOff>
      <xdr:row>7</xdr:row>
      <xdr:rowOff>103158</xdr:rowOff>
    </xdr:from>
    <xdr:to>
      <xdr:col>7</xdr:col>
      <xdr:colOff>552065</xdr:colOff>
      <xdr:row>7</xdr:row>
      <xdr:rowOff>146362</xdr:rowOff>
    </xdr:to>
    <xdr:sp macro="" textlink="">
      <xdr:nvSpPr>
        <xdr:cNvPr id="342" name="Shape 202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/>
      </xdr:nvSpPr>
      <xdr:spPr>
        <a:xfrm>
          <a:off x="8241546" y="1512298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583213</xdr:colOff>
      <xdr:row>7</xdr:row>
      <xdr:rowOff>102591</xdr:rowOff>
    </xdr:from>
    <xdr:to>
      <xdr:col>7</xdr:col>
      <xdr:colOff>625791</xdr:colOff>
      <xdr:row>7</xdr:row>
      <xdr:rowOff>147658</xdr:rowOff>
    </xdr:to>
    <xdr:sp macro="" textlink="">
      <xdr:nvSpPr>
        <xdr:cNvPr id="343" name="Shape 203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/>
      </xdr:nvSpPr>
      <xdr:spPr>
        <a:xfrm>
          <a:off x="8315272" y="1511731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430877</xdr:colOff>
      <xdr:row>7</xdr:row>
      <xdr:rowOff>161953</xdr:rowOff>
    </xdr:from>
    <xdr:to>
      <xdr:col>7</xdr:col>
      <xdr:colOff>473455</xdr:colOff>
      <xdr:row>8</xdr:row>
      <xdr:rowOff>16439</xdr:rowOff>
    </xdr:to>
    <xdr:sp macro="" textlink="">
      <xdr:nvSpPr>
        <xdr:cNvPr id="344" name="Shape 201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/>
      </xdr:nvSpPr>
      <xdr:spPr>
        <a:xfrm>
          <a:off x="8162936" y="157109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506740</xdr:colOff>
      <xdr:row>7</xdr:row>
      <xdr:rowOff>161953</xdr:rowOff>
    </xdr:from>
    <xdr:to>
      <xdr:col>7</xdr:col>
      <xdr:colOff>549318</xdr:colOff>
      <xdr:row>8</xdr:row>
      <xdr:rowOff>16439</xdr:rowOff>
    </xdr:to>
    <xdr:sp macro="" textlink="">
      <xdr:nvSpPr>
        <xdr:cNvPr id="345" name="Shape 202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/>
      </xdr:nvSpPr>
      <xdr:spPr>
        <a:xfrm>
          <a:off x="8238799" y="157109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580466</xdr:colOff>
      <xdr:row>7</xdr:row>
      <xdr:rowOff>163249</xdr:rowOff>
    </xdr:from>
    <xdr:to>
      <xdr:col>7</xdr:col>
      <xdr:colOff>623044</xdr:colOff>
      <xdr:row>8</xdr:row>
      <xdr:rowOff>17735</xdr:rowOff>
    </xdr:to>
    <xdr:sp macro="" textlink="">
      <xdr:nvSpPr>
        <xdr:cNvPr id="346" name="Shape 203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/>
      </xdr:nvSpPr>
      <xdr:spPr>
        <a:xfrm>
          <a:off x="8312525" y="1572389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87362</xdr:colOff>
      <xdr:row>8</xdr:row>
      <xdr:rowOff>85468</xdr:rowOff>
    </xdr:from>
    <xdr:to>
      <xdr:col>7</xdr:col>
      <xdr:colOff>129940</xdr:colOff>
      <xdr:row>8</xdr:row>
      <xdr:rowOff>130956</xdr:rowOff>
    </xdr:to>
    <xdr:sp macro="" textlink="">
      <xdr:nvSpPr>
        <xdr:cNvPr id="347" name="Shape 201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/>
      </xdr:nvSpPr>
      <xdr:spPr>
        <a:xfrm>
          <a:off x="7819421" y="168510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163225</xdr:colOff>
      <xdr:row>8</xdr:row>
      <xdr:rowOff>85468</xdr:rowOff>
    </xdr:from>
    <xdr:to>
      <xdr:col>7</xdr:col>
      <xdr:colOff>205803</xdr:colOff>
      <xdr:row>8</xdr:row>
      <xdr:rowOff>130956</xdr:rowOff>
    </xdr:to>
    <xdr:sp macro="" textlink="">
      <xdr:nvSpPr>
        <xdr:cNvPr id="348" name="Shape 202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/>
      </xdr:nvSpPr>
      <xdr:spPr>
        <a:xfrm>
          <a:off x="7895284" y="1685108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236951</xdr:colOff>
      <xdr:row>8</xdr:row>
      <xdr:rowOff>86764</xdr:rowOff>
    </xdr:from>
    <xdr:to>
      <xdr:col>7</xdr:col>
      <xdr:colOff>279529</xdr:colOff>
      <xdr:row>8</xdr:row>
      <xdr:rowOff>132252</xdr:rowOff>
    </xdr:to>
    <xdr:sp macro="" textlink="">
      <xdr:nvSpPr>
        <xdr:cNvPr id="349" name="Shape 203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/>
      </xdr:nvSpPr>
      <xdr:spPr>
        <a:xfrm>
          <a:off x="7969010" y="1686404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86494</xdr:colOff>
      <xdr:row>8</xdr:row>
      <xdr:rowOff>157788</xdr:rowOff>
    </xdr:from>
    <xdr:to>
      <xdr:col>7</xdr:col>
      <xdr:colOff>129072</xdr:colOff>
      <xdr:row>9</xdr:row>
      <xdr:rowOff>14559</xdr:rowOff>
    </xdr:to>
    <xdr:sp macro="" textlink="">
      <xdr:nvSpPr>
        <xdr:cNvPr id="350" name="Shape 201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/>
      </xdr:nvSpPr>
      <xdr:spPr>
        <a:xfrm>
          <a:off x="7818553" y="1757428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162357</xdr:colOff>
      <xdr:row>8</xdr:row>
      <xdr:rowOff>157788</xdr:rowOff>
    </xdr:from>
    <xdr:to>
      <xdr:col>7</xdr:col>
      <xdr:colOff>204935</xdr:colOff>
      <xdr:row>9</xdr:row>
      <xdr:rowOff>14559</xdr:rowOff>
    </xdr:to>
    <xdr:sp macro="" textlink="">
      <xdr:nvSpPr>
        <xdr:cNvPr id="351" name="Shape 202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/>
      </xdr:nvSpPr>
      <xdr:spPr>
        <a:xfrm>
          <a:off x="7894416" y="1757428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236083</xdr:colOff>
      <xdr:row>8</xdr:row>
      <xdr:rowOff>159084</xdr:rowOff>
    </xdr:from>
    <xdr:to>
      <xdr:col>7</xdr:col>
      <xdr:colOff>278661</xdr:colOff>
      <xdr:row>9</xdr:row>
      <xdr:rowOff>15855</xdr:rowOff>
    </xdr:to>
    <xdr:sp macro="" textlink="">
      <xdr:nvSpPr>
        <xdr:cNvPr id="352" name="Shape 203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/>
      </xdr:nvSpPr>
      <xdr:spPr>
        <a:xfrm>
          <a:off x="7968142" y="1758724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87362</xdr:colOff>
      <xdr:row>9</xdr:row>
      <xdr:rowOff>34242</xdr:rowOff>
    </xdr:from>
    <xdr:to>
      <xdr:col>7</xdr:col>
      <xdr:colOff>129940</xdr:colOff>
      <xdr:row>9</xdr:row>
      <xdr:rowOff>77446</xdr:rowOff>
    </xdr:to>
    <xdr:sp macro="" textlink="">
      <xdr:nvSpPr>
        <xdr:cNvPr id="353" name="Shape 201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/>
      </xdr:nvSpPr>
      <xdr:spPr>
        <a:xfrm>
          <a:off x="7819421" y="1824382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163225</xdr:colOff>
      <xdr:row>9</xdr:row>
      <xdr:rowOff>34242</xdr:rowOff>
    </xdr:from>
    <xdr:to>
      <xdr:col>7</xdr:col>
      <xdr:colOff>205803</xdr:colOff>
      <xdr:row>9</xdr:row>
      <xdr:rowOff>77446</xdr:rowOff>
    </xdr:to>
    <xdr:sp macro="" textlink="">
      <xdr:nvSpPr>
        <xdr:cNvPr id="354" name="Shape 202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/>
      </xdr:nvSpPr>
      <xdr:spPr>
        <a:xfrm>
          <a:off x="7895284" y="1824382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236951</xdr:colOff>
      <xdr:row>9</xdr:row>
      <xdr:rowOff>33675</xdr:rowOff>
    </xdr:from>
    <xdr:to>
      <xdr:col>7</xdr:col>
      <xdr:colOff>279529</xdr:colOff>
      <xdr:row>9</xdr:row>
      <xdr:rowOff>78742</xdr:rowOff>
    </xdr:to>
    <xdr:sp macro="" textlink="">
      <xdr:nvSpPr>
        <xdr:cNvPr id="355" name="Shape 203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/>
      </xdr:nvSpPr>
      <xdr:spPr>
        <a:xfrm>
          <a:off x="7969010" y="1823815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84615</xdr:colOff>
      <xdr:row>9</xdr:row>
      <xdr:rowOff>93037</xdr:rowOff>
    </xdr:from>
    <xdr:to>
      <xdr:col>7</xdr:col>
      <xdr:colOff>127193</xdr:colOff>
      <xdr:row>9</xdr:row>
      <xdr:rowOff>138023</xdr:rowOff>
    </xdr:to>
    <xdr:sp macro="" textlink="">
      <xdr:nvSpPr>
        <xdr:cNvPr id="356" name="Shape 201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/>
      </xdr:nvSpPr>
      <xdr:spPr>
        <a:xfrm>
          <a:off x="7816674" y="188317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160478</xdr:colOff>
      <xdr:row>9</xdr:row>
      <xdr:rowOff>93037</xdr:rowOff>
    </xdr:from>
    <xdr:to>
      <xdr:col>7</xdr:col>
      <xdr:colOff>203056</xdr:colOff>
      <xdr:row>9</xdr:row>
      <xdr:rowOff>138023</xdr:rowOff>
    </xdr:to>
    <xdr:sp macro="" textlink="">
      <xdr:nvSpPr>
        <xdr:cNvPr id="357" name="Shape 202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/>
      </xdr:nvSpPr>
      <xdr:spPr>
        <a:xfrm>
          <a:off x="7892537" y="1883177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234204</xdr:colOff>
      <xdr:row>9</xdr:row>
      <xdr:rowOff>94333</xdr:rowOff>
    </xdr:from>
    <xdr:to>
      <xdr:col>7</xdr:col>
      <xdr:colOff>276782</xdr:colOff>
      <xdr:row>9</xdr:row>
      <xdr:rowOff>139319</xdr:rowOff>
    </xdr:to>
    <xdr:sp macro="" textlink="">
      <xdr:nvSpPr>
        <xdr:cNvPr id="358" name="Shape 203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/>
      </xdr:nvSpPr>
      <xdr:spPr>
        <a:xfrm>
          <a:off x="7966263" y="1884473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438666</xdr:colOff>
      <xdr:row>8</xdr:row>
      <xdr:rowOff>83787</xdr:rowOff>
    </xdr:from>
    <xdr:to>
      <xdr:col>7</xdr:col>
      <xdr:colOff>481244</xdr:colOff>
      <xdr:row>8</xdr:row>
      <xdr:rowOff>129275</xdr:rowOff>
    </xdr:to>
    <xdr:sp macro="" textlink="">
      <xdr:nvSpPr>
        <xdr:cNvPr id="359" name="Shape 201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/>
      </xdr:nvSpPr>
      <xdr:spPr>
        <a:xfrm>
          <a:off x="8170725" y="168342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514529</xdr:colOff>
      <xdr:row>8</xdr:row>
      <xdr:rowOff>83787</xdr:rowOff>
    </xdr:from>
    <xdr:to>
      <xdr:col>7</xdr:col>
      <xdr:colOff>557107</xdr:colOff>
      <xdr:row>8</xdr:row>
      <xdr:rowOff>129275</xdr:rowOff>
    </xdr:to>
    <xdr:sp macro="" textlink="">
      <xdr:nvSpPr>
        <xdr:cNvPr id="360" name="Shape 202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8246588" y="168342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588255</xdr:colOff>
      <xdr:row>8</xdr:row>
      <xdr:rowOff>85083</xdr:rowOff>
    </xdr:from>
    <xdr:to>
      <xdr:col>7</xdr:col>
      <xdr:colOff>630833</xdr:colOff>
      <xdr:row>8</xdr:row>
      <xdr:rowOff>130571</xdr:rowOff>
    </xdr:to>
    <xdr:sp macro="" textlink="">
      <xdr:nvSpPr>
        <xdr:cNvPr id="361" name="Shape 203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>
          <a:off x="8320314" y="1684723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437798</xdr:colOff>
      <xdr:row>8</xdr:row>
      <xdr:rowOff>156107</xdr:rowOff>
    </xdr:from>
    <xdr:to>
      <xdr:col>7</xdr:col>
      <xdr:colOff>480376</xdr:colOff>
      <xdr:row>9</xdr:row>
      <xdr:rowOff>12878</xdr:rowOff>
    </xdr:to>
    <xdr:sp macro="" textlink="">
      <xdr:nvSpPr>
        <xdr:cNvPr id="362" name="Shape 201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/>
      </xdr:nvSpPr>
      <xdr:spPr>
        <a:xfrm>
          <a:off x="8169857" y="175574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513661</xdr:colOff>
      <xdr:row>8</xdr:row>
      <xdr:rowOff>156107</xdr:rowOff>
    </xdr:from>
    <xdr:to>
      <xdr:col>7</xdr:col>
      <xdr:colOff>556239</xdr:colOff>
      <xdr:row>9</xdr:row>
      <xdr:rowOff>12878</xdr:rowOff>
    </xdr:to>
    <xdr:sp macro="" textlink="">
      <xdr:nvSpPr>
        <xdr:cNvPr id="370" name="Shape 202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>
          <a:off x="8245720" y="175574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587387</xdr:colOff>
      <xdr:row>8</xdr:row>
      <xdr:rowOff>157403</xdr:rowOff>
    </xdr:from>
    <xdr:to>
      <xdr:col>7</xdr:col>
      <xdr:colOff>629965</xdr:colOff>
      <xdr:row>9</xdr:row>
      <xdr:rowOff>14174</xdr:rowOff>
    </xdr:to>
    <xdr:sp macro="" textlink="">
      <xdr:nvSpPr>
        <xdr:cNvPr id="376" name="Shape 203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/>
      </xdr:nvSpPr>
      <xdr:spPr>
        <a:xfrm>
          <a:off x="8319446" y="1757043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438666</xdr:colOff>
      <xdr:row>9</xdr:row>
      <xdr:rowOff>32561</xdr:rowOff>
    </xdr:from>
    <xdr:to>
      <xdr:col>7</xdr:col>
      <xdr:colOff>481244</xdr:colOff>
      <xdr:row>9</xdr:row>
      <xdr:rowOff>75765</xdr:rowOff>
    </xdr:to>
    <xdr:sp macro="" textlink="">
      <xdr:nvSpPr>
        <xdr:cNvPr id="377" name="Shape 201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/>
      </xdr:nvSpPr>
      <xdr:spPr>
        <a:xfrm>
          <a:off x="8170725" y="1822701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514529</xdr:colOff>
      <xdr:row>9</xdr:row>
      <xdr:rowOff>32561</xdr:rowOff>
    </xdr:from>
    <xdr:to>
      <xdr:col>7</xdr:col>
      <xdr:colOff>557107</xdr:colOff>
      <xdr:row>9</xdr:row>
      <xdr:rowOff>75765</xdr:rowOff>
    </xdr:to>
    <xdr:sp macro="" textlink="">
      <xdr:nvSpPr>
        <xdr:cNvPr id="416" name="Shape 202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/>
      </xdr:nvSpPr>
      <xdr:spPr>
        <a:xfrm>
          <a:off x="8246588" y="1822701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588255</xdr:colOff>
      <xdr:row>9</xdr:row>
      <xdr:rowOff>31994</xdr:rowOff>
    </xdr:from>
    <xdr:to>
      <xdr:col>7</xdr:col>
      <xdr:colOff>630833</xdr:colOff>
      <xdr:row>9</xdr:row>
      <xdr:rowOff>77061</xdr:rowOff>
    </xdr:to>
    <xdr:sp macro="" textlink="">
      <xdr:nvSpPr>
        <xdr:cNvPr id="417" name="Shape 203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/>
      </xdr:nvSpPr>
      <xdr:spPr>
        <a:xfrm>
          <a:off x="8320314" y="1822134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435919</xdr:colOff>
      <xdr:row>9</xdr:row>
      <xdr:rowOff>91356</xdr:rowOff>
    </xdr:from>
    <xdr:to>
      <xdr:col>7</xdr:col>
      <xdr:colOff>478497</xdr:colOff>
      <xdr:row>9</xdr:row>
      <xdr:rowOff>136342</xdr:rowOff>
    </xdr:to>
    <xdr:sp macro="" textlink="">
      <xdr:nvSpPr>
        <xdr:cNvPr id="418" name="Shape 201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/>
      </xdr:nvSpPr>
      <xdr:spPr>
        <a:xfrm>
          <a:off x="8167978" y="188149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511782</xdr:colOff>
      <xdr:row>9</xdr:row>
      <xdr:rowOff>91356</xdr:rowOff>
    </xdr:from>
    <xdr:to>
      <xdr:col>7</xdr:col>
      <xdr:colOff>554360</xdr:colOff>
      <xdr:row>9</xdr:row>
      <xdr:rowOff>136342</xdr:rowOff>
    </xdr:to>
    <xdr:sp macro="" textlink="">
      <xdr:nvSpPr>
        <xdr:cNvPr id="419" name="Shape 202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/>
      </xdr:nvSpPr>
      <xdr:spPr>
        <a:xfrm>
          <a:off x="8243841" y="188149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585508</xdr:colOff>
      <xdr:row>9</xdr:row>
      <xdr:rowOff>92652</xdr:rowOff>
    </xdr:from>
    <xdr:to>
      <xdr:col>7</xdr:col>
      <xdr:colOff>628086</xdr:colOff>
      <xdr:row>9</xdr:row>
      <xdr:rowOff>137638</xdr:rowOff>
    </xdr:to>
    <xdr:sp macro="" textlink="">
      <xdr:nvSpPr>
        <xdr:cNvPr id="420" name="Shape 203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/>
      </xdr:nvSpPr>
      <xdr:spPr>
        <a:xfrm>
          <a:off x="8317567" y="1882792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92405</xdr:colOff>
      <xdr:row>10</xdr:row>
      <xdr:rowOff>14871</xdr:rowOff>
    </xdr:from>
    <xdr:to>
      <xdr:col>7</xdr:col>
      <xdr:colOff>134983</xdr:colOff>
      <xdr:row>10</xdr:row>
      <xdr:rowOff>60359</xdr:rowOff>
    </xdr:to>
    <xdr:sp macro="" textlink="">
      <xdr:nvSpPr>
        <xdr:cNvPr id="540" name="Shape 201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SpPr/>
      </xdr:nvSpPr>
      <xdr:spPr>
        <a:xfrm>
          <a:off x="7824464" y="199551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168268</xdr:colOff>
      <xdr:row>10</xdr:row>
      <xdr:rowOff>14871</xdr:rowOff>
    </xdr:from>
    <xdr:to>
      <xdr:col>7</xdr:col>
      <xdr:colOff>210846</xdr:colOff>
      <xdr:row>10</xdr:row>
      <xdr:rowOff>60359</xdr:rowOff>
    </xdr:to>
    <xdr:sp macro="" textlink="">
      <xdr:nvSpPr>
        <xdr:cNvPr id="541" name="Shape 202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SpPr/>
      </xdr:nvSpPr>
      <xdr:spPr>
        <a:xfrm>
          <a:off x="7900327" y="199551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241994</xdr:colOff>
      <xdr:row>10</xdr:row>
      <xdr:rowOff>16167</xdr:rowOff>
    </xdr:from>
    <xdr:to>
      <xdr:col>7</xdr:col>
      <xdr:colOff>284572</xdr:colOff>
      <xdr:row>10</xdr:row>
      <xdr:rowOff>61655</xdr:rowOff>
    </xdr:to>
    <xdr:sp macro="" textlink="">
      <xdr:nvSpPr>
        <xdr:cNvPr id="542" name="Shape 203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/>
      </xdr:nvSpPr>
      <xdr:spPr>
        <a:xfrm>
          <a:off x="7974053" y="199680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91537</xdr:colOff>
      <xdr:row>10</xdr:row>
      <xdr:rowOff>87191</xdr:rowOff>
    </xdr:from>
    <xdr:to>
      <xdr:col>7</xdr:col>
      <xdr:colOff>134115</xdr:colOff>
      <xdr:row>10</xdr:row>
      <xdr:rowOff>134462</xdr:rowOff>
    </xdr:to>
    <xdr:sp macro="" textlink="">
      <xdr:nvSpPr>
        <xdr:cNvPr id="543" name="Shape 201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SpPr/>
      </xdr:nvSpPr>
      <xdr:spPr>
        <a:xfrm>
          <a:off x="7823596" y="206783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167400</xdr:colOff>
      <xdr:row>10</xdr:row>
      <xdr:rowOff>87191</xdr:rowOff>
    </xdr:from>
    <xdr:to>
      <xdr:col>7</xdr:col>
      <xdr:colOff>209978</xdr:colOff>
      <xdr:row>10</xdr:row>
      <xdr:rowOff>134462</xdr:rowOff>
    </xdr:to>
    <xdr:sp macro="" textlink="">
      <xdr:nvSpPr>
        <xdr:cNvPr id="544" name="Shape 202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SpPr/>
      </xdr:nvSpPr>
      <xdr:spPr>
        <a:xfrm>
          <a:off x="7899459" y="206783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241126</xdr:colOff>
      <xdr:row>10</xdr:row>
      <xdr:rowOff>88487</xdr:rowOff>
    </xdr:from>
    <xdr:to>
      <xdr:col>7</xdr:col>
      <xdr:colOff>283704</xdr:colOff>
      <xdr:row>10</xdr:row>
      <xdr:rowOff>135758</xdr:rowOff>
    </xdr:to>
    <xdr:sp macro="" textlink="">
      <xdr:nvSpPr>
        <xdr:cNvPr id="545" name="Shape 203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SpPr/>
      </xdr:nvSpPr>
      <xdr:spPr>
        <a:xfrm>
          <a:off x="7973185" y="206912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92405</xdr:colOff>
      <xdr:row>10</xdr:row>
      <xdr:rowOff>154145</xdr:rowOff>
    </xdr:from>
    <xdr:to>
      <xdr:col>7</xdr:col>
      <xdr:colOff>134983</xdr:colOff>
      <xdr:row>10</xdr:row>
      <xdr:rowOff>197349</xdr:rowOff>
    </xdr:to>
    <xdr:sp macro="" textlink="">
      <xdr:nvSpPr>
        <xdr:cNvPr id="546" name="Shape 201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SpPr/>
      </xdr:nvSpPr>
      <xdr:spPr>
        <a:xfrm>
          <a:off x="7824464" y="2134785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168268</xdr:colOff>
      <xdr:row>10</xdr:row>
      <xdr:rowOff>154145</xdr:rowOff>
    </xdr:from>
    <xdr:to>
      <xdr:col>7</xdr:col>
      <xdr:colOff>210846</xdr:colOff>
      <xdr:row>10</xdr:row>
      <xdr:rowOff>197349</xdr:rowOff>
    </xdr:to>
    <xdr:sp macro="" textlink="">
      <xdr:nvSpPr>
        <xdr:cNvPr id="547" name="Shape 202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SpPr/>
      </xdr:nvSpPr>
      <xdr:spPr>
        <a:xfrm>
          <a:off x="7900327" y="2134785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241994</xdr:colOff>
      <xdr:row>10</xdr:row>
      <xdr:rowOff>153578</xdr:rowOff>
    </xdr:from>
    <xdr:to>
      <xdr:col>7</xdr:col>
      <xdr:colOff>284572</xdr:colOff>
      <xdr:row>10</xdr:row>
      <xdr:rowOff>198645</xdr:rowOff>
    </xdr:to>
    <xdr:sp macro="" textlink="">
      <xdr:nvSpPr>
        <xdr:cNvPr id="548" name="Shape 203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SpPr/>
      </xdr:nvSpPr>
      <xdr:spPr>
        <a:xfrm>
          <a:off x="7974053" y="2134218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89658</xdr:colOff>
      <xdr:row>11</xdr:row>
      <xdr:rowOff>14036</xdr:rowOff>
    </xdr:from>
    <xdr:to>
      <xdr:col>7</xdr:col>
      <xdr:colOff>132236</xdr:colOff>
      <xdr:row>11</xdr:row>
      <xdr:rowOff>59022</xdr:rowOff>
    </xdr:to>
    <xdr:sp macro="" textlink="">
      <xdr:nvSpPr>
        <xdr:cNvPr id="549" name="Shape 201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SpPr/>
      </xdr:nvSpPr>
      <xdr:spPr>
        <a:xfrm>
          <a:off x="7821717" y="219358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165521</xdr:colOff>
      <xdr:row>11</xdr:row>
      <xdr:rowOff>14036</xdr:rowOff>
    </xdr:from>
    <xdr:to>
      <xdr:col>7</xdr:col>
      <xdr:colOff>208099</xdr:colOff>
      <xdr:row>11</xdr:row>
      <xdr:rowOff>59022</xdr:rowOff>
    </xdr:to>
    <xdr:sp macro="" textlink="">
      <xdr:nvSpPr>
        <xdr:cNvPr id="550" name="Shape 202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SpPr/>
      </xdr:nvSpPr>
      <xdr:spPr>
        <a:xfrm>
          <a:off x="7897580" y="219358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239247</xdr:colOff>
      <xdr:row>11</xdr:row>
      <xdr:rowOff>15332</xdr:rowOff>
    </xdr:from>
    <xdr:to>
      <xdr:col>7</xdr:col>
      <xdr:colOff>281825</xdr:colOff>
      <xdr:row>11</xdr:row>
      <xdr:rowOff>60318</xdr:rowOff>
    </xdr:to>
    <xdr:sp macro="" textlink="">
      <xdr:nvSpPr>
        <xdr:cNvPr id="551" name="Shape 203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SpPr/>
      </xdr:nvSpPr>
      <xdr:spPr>
        <a:xfrm>
          <a:off x="7971306" y="219487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440908</xdr:colOff>
      <xdr:row>10</xdr:row>
      <xdr:rowOff>15991</xdr:rowOff>
    </xdr:from>
    <xdr:to>
      <xdr:col>7</xdr:col>
      <xdr:colOff>483486</xdr:colOff>
      <xdr:row>10</xdr:row>
      <xdr:rowOff>61479</xdr:rowOff>
    </xdr:to>
    <xdr:sp macro="" textlink="">
      <xdr:nvSpPr>
        <xdr:cNvPr id="552" name="Shape 201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/>
      </xdr:nvSpPr>
      <xdr:spPr>
        <a:xfrm>
          <a:off x="8172967" y="199663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516771</xdr:colOff>
      <xdr:row>10</xdr:row>
      <xdr:rowOff>15991</xdr:rowOff>
    </xdr:from>
    <xdr:to>
      <xdr:col>7</xdr:col>
      <xdr:colOff>559349</xdr:colOff>
      <xdr:row>10</xdr:row>
      <xdr:rowOff>61479</xdr:rowOff>
    </xdr:to>
    <xdr:sp macro="" textlink="">
      <xdr:nvSpPr>
        <xdr:cNvPr id="553" name="Shape 202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SpPr/>
      </xdr:nvSpPr>
      <xdr:spPr>
        <a:xfrm>
          <a:off x="8248830" y="1996631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590497</xdr:colOff>
      <xdr:row>10</xdr:row>
      <xdr:rowOff>17287</xdr:rowOff>
    </xdr:from>
    <xdr:to>
      <xdr:col>7</xdr:col>
      <xdr:colOff>633075</xdr:colOff>
      <xdr:row>10</xdr:row>
      <xdr:rowOff>62775</xdr:rowOff>
    </xdr:to>
    <xdr:sp macro="" textlink="">
      <xdr:nvSpPr>
        <xdr:cNvPr id="554" name="Shape 203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SpPr/>
      </xdr:nvSpPr>
      <xdr:spPr>
        <a:xfrm>
          <a:off x="8322556" y="1997927"/>
          <a:ext cx="42578" cy="45488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440040</xdr:colOff>
      <xdr:row>10</xdr:row>
      <xdr:rowOff>88311</xdr:rowOff>
    </xdr:from>
    <xdr:to>
      <xdr:col>7</xdr:col>
      <xdr:colOff>482618</xdr:colOff>
      <xdr:row>10</xdr:row>
      <xdr:rowOff>135582</xdr:rowOff>
    </xdr:to>
    <xdr:sp macro="" textlink="">
      <xdr:nvSpPr>
        <xdr:cNvPr id="555" name="Shape 201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SpPr/>
      </xdr:nvSpPr>
      <xdr:spPr>
        <a:xfrm>
          <a:off x="8172099" y="206895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515903</xdr:colOff>
      <xdr:row>10</xdr:row>
      <xdr:rowOff>88311</xdr:rowOff>
    </xdr:from>
    <xdr:to>
      <xdr:col>7</xdr:col>
      <xdr:colOff>558481</xdr:colOff>
      <xdr:row>10</xdr:row>
      <xdr:rowOff>135582</xdr:rowOff>
    </xdr:to>
    <xdr:sp macro="" textlink="">
      <xdr:nvSpPr>
        <xdr:cNvPr id="556" name="Shape 202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SpPr/>
      </xdr:nvSpPr>
      <xdr:spPr>
        <a:xfrm>
          <a:off x="8247962" y="2068951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589629</xdr:colOff>
      <xdr:row>10</xdr:row>
      <xdr:rowOff>89607</xdr:rowOff>
    </xdr:from>
    <xdr:to>
      <xdr:col>7</xdr:col>
      <xdr:colOff>632207</xdr:colOff>
      <xdr:row>10</xdr:row>
      <xdr:rowOff>136878</xdr:rowOff>
    </xdr:to>
    <xdr:sp macro="" textlink="">
      <xdr:nvSpPr>
        <xdr:cNvPr id="557" name="Shape 203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SpPr/>
      </xdr:nvSpPr>
      <xdr:spPr>
        <a:xfrm>
          <a:off x="8321688" y="2070247"/>
          <a:ext cx="42578" cy="47271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440908</xdr:colOff>
      <xdr:row>10</xdr:row>
      <xdr:rowOff>155265</xdr:rowOff>
    </xdr:from>
    <xdr:to>
      <xdr:col>7</xdr:col>
      <xdr:colOff>483486</xdr:colOff>
      <xdr:row>10</xdr:row>
      <xdr:rowOff>198469</xdr:rowOff>
    </xdr:to>
    <xdr:sp macro="" textlink="">
      <xdr:nvSpPr>
        <xdr:cNvPr id="558" name="Shape 201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SpPr/>
      </xdr:nvSpPr>
      <xdr:spPr>
        <a:xfrm>
          <a:off x="8172967" y="2135905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516771</xdr:colOff>
      <xdr:row>10</xdr:row>
      <xdr:rowOff>155265</xdr:rowOff>
    </xdr:from>
    <xdr:to>
      <xdr:col>7</xdr:col>
      <xdr:colOff>559349</xdr:colOff>
      <xdr:row>10</xdr:row>
      <xdr:rowOff>198469</xdr:rowOff>
    </xdr:to>
    <xdr:sp macro="" textlink="">
      <xdr:nvSpPr>
        <xdr:cNvPr id="559" name="Shape 202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SpPr/>
      </xdr:nvSpPr>
      <xdr:spPr>
        <a:xfrm>
          <a:off x="8248830" y="2135905"/>
          <a:ext cx="42578" cy="43204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590497</xdr:colOff>
      <xdr:row>10</xdr:row>
      <xdr:rowOff>154698</xdr:rowOff>
    </xdr:from>
    <xdr:to>
      <xdr:col>7</xdr:col>
      <xdr:colOff>633075</xdr:colOff>
      <xdr:row>11</xdr:row>
      <xdr:rowOff>861</xdr:rowOff>
    </xdr:to>
    <xdr:sp macro="" textlink="">
      <xdr:nvSpPr>
        <xdr:cNvPr id="560" name="Shape 203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SpPr/>
      </xdr:nvSpPr>
      <xdr:spPr>
        <a:xfrm>
          <a:off x="8322556" y="2135338"/>
          <a:ext cx="42578" cy="45067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438161</xdr:colOff>
      <xdr:row>11</xdr:row>
      <xdr:rowOff>15156</xdr:rowOff>
    </xdr:from>
    <xdr:to>
      <xdr:col>7</xdr:col>
      <xdr:colOff>480739</xdr:colOff>
      <xdr:row>11</xdr:row>
      <xdr:rowOff>60142</xdr:rowOff>
    </xdr:to>
    <xdr:sp macro="" textlink="">
      <xdr:nvSpPr>
        <xdr:cNvPr id="561" name="Shape 201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SpPr/>
      </xdr:nvSpPr>
      <xdr:spPr>
        <a:xfrm>
          <a:off x="8170220" y="219470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514024</xdr:colOff>
      <xdr:row>11</xdr:row>
      <xdr:rowOff>15156</xdr:rowOff>
    </xdr:from>
    <xdr:to>
      <xdr:col>7</xdr:col>
      <xdr:colOff>556602</xdr:colOff>
      <xdr:row>11</xdr:row>
      <xdr:rowOff>60142</xdr:rowOff>
    </xdr:to>
    <xdr:sp macro="" textlink="">
      <xdr:nvSpPr>
        <xdr:cNvPr id="562" name="Shape 202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SpPr/>
      </xdr:nvSpPr>
      <xdr:spPr>
        <a:xfrm>
          <a:off x="8246083" y="2194700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587750</xdr:colOff>
      <xdr:row>11</xdr:row>
      <xdr:rowOff>16452</xdr:rowOff>
    </xdr:from>
    <xdr:to>
      <xdr:col>7</xdr:col>
      <xdr:colOff>630328</xdr:colOff>
      <xdr:row>11</xdr:row>
      <xdr:rowOff>61438</xdr:rowOff>
    </xdr:to>
    <xdr:sp macro="" textlink="">
      <xdr:nvSpPr>
        <xdr:cNvPr id="563" name="Shape 203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SpPr/>
      </xdr:nvSpPr>
      <xdr:spPr>
        <a:xfrm>
          <a:off x="8319809" y="2195996"/>
          <a:ext cx="42578" cy="44986"/>
        </a:xfrm>
        <a:prstGeom prst="rect">
          <a:avLst/>
        </a:prstGeom>
        <a:solidFill>
          <a:schemeClr val="lt1"/>
        </a:solidFill>
        <a:ln w="127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1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67077</xdr:colOff>
      <xdr:row>0</xdr:row>
      <xdr:rowOff>201233</xdr:rowOff>
    </xdr:from>
    <xdr:to>
      <xdr:col>7</xdr:col>
      <xdr:colOff>303367</xdr:colOff>
      <xdr:row>0</xdr:row>
      <xdr:rowOff>202031</xdr:rowOff>
    </xdr:to>
    <xdr:cxnSp macro="">
      <xdr:nvCxnSpPr>
        <xdr:cNvPr id="564" name="142 Conector recto de flecha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CxnSpPr/>
      </xdr:nvCxnSpPr>
      <xdr:spPr>
        <a:xfrm flipV="1">
          <a:off x="7814524" y="201233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422588</xdr:colOff>
      <xdr:row>0</xdr:row>
      <xdr:rowOff>201232</xdr:rowOff>
    </xdr:from>
    <xdr:to>
      <xdr:col>7</xdr:col>
      <xdr:colOff>667578</xdr:colOff>
      <xdr:row>0</xdr:row>
      <xdr:rowOff>206413</xdr:rowOff>
    </xdr:to>
    <xdr:cxnSp macro="">
      <xdr:nvCxnSpPr>
        <xdr:cNvPr id="565" name="142 Conector recto de flecha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CxnSpPr/>
      </xdr:nvCxnSpPr>
      <xdr:spPr>
        <a:xfrm>
          <a:off x="8170035" y="201232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683927</xdr:colOff>
      <xdr:row>1</xdr:row>
      <xdr:rowOff>87201</xdr:rowOff>
    </xdr:from>
    <xdr:to>
      <xdr:col>6</xdr:col>
      <xdr:colOff>684162</xdr:colOff>
      <xdr:row>2</xdr:row>
      <xdr:rowOff>114051</xdr:rowOff>
    </xdr:to>
    <xdr:cxnSp macro="">
      <xdr:nvCxnSpPr>
        <xdr:cNvPr id="566" name="106 Conector recto de flecha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CxnSpPr/>
      </xdr:nvCxnSpPr>
      <xdr:spPr>
        <a:xfrm flipH="1">
          <a:off x="7666691" y="355511"/>
          <a:ext cx="235" cy="214667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680333</xdr:colOff>
      <xdr:row>3</xdr:row>
      <xdr:rowOff>24903</xdr:rowOff>
    </xdr:from>
    <xdr:to>
      <xdr:col>6</xdr:col>
      <xdr:colOff>681682</xdr:colOff>
      <xdr:row>4</xdr:row>
      <xdr:rowOff>50662</xdr:rowOff>
    </xdr:to>
    <xdr:cxnSp macro="">
      <xdr:nvCxnSpPr>
        <xdr:cNvPr id="567" name="106 Conector recto de flecha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CxnSpPr/>
      </xdr:nvCxnSpPr>
      <xdr:spPr>
        <a:xfrm>
          <a:off x="7663097" y="668847"/>
          <a:ext cx="1349" cy="213576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673336</xdr:colOff>
      <xdr:row>6</xdr:row>
      <xdr:rowOff>116991</xdr:rowOff>
    </xdr:from>
    <xdr:to>
      <xdr:col>6</xdr:col>
      <xdr:colOff>680333</xdr:colOff>
      <xdr:row>7</xdr:row>
      <xdr:rowOff>149319</xdr:rowOff>
    </xdr:to>
    <xdr:cxnSp macro="">
      <xdr:nvCxnSpPr>
        <xdr:cNvPr id="568" name="106 Conector recto de flecha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CxnSpPr/>
      </xdr:nvCxnSpPr>
      <xdr:spPr>
        <a:xfrm flipH="1">
          <a:off x="7656100" y="1324385"/>
          <a:ext cx="6997" cy="22014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676504</xdr:colOff>
      <xdr:row>4</xdr:row>
      <xdr:rowOff>178257</xdr:rowOff>
    </xdr:from>
    <xdr:to>
      <xdr:col>6</xdr:col>
      <xdr:colOff>679865</xdr:colOff>
      <xdr:row>6</xdr:row>
      <xdr:rowOff>17514</xdr:rowOff>
    </xdr:to>
    <xdr:cxnSp macro="">
      <xdr:nvCxnSpPr>
        <xdr:cNvPr id="569" name="106 Conector recto de flecha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CxnSpPr/>
      </xdr:nvCxnSpPr>
      <xdr:spPr>
        <a:xfrm>
          <a:off x="7659268" y="1010018"/>
          <a:ext cx="3361" cy="21489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657359</xdr:colOff>
      <xdr:row>8</xdr:row>
      <xdr:rowOff>82340</xdr:rowOff>
    </xdr:from>
    <xdr:to>
      <xdr:col>6</xdr:col>
      <xdr:colOff>659012</xdr:colOff>
      <xdr:row>9</xdr:row>
      <xdr:rowOff>102591</xdr:rowOff>
    </xdr:to>
    <xdr:cxnSp macro="">
      <xdr:nvCxnSpPr>
        <xdr:cNvPr id="570" name="106 Conector recto de flecha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CxnSpPr/>
      </xdr:nvCxnSpPr>
      <xdr:spPr>
        <a:xfrm>
          <a:off x="7640123" y="1665368"/>
          <a:ext cx="1653" cy="20806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684190</xdr:colOff>
      <xdr:row>10</xdr:row>
      <xdr:rowOff>26831</xdr:rowOff>
    </xdr:from>
    <xdr:to>
      <xdr:col>6</xdr:col>
      <xdr:colOff>685843</xdr:colOff>
      <xdr:row>11</xdr:row>
      <xdr:rowOff>33667</xdr:rowOff>
    </xdr:to>
    <xdr:cxnSp macro="">
      <xdr:nvCxnSpPr>
        <xdr:cNvPr id="571" name="106 Conector recto de flecha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CxnSpPr/>
      </xdr:nvCxnSpPr>
      <xdr:spPr>
        <a:xfrm>
          <a:off x="7666954" y="1985493"/>
          <a:ext cx="1653" cy="20806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46691</xdr:colOff>
      <xdr:row>1</xdr:row>
      <xdr:rowOff>107324</xdr:rowOff>
    </xdr:from>
    <xdr:to>
      <xdr:col>8</xdr:col>
      <xdr:colOff>46926</xdr:colOff>
      <xdr:row>2</xdr:row>
      <xdr:rowOff>134174</xdr:rowOff>
    </xdr:to>
    <xdr:cxnSp macro="">
      <xdr:nvCxnSpPr>
        <xdr:cNvPr id="572" name="106 Conector recto de flecha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CxnSpPr/>
      </xdr:nvCxnSpPr>
      <xdr:spPr>
        <a:xfrm flipH="1">
          <a:off x="8558821" y="375634"/>
          <a:ext cx="235" cy="214667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43097</xdr:colOff>
      <xdr:row>3</xdr:row>
      <xdr:rowOff>45026</xdr:rowOff>
    </xdr:from>
    <xdr:to>
      <xdr:col>8</xdr:col>
      <xdr:colOff>44446</xdr:colOff>
      <xdr:row>4</xdr:row>
      <xdr:rowOff>70785</xdr:rowOff>
    </xdr:to>
    <xdr:cxnSp macro="">
      <xdr:nvCxnSpPr>
        <xdr:cNvPr id="573" name="106 Conector recto de flecha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CxnSpPr/>
      </xdr:nvCxnSpPr>
      <xdr:spPr>
        <a:xfrm>
          <a:off x="8555227" y="688970"/>
          <a:ext cx="1349" cy="213576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36100</xdr:colOff>
      <xdr:row>6</xdr:row>
      <xdr:rowOff>137114</xdr:rowOff>
    </xdr:from>
    <xdr:to>
      <xdr:col>8</xdr:col>
      <xdr:colOff>43097</xdr:colOff>
      <xdr:row>7</xdr:row>
      <xdr:rowOff>169442</xdr:rowOff>
    </xdr:to>
    <xdr:cxnSp macro="">
      <xdr:nvCxnSpPr>
        <xdr:cNvPr id="574" name="106 Conector recto de flecha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CxnSpPr/>
      </xdr:nvCxnSpPr>
      <xdr:spPr>
        <a:xfrm flipH="1">
          <a:off x="8548230" y="1344508"/>
          <a:ext cx="6997" cy="22014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39268</xdr:colOff>
      <xdr:row>5</xdr:row>
      <xdr:rowOff>10564</xdr:rowOff>
    </xdr:from>
    <xdr:to>
      <xdr:col>8</xdr:col>
      <xdr:colOff>42629</xdr:colOff>
      <xdr:row>6</xdr:row>
      <xdr:rowOff>37637</xdr:rowOff>
    </xdr:to>
    <xdr:cxnSp macro="">
      <xdr:nvCxnSpPr>
        <xdr:cNvPr id="575" name="106 Conector recto de flecha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CxnSpPr/>
      </xdr:nvCxnSpPr>
      <xdr:spPr>
        <a:xfrm>
          <a:off x="8551398" y="1030141"/>
          <a:ext cx="3361" cy="21489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20123</xdr:colOff>
      <xdr:row>8</xdr:row>
      <xdr:rowOff>102463</xdr:rowOff>
    </xdr:from>
    <xdr:to>
      <xdr:col>8</xdr:col>
      <xdr:colOff>21776</xdr:colOff>
      <xdr:row>9</xdr:row>
      <xdr:rowOff>122714</xdr:rowOff>
    </xdr:to>
    <xdr:cxnSp macro="">
      <xdr:nvCxnSpPr>
        <xdr:cNvPr id="576" name="106 Conector recto de flecha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CxnSpPr/>
      </xdr:nvCxnSpPr>
      <xdr:spPr>
        <a:xfrm>
          <a:off x="8532253" y="1685491"/>
          <a:ext cx="1653" cy="20806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46954</xdr:colOff>
      <xdr:row>10</xdr:row>
      <xdr:rowOff>46954</xdr:rowOff>
    </xdr:from>
    <xdr:to>
      <xdr:col>8</xdr:col>
      <xdr:colOff>48607</xdr:colOff>
      <xdr:row>11</xdr:row>
      <xdr:rowOff>53790</xdr:rowOff>
    </xdr:to>
    <xdr:cxnSp macro="">
      <xdr:nvCxnSpPr>
        <xdr:cNvPr id="577" name="106 Conector recto de flecha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CxnSpPr/>
      </xdr:nvCxnSpPr>
      <xdr:spPr>
        <a:xfrm>
          <a:off x="8559084" y="2005616"/>
          <a:ext cx="1653" cy="20806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375371</xdr:colOff>
      <xdr:row>1</xdr:row>
      <xdr:rowOff>120739</xdr:rowOff>
    </xdr:from>
    <xdr:to>
      <xdr:col>7</xdr:col>
      <xdr:colOff>375606</xdr:colOff>
      <xdr:row>2</xdr:row>
      <xdr:rowOff>147589</xdr:rowOff>
    </xdr:to>
    <xdr:cxnSp macro="">
      <xdr:nvCxnSpPr>
        <xdr:cNvPr id="578" name="106 Conector recto de flecha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CxnSpPr/>
      </xdr:nvCxnSpPr>
      <xdr:spPr>
        <a:xfrm flipH="1">
          <a:off x="8122818" y="389049"/>
          <a:ext cx="235" cy="214667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371777</xdr:colOff>
      <xdr:row>3</xdr:row>
      <xdr:rowOff>58441</xdr:rowOff>
    </xdr:from>
    <xdr:to>
      <xdr:col>7</xdr:col>
      <xdr:colOff>373126</xdr:colOff>
      <xdr:row>4</xdr:row>
      <xdr:rowOff>84200</xdr:rowOff>
    </xdr:to>
    <xdr:cxnSp macro="">
      <xdr:nvCxnSpPr>
        <xdr:cNvPr id="579" name="106 Conector recto de flecha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CxnSpPr/>
      </xdr:nvCxnSpPr>
      <xdr:spPr>
        <a:xfrm>
          <a:off x="8119224" y="702385"/>
          <a:ext cx="1349" cy="213576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364780</xdr:colOff>
      <xdr:row>6</xdr:row>
      <xdr:rowOff>150529</xdr:rowOff>
    </xdr:from>
    <xdr:to>
      <xdr:col>7</xdr:col>
      <xdr:colOff>371777</xdr:colOff>
      <xdr:row>7</xdr:row>
      <xdr:rowOff>182857</xdr:rowOff>
    </xdr:to>
    <xdr:cxnSp macro="">
      <xdr:nvCxnSpPr>
        <xdr:cNvPr id="580" name="106 Conector recto de flecha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CxnSpPr/>
      </xdr:nvCxnSpPr>
      <xdr:spPr>
        <a:xfrm flipH="1">
          <a:off x="8112227" y="1357923"/>
          <a:ext cx="6997" cy="22014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367948</xdr:colOff>
      <xdr:row>5</xdr:row>
      <xdr:rowOff>23979</xdr:rowOff>
    </xdr:from>
    <xdr:to>
      <xdr:col>7</xdr:col>
      <xdr:colOff>371309</xdr:colOff>
      <xdr:row>6</xdr:row>
      <xdr:rowOff>51052</xdr:rowOff>
    </xdr:to>
    <xdr:cxnSp macro="">
      <xdr:nvCxnSpPr>
        <xdr:cNvPr id="581" name="106 Conector recto de flecha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CxnSpPr/>
      </xdr:nvCxnSpPr>
      <xdr:spPr>
        <a:xfrm>
          <a:off x="8115395" y="1043556"/>
          <a:ext cx="3361" cy="21489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348803</xdr:colOff>
      <xdr:row>8</xdr:row>
      <xdr:rowOff>115878</xdr:rowOff>
    </xdr:from>
    <xdr:to>
      <xdr:col>7</xdr:col>
      <xdr:colOff>350456</xdr:colOff>
      <xdr:row>9</xdr:row>
      <xdr:rowOff>136129</xdr:rowOff>
    </xdr:to>
    <xdr:cxnSp macro="">
      <xdr:nvCxnSpPr>
        <xdr:cNvPr id="582" name="106 Conector recto de flecha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CxnSpPr/>
      </xdr:nvCxnSpPr>
      <xdr:spPr>
        <a:xfrm>
          <a:off x="8096250" y="1698906"/>
          <a:ext cx="1653" cy="20806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375634</xdr:colOff>
      <xdr:row>10</xdr:row>
      <xdr:rowOff>60369</xdr:rowOff>
    </xdr:from>
    <xdr:to>
      <xdr:col>7</xdr:col>
      <xdr:colOff>377287</xdr:colOff>
      <xdr:row>11</xdr:row>
      <xdr:rowOff>67205</xdr:rowOff>
    </xdr:to>
    <xdr:cxnSp macro="">
      <xdr:nvCxnSpPr>
        <xdr:cNvPr id="583" name="106 Conector recto de flecha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CxnSpPr/>
      </xdr:nvCxnSpPr>
      <xdr:spPr>
        <a:xfrm>
          <a:off x="8123081" y="2019031"/>
          <a:ext cx="1653" cy="20806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33539</xdr:colOff>
      <xdr:row>12</xdr:row>
      <xdr:rowOff>80494</xdr:rowOff>
    </xdr:from>
    <xdr:to>
      <xdr:col>7</xdr:col>
      <xdr:colOff>269829</xdr:colOff>
      <xdr:row>12</xdr:row>
      <xdr:rowOff>81292</xdr:rowOff>
    </xdr:to>
    <xdr:cxnSp macro="">
      <xdr:nvCxnSpPr>
        <xdr:cNvPr id="584" name="142 Conector recto de flecha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CxnSpPr/>
      </xdr:nvCxnSpPr>
      <xdr:spPr>
        <a:xfrm flipV="1">
          <a:off x="7780986" y="2428205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389050</xdr:colOff>
      <xdr:row>12</xdr:row>
      <xdr:rowOff>80493</xdr:rowOff>
    </xdr:from>
    <xdr:to>
      <xdr:col>7</xdr:col>
      <xdr:colOff>634040</xdr:colOff>
      <xdr:row>12</xdr:row>
      <xdr:rowOff>85674</xdr:rowOff>
    </xdr:to>
    <xdr:cxnSp macro="">
      <xdr:nvCxnSpPr>
        <xdr:cNvPr id="585" name="142 Conector recto de flecha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CxnSpPr/>
      </xdr:nvCxnSpPr>
      <xdr:spPr>
        <a:xfrm>
          <a:off x="8136497" y="2428204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67077</xdr:colOff>
      <xdr:row>9</xdr:row>
      <xdr:rowOff>167695</xdr:rowOff>
    </xdr:from>
    <xdr:to>
      <xdr:col>7</xdr:col>
      <xdr:colOff>303367</xdr:colOff>
      <xdr:row>9</xdr:row>
      <xdr:rowOff>168493</xdr:rowOff>
    </xdr:to>
    <xdr:cxnSp macro="">
      <xdr:nvCxnSpPr>
        <xdr:cNvPr id="586" name="142 Conector recto de flecha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CxnSpPr/>
      </xdr:nvCxnSpPr>
      <xdr:spPr>
        <a:xfrm flipV="1">
          <a:off x="7814524" y="1938540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422588</xdr:colOff>
      <xdr:row>9</xdr:row>
      <xdr:rowOff>167694</xdr:rowOff>
    </xdr:from>
    <xdr:to>
      <xdr:col>7</xdr:col>
      <xdr:colOff>667578</xdr:colOff>
      <xdr:row>9</xdr:row>
      <xdr:rowOff>172875</xdr:rowOff>
    </xdr:to>
    <xdr:cxnSp macro="">
      <xdr:nvCxnSpPr>
        <xdr:cNvPr id="587" name="142 Conector recto de flecha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CxnSpPr/>
      </xdr:nvCxnSpPr>
      <xdr:spPr>
        <a:xfrm>
          <a:off x="8170035" y="1938539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53411</xdr:colOff>
      <xdr:row>8</xdr:row>
      <xdr:rowOff>44511</xdr:rowOff>
    </xdr:from>
    <xdr:to>
      <xdr:col>7</xdr:col>
      <xdr:colOff>289701</xdr:colOff>
      <xdr:row>8</xdr:row>
      <xdr:rowOff>45309</xdr:rowOff>
    </xdr:to>
    <xdr:cxnSp macro="">
      <xdr:nvCxnSpPr>
        <xdr:cNvPr id="588" name="142 Conector recto de flecha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CxnSpPr/>
      </xdr:nvCxnSpPr>
      <xdr:spPr>
        <a:xfrm flipV="1">
          <a:off x="7784684" y="1651298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408922</xdr:colOff>
      <xdr:row>8</xdr:row>
      <xdr:rowOff>44510</xdr:rowOff>
    </xdr:from>
    <xdr:to>
      <xdr:col>7</xdr:col>
      <xdr:colOff>653912</xdr:colOff>
      <xdr:row>8</xdr:row>
      <xdr:rowOff>49691</xdr:rowOff>
    </xdr:to>
    <xdr:cxnSp macro="">
      <xdr:nvCxnSpPr>
        <xdr:cNvPr id="589" name="142 Conector recto de flecha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CxnSpPr/>
      </xdr:nvCxnSpPr>
      <xdr:spPr>
        <a:xfrm>
          <a:off x="8140195" y="1651297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71216</xdr:colOff>
      <xdr:row>6</xdr:row>
      <xdr:rowOff>93471</xdr:rowOff>
    </xdr:from>
    <xdr:to>
      <xdr:col>7</xdr:col>
      <xdr:colOff>307506</xdr:colOff>
      <xdr:row>6</xdr:row>
      <xdr:rowOff>94269</xdr:rowOff>
    </xdr:to>
    <xdr:cxnSp macro="">
      <xdr:nvCxnSpPr>
        <xdr:cNvPr id="590" name="142 Conector recto de flecha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CxnSpPr/>
      </xdr:nvCxnSpPr>
      <xdr:spPr>
        <a:xfrm flipV="1">
          <a:off x="7802489" y="1317478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426727</xdr:colOff>
      <xdr:row>6</xdr:row>
      <xdr:rowOff>93470</xdr:rowOff>
    </xdr:from>
    <xdr:to>
      <xdr:col>7</xdr:col>
      <xdr:colOff>671717</xdr:colOff>
      <xdr:row>6</xdr:row>
      <xdr:rowOff>98651</xdr:rowOff>
    </xdr:to>
    <xdr:cxnSp macro="">
      <xdr:nvCxnSpPr>
        <xdr:cNvPr id="591" name="142 Conector recto de flecha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CxnSpPr/>
      </xdr:nvCxnSpPr>
      <xdr:spPr>
        <a:xfrm>
          <a:off x="8158000" y="1317477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84568</xdr:colOff>
      <xdr:row>4</xdr:row>
      <xdr:rowOff>137979</xdr:rowOff>
    </xdr:from>
    <xdr:to>
      <xdr:col>7</xdr:col>
      <xdr:colOff>320858</xdr:colOff>
      <xdr:row>4</xdr:row>
      <xdr:rowOff>138777</xdr:rowOff>
    </xdr:to>
    <xdr:cxnSp macro="">
      <xdr:nvCxnSpPr>
        <xdr:cNvPr id="592" name="142 Conector recto de flecha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CxnSpPr/>
      </xdr:nvCxnSpPr>
      <xdr:spPr>
        <a:xfrm flipV="1">
          <a:off x="7815841" y="979206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440079</xdr:colOff>
      <xdr:row>4</xdr:row>
      <xdr:rowOff>137978</xdr:rowOff>
    </xdr:from>
    <xdr:to>
      <xdr:col>7</xdr:col>
      <xdr:colOff>685069</xdr:colOff>
      <xdr:row>4</xdr:row>
      <xdr:rowOff>143159</xdr:rowOff>
    </xdr:to>
    <xdr:cxnSp macro="">
      <xdr:nvCxnSpPr>
        <xdr:cNvPr id="593" name="142 Conector recto de flecha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CxnSpPr/>
      </xdr:nvCxnSpPr>
      <xdr:spPr>
        <a:xfrm>
          <a:off x="8171352" y="979205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71215</xdr:colOff>
      <xdr:row>3</xdr:row>
      <xdr:rowOff>8903</xdr:rowOff>
    </xdr:from>
    <xdr:to>
      <xdr:col>7</xdr:col>
      <xdr:colOff>307505</xdr:colOff>
      <xdr:row>3</xdr:row>
      <xdr:rowOff>9701</xdr:rowOff>
    </xdr:to>
    <xdr:cxnSp macro="">
      <xdr:nvCxnSpPr>
        <xdr:cNvPr id="594" name="142 Conector recto de flecha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CxnSpPr/>
      </xdr:nvCxnSpPr>
      <xdr:spPr>
        <a:xfrm flipV="1">
          <a:off x="7802488" y="658739"/>
          <a:ext cx="236290" cy="79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426726</xdr:colOff>
      <xdr:row>3</xdr:row>
      <xdr:rowOff>8902</xdr:rowOff>
    </xdr:from>
    <xdr:to>
      <xdr:col>7</xdr:col>
      <xdr:colOff>671716</xdr:colOff>
      <xdr:row>3</xdr:row>
      <xdr:rowOff>14083</xdr:rowOff>
    </xdr:to>
    <xdr:cxnSp macro="">
      <xdr:nvCxnSpPr>
        <xdr:cNvPr id="595" name="142 Conector recto de flecha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CxnSpPr/>
      </xdr:nvCxnSpPr>
      <xdr:spPr>
        <a:xfrm>
          <a:off x="8157999" y="658738"/>
          <a:ext cx="244990" cy="518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597954</xdr:colOff>
      <xdr:row>9</xdr:row>
      <xdr:rowOff>61830</xdr:rowOff>
    </xdr:from>
    <xdr:to>
      <xdr:col>7</xdr:col>
      <xdr:colOff>108397</xdr:colOff>
      <xdr:row>11</xdr:row>
      <xdr:rowOff>6546</xdr:rowOff>
    </xdr:to>
    <xdr:sp macro="" textlink="">
      <xdr:nvSpPr>
        <xdr:cNvPr id="596" name="CuadroTexto 595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SpPr txBox="1"/>
      </xdr:nvSpPr>
      <xdr:spPr>
        <a:xfrm>
          <a:off x="7573616" y="1840764"/>
          <a:ext cx="273844" cy="336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</a:t>
          </a:r>
        </a:p>
      </xdr:txBody>
    </xdr:sp>
    <xdr:clientData/>
  </xdr:twoCellAnchor>
  <xdr:twoCellAnchor>
    <xdr:from>
      <xdr:col>6</xdr:col>
      <xdr:colOff>598680</xdr:colOff>
      <xdr:row>6</xdr:row>
      <xdr:rowOff>279</xdr:rowOff>
    </xdr:from>
    <xdr:to>
      <xdr:col>7</xdr:col>
      <xdr:colOff>109123</xdr:colOff>
      <xdr:row>7</xdr:row>
      <xdr:rowOff>141754</xdr:rowOff>
    </xdr:to>
    <xdr:sp macro="" textlink="">
      <xdr:nvSpPr>
        <xdr:cNvPr id="597" name="CuadroTexto 596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 txBox="1"/>
      </xdr:nvSpPr>
      <xdr:spPr>
        <a:xfrm>
          <a:off x="7574342" y="1211915"/>
          <a:ext cx="273844" cy="330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4</a:t>
          </a:r>
        </a:p>
      </xdr:txBody>
    </xdr:sp>
    <xdr:clientData/>
  </xdr:twoCellAnchor>
  <xdr:twoCellAnchor>
    <xdr:from>
      <xdr:col>6</xdr:col>
      <xdr:colOff>626481</xdr:colOff>
      <xdr:row>1</xdr:row>
      <xdr:rowOff>181813</xdr:rowOff>
    </xdr:from>
    <xdr:to>
      <xdr:col>7</xdr:col>
      <xdr:colOff>12777</xdr:colOff>
      <xdr:row>3</xdr:row>
      <xdr:rowOff>128888</xdr:rowOff>
    </xdr:to>
    <xdr:sp macro="" textlink="">
      <xdr:nvSpPr>
        <xdr:cNvPr id="598" name="CuadroTexto 597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SpPr txBox="1"/>
      </xdr:nvSpPr>
      <xdr:spPr>
        <a:xfrm>
          <a:off x="7602143" y="447953"/>
          <a:ext cx="149697" cy="325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6</a:t>
          </a:r>
        </a:p>
      </xdr:txBody>
    </xdr:sp>
    <xdr:clientData/>
  </xdr:twoCellAnchor>
  <xdr:twoCellAnchor>
    <xdr:from>
      <xdr:col>6</xdr:col>
      <xdr:colOff>610627</xdr:colOff>
      <xdr:row>0</xdr:row>
      <xdr:rowOff>30586</xdr:rowOff>
    </xdr:from>
    <xdr:to>
      <xdr:col>7</xdr:col>
      <xdr:colOff>121070</xdr:colOff>
      <xdr:row>1</xdr:row>
      <xdr:rowOff>172060</xdr:rowOff>
    </xdr:to>
    <xdr:sp macro="" textlink="">
      <xdr:nvSpPr>
        <xdr:cNvPr id="599" name="CuadroTexto 598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SpPr txBox="1"/>
      </xdr:nvSpPr>
      <xdr:spPr>
        <a:xfrm>
          <a:off x="7586289" y="30586"/>
          <a:ext cx="273844" cy="407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7</a:t>
          </a:r>
        </a:p>
      </xdr:txBody>
    </xdr:sp>
    <xdr:clientData/>
  </xdr:twoCellAnchor>
  <xdr:twoCellAnchor>
    <xdr:from>
      <xdr:col>7</xdr:col>
      <xdr:colOff>202659</xdr:colOff>
      <xdr:row>5</xdr:row>
      <xdr:rowOff>172072</xdr:rowOff>
    </xdr:from>
    <xdr:to>
      <xdr:col>7</xdr:col>
      <xdr:colOff>561312</xdr:colOff>
      <xdr:row>7</xdr:row>
      <xdr:rowOff>102035</xdr:rowOff>
    </xdr:to>
    <xdr:sp macro="" textlink="">
      <xdr:nvSpPr>
        <xdr:cNvPr id="600" name="CuadroTexto 599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SpPr txBox="1"/>
      </xdr:nvSpPr>
      <xdr:spPr>
        <a:xfrm>
          <a:off x="7941722" y="1194609"/>
          <a:ext cx="358653" cy="3081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14</a:t>
          </a:r>
        </a:p>
      </xdr:txBody>
    </xdr:sp>
    <xdr:clientData/>
  </xdr:twoCellAnchor>
  <xdr:twoCellAnchor>
    <xdr:from>
      <xdr:col>7</xdr:col>
      <xdr:colOff>202429</xdr:colOff>
      <xdr:row>2</xdr:row>
      <xdr:rowOff>37448</xdr:rowOff>
    </xdr:from>
    <xdr:to>
      <xdr:col>7</xdr:col>
      <xdr:colOff>546308</xdr:colOff>
      <xdr:row>3</xdr:row>
      <xdr:rowOff>170410</xdr:rowOff>
    </xdr:to>
    <xdr:sp macro="" textlink="">
      <xdr:nvSpPr>
        <xdr:cNvPr id="601" name="CuadroTexto 600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SpPr txBox="1"/>
      </xdr:nvSpPr>
      <xdr:spPr>
        <a:xfrm>
          <a:off x="7941492" y="492687"/>
          <a:ext cx="343879" cy="322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16</a:t>
          </a:r>
        </a:p>
      </xdr:txBody>
    </xdr:sp>
    <xdr:clientData/>
  </xdr:twoCellAnchor>
  <xdr:twoCellAnchor>
    <xdr:from>
      <xdr:col>7</xdr:col>
      <xdr:colOff>199503</xdr:colOff>
      <xdr:row>4</xdr:row>
      <xdr:rowOff>24677</xdr:rowOff>
    </xdr:from>
    <xdr:to>
      <xdr:col>7</xdr:col>
      <xdr:colOff>561452</xdr:colOff>
      <xdr:row>5</xdr:row>
      <xdr:rowOff>166151</xdr:rowOff>
    </xdr:to>
    <xdr:sp macro="" textlink="">
      <xdr:nvSpPr>
        <xdr:cNvPr id="602" name="CuadroTexto 601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SpPr txBox="1"/>
      </xdr:nvSpPr>
      <xdr:spPr>
        <a:xfrm>
          <a:off x="7938566" y="858115"/>
          <a:ext cx="361949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15</a:t>
          </a:r>
        </a:p>
      </xdr:txBody>
    </xdr:sp>
    <xdr:clientData/>
  </xdr:twoCellAnchor>
  <xdr:twoCellAnchor>
    <xdr:from>
      <xdr:col>7</xdr:col>
      <xdr:colOff>201763</xdr:colOff>
      <xdr:row>7</xdr:row>
      <xdr:rowOff>132893</xdr:rowOff>
    </xdr:from>
    <xdr:to>
      <xdr:col>7</xdr:col>
      <xdr:colOff>550564</xdr:colOff>
      <xdr:row>9</xdr:row>
      <xdr:rowOff>62855</xdr:rowOff>
    </xdr:to>
    <xdr:sp macro="" textlink="">
      <xdr:nvSpPr>
        <xdr:cNvPr id="603" name="CuadroTexto 602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SpPr txBox="1"/>
      </xdr:nvSpPr>
      <xdr:spPr>
        <a:xfrm>
          <a:off x="7940826" y="1533628"/>
          <a:ext cx="348801" cy="3081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13</a:t>
          </a:r>
        </a:p>
      </xdr:txBody>
    </xdr:sp>
    <xdr:clientData/>
  </xdr:twoCellAnchor>
  <xdr:twoCellAnchor>
    <xdr:from>
      <xdr:col>7</xdr:col>
      <xdr:colOff>208144</xdr:colOff>
      <xdr:row>0</xdr:row>
      <xdr:rowOff>0</xdr:rowOff>
    </xdr:from>
    <xdr:to>
      <xdr:col>8</xdr:col>
      <xdr:colOff>35471</xdr:colOff>
      <xdr:row>1</xdr:row>
      <xdr:rowOff>107156</xdr:rowOff>
    </xdr:to>
    <xdr:sp macro="" textlink="">
      <xdr:nvSpPr>
        <xdr:cNvPr id="604" name="CuadroTexto 603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SpPr txBox="1"/>
      </xdr:nvSpPr>
      <xdr:spPr>
        <a:xfrm flipH="1">
          <a:off x="7947207" y="0"/>
          <a:ext cx="590727" cy="373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17</a:t>
          </a:r>
        </a:p>
      </xdr:txBody>
    </xdr:sp>
    <xdr:clientData/>
  </xdr:twoCellAnchor>
  <xdr:twoCellAnchor>
    <xdr:from>
      <xdr:col>7</xdr:col>
      <xdr:colOff>187662</xdr:colOff>
      <xdr:row>11</xdr:row>
      <xdr:rowOff>75281</xdr:rowOff>
    </xdr:from>
    <xdr:to>
      <xdr:col>7</xdr:col>
      <xdr:colOff>568566</xdr:colOff>
      <xdr:row>13</xdr:row>
      <xdr:rowOff>27656</xdr:rowOff>
    </xdr:to>
    <xdr:sp macro="" textlink="">
      <xdr:nvSpPr>
        <xdr:cNvPr id="605" name="CuadroTexto 604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 txBox="1"/>
      </xdr:nvSpPr>
      <xdr:spPr>
        <a:xfrm>
          <a:off x="7926725" y="2246421"/>
          <a:ext cx="380904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11</a:t>
          </a:r>
        </a:p>
      </xdr:txBody>
    </xdr:sp>
    <xdr:clientData/>
  </xdr:twoCellAnchor>
  <xdr:twoCellAnchor>
    <xdr:from>
      <xdr:col>7</xdr:col>
      <xdr:colOff>622159</xdr:colOff>
      <xdr:row>6</xdr:row>
      <xdr:rowOff>19704</xdr:rowOff>
    </xdr:from>
    <xdr:to>
      <xdr:col>8</xdr:col>
      <xdr:colOff>218520</xdr:colOff>
      <xdr:row>7</xdr:row>
      <xdr:rowOff>161179</xdr:rowOff>
    </xdr:to>
    <xdr:sp macro="" textlink="">
      <xdr:nvSpPr>
        <xdr:cNvPr id="606" name="CuadroTexto 605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 txBox="1"/>
      </xdr:nvSpPr>
      <xdr:spPr>
        <a:xfrm>
          <a:off x="8361222" y="1231340"/>
          <a:ext cx="359761" cy="330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24</a:t>
          </a:r>
        </a:p>
      </xdr:txBody>
    </xdr:sp>
    <xdr:clientData/>
  </xdr:twoCellAnchor>
  <xdr:twoCellAnchor>
    <xdr:from>
      <xdr:col>7</xdr:col>
      <xdr:colOff>590555</xdr:colOff>
      <xdr:row>2</xdr:row>
      <xdr:rowOff>44380</xdr:rowOff>
    </xdr:from>
    <xdr:to>
      <xdr:col>8</xdr:col>
      <xdr:colOff>201493</xdr:colOff>
      <xdr:row>3</xdr:row>
      <xdr:rowOff>177341</xdr:rowOff>
    </xdr:to>
    <xdr:sp macro="" textlink="">
      <xdr:nvSpPr>
        <xdr:cNvPr id="607" name="CuadroTexto 606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SpPr txBox="1"/>
      </xdr:nvSpPr>
      <xdr:spPr>
        <a:xfrm>
          <a:off x="8329618" y="499619"/>
          <a:ext cx="374338" cy="322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26</a:t>
          </a:r>
        </a:p>
      </xdr:txBody>
    </xdr:sp>
    <xdr:clientData/>
  </xdr:twoCellAnchor>
  <xdr:twoCellAnchor>
    <xdr:from>
      <xdr:col>7</xdr:col>
      <xdr:colOff>599467</xdr:colOff>
      <xdr:row>4</xdr:row>
      <xdr:rowOff>23095</xdr:rowOff>
    </xdr:from>
    <xdr:to>
      <xdr:col>8</xdr:col>
      <xdr:colOff>217066</xdr:colOff>
      <xdr:row>5</xdr:row>
      <xdr:rowOff>164568</xdr:rowOff>
    </xdr:to>
    <xdr:sp macro="" textlink="">
      <xdr:nvSpPr>
        <xdr:cNvPr id="608" name="CuadroTexto 607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 txBox="1"/>
      </xdr:nvSpPr>
      <xdr:spPr>
        <a:xfrm>
          <a:off x="8338530" y="856533"/>
          <a:ext cx="380999" cy="330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25</a:t>
          </a:r>
        </a:p>
      </xdr:txBody>
    </xdr:sp>
    <xdr:clientData/>
  </xdr:twoCellAnchor>
  <xdr:twoCellAnchor>
    <xdr:from>
      <xdr:col>7</xdr:col>
      <xdr:colOff>619688</xdr:colOff>
      <xdr:row>7</xdr:row>
      <xdr:rowOff>148339</xdr:rowOff>
    </xdr:from>
    <xdr:to>
      <xdr:col>8</xdr:col>
      <xdr:colOff>231291</xdr:colOff>
      <xdr:row>9</xdr:row>
      <xdr:rowOff>94664</xdr:rowOff>
    </xdr:to>
    <xdr:sp macro="" textlink="">
      <xdr:nvSpPr>
        <xdr:cNvPr id="609" name="CuadroTexto 608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SpPr txBox="1"/>
      </xdr:nvSpPr>
      <xdr:spPr>
        <a:xfrm>
          <a:off x="8358751" y="1549074"/>
          <a:ext cx="375003" cy="324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23</a:t>
          </a:r>
        </a:p>
      </xdr:txBody>
    </xdr:sp>
    <xdr:clientData/>
  </xdr:twoCellAnchor>
  <xdr:twoCellAnchor>
    <xdr:from>
      <xdr:col>7</xdr:col>
      <xdr:colOff>595415</xdr:colOff>
      <xdr:row>0</xdr:row>
      <xdr:rowOff>60544</xdr:rowOff>
    </xdr:from>
    <xdr:to>
      <xdr:col>8</xdr:col>
      <xdr:colOff>451140</xdr:colOff>
      <xdr:row>2</xdr:row>
      <xdr:rowOff>1012</xdr:rowOff>
    </xdr:to>
    <xdr:sp macro="" textlink="">
      <xdr:nvSpPr>
        <xdr:cNvPr id="610" name="CuadroTexto 609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SpPr txBox="1"/>
      </xdr:nvSpPr>
      <xdr:spPr>
        <a:xfrm flipH="1">
          <a:off x="8334478" y="60544"/>
          <a:ext cx="619125" cy="395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27</a:t>
          </a:r>
        </a:p>
      </xdr:txBody>
    </xdr:sp>
    <xdr:clientData/>
  </xdr:twoCellAnchor>
  <xdr:twoCellAnchor>
    <xdr:from>
      <xdr:col>7</xdr:col>
      <xdr:colOff>622614</xdr:colOff>
      <xdr:row>9</xdr:row>
      <xdr:rowOff>86950</xdr:rowOff>
    </xdr:from>
    <xdr:to>
      <xdr:col>8</xdr:col>
      <xdr:colOff>228307</xdr:colOff>
      <xdr:row>10</xdr:row>
      <xdr:rowOff>198198</xdr:rowOff>
    </xdr:to>
    <xdr:sp macro="" textlink="">
      <xdr:nvSpPr>
        <xdr:cNvPr id="611" name="CuadroTexto 610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SpPr txBox="1"/>
      </xdr:nvSpPr>
      <xdr:spPr>
        <a:xfrm>
          <a:off x="8361677" y="1865884"/>
          <a:ext cx="369093" cy="300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22</a:t>
          </a:r>
        </a:p>
      </xdr:txBody>
    </xdr:sp>
    <xdr:clientData/>
  </xdr:twoCellAnchor>
  <xdr:twoCellAnchor>
    <xdr:from>
      <xdr:col>7</xdr:col>
      <xdr:colOff>565909</xdr:colOff>
      <xdr:row>11</xdr:row>
      <xdr:rowOff>70747</xdr:rowOff>
    </xdr:from>
    <xdr:to>
      <xdr:col>8</xdr:col>
      <xdr:colOff>218714</xdr:colOff>
      <xdr:row>13</xdr:row>
      <xdr:rowOff>23122</xdr:rowOff>
    </xdr:to>
    <xdr:sp macro="" textlink="">
      <xdr:nvSpPr>
        <xdr:cNvPr id="612" name="CuadroTexto 611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SpPr txBox="1"/>
      </xdr:nvSpPr>
      <xdr:spPr>
        <a:xfrm>
          <a:off x="8304972" y="2241887"/>
          <a:ext cx="416205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21</a:t>
          </a:r>
        </a:p>
      </xdr:txBody>
    </xdr:sp>
    <xdr:clientData/>
  </xdr:twoCellAnchor>
  <xdr:twoCellAnchor>
    <xdr:from>
      <xdr:col>8</xdr:col>
      <xdr:colOff>74812</xdr:colOff>
      <xdr:row>11</xdr:row>
      <xdr:rowOff>31409</xdr:rowOff>
    </xdr:from>
    <xdr:to>
      <xdr:col>8</xdr:col>
      <xdr:colOff>561685</xdr:colOff>
      <xdr:row>12</xdr:row>
      <xdr:rowOff>172883</xdr:rowOff>
    </xdr:to>
    <xdr:sp macro="" textlink="">
      <xdr:nvSpPr>
        <xdr:cNvPr id="613" name="CuadroTexto 612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SpPr txBox="1"/>
      </xdr:nvSpPr>
      <xdr:spPr>
        <a:xfrm>
          <a:off x="8577275" y="2202549"/>
          <a:ext cx="486873" cy="330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92</a:t>
          </a:r>
        </a:p>
      </xdr:txBody>
    </xdr:sp>
    <xdr:clientData/>
  </xdr:twoCellAnchor>
  <xdr:twoCellAnchor>
    <xdr:from>
      <xdr:col>6</xdr:col>
      <xdr:colOff>261449</xdr:colOff>
      <xdr:row>5</xdr:row>
      <xdr:rowOff>180508</xdr:rowOff>
    </xdr:from>
    <xdr:to>
      <xdr:col>6</xdr:col>
      <xdr:colOff>682685</xdr:colOff>
      <xdr:row>7</xdr:row>
      <xdr:rowOff>104977</xdr:rowOff>
    </xdr:to>
    <xdr:sp macro="" textlink="">
      <xdr:nvSpPr>
        <xdr:cNvPr id="614" name="CuadroTexto 613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SpPr txBox="1"/>
      </xdr:nvSpPr>
      <xdr:spPr>
        <a:xfrm>
          <a:off x="7237111" y="1203045"/>
          <a:ext cx="421236" cy="30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96</a:t>
          </a:r>
        </a:p>
      </xdr:txBody>
    </xdr:sp>
    <xdr:clientData/>
  </xdr:twoCellAnchor>
  <xdr:twoCellAnchor>
    <xdr:from>
      <xdr:col>6</xdr:col>
      <xdr:colOff>231121</xdr:colOff>
      <xdr:row>0</xdr:row>
      <xdr:rowOff>38060</xdr:rowOff>
    </xdr:from>
    <xdr:to>
      <xdr:col>6</xdr:col>
      <xdr:colOff>656370</xdr:colOff>
      <xdr:row>1</xdr:row>
      <xdr:rowOff>179534</xdr:rowOff>
    </xdr:to>
    <xdr:sp macro="" textlink="">
      <xdr:nvSpPr>
        <xdr:cNvPr id="615" name="CuadroTexto 614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SpPr txBox="1"/>
      </xdr:nvSpPr>
      <xdr:spPr>
        <a:xfrm>
          <a:off x="7206783" y="38060"/>
          <a:ext cx="425249" cy="407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97</a:t>
          </a:r>
        </a:p>
      </xdr:txBody>
    </xdr:sp>
    <xdr:clientData/>
  </xdr:twoCellAnchor>
  <xdr:twoCellAnchor>
    <xdr:from>
      <xdr:col>8</xdr:col>
      <xdr:colOff>79267</xdr:colOff>
      <xdr:row>0</xdr:row>
      <xdr:rowOff>9414</xdr:rowOff>
    </xdr:from>
    <xdr:to>
      <xdr:col>8</xdr:col>
      <xdr:colOff>505463</xdr:colOff>
      <xdr:row>1</xdr:row>
      <xdr:rowOff>151422</xdr:rowOff>
    </xdr:to>
    <xdr:sp macro="" textlink="">
      <xdr:nvSpPr>
        <xdr:cNvPr id="616" name="CuadroTexto 615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SpPr txBox="1"/>
      </xdr:nvSpPr>
      <xdr:spPr>
        <a:xfrm>
          <a:off x="8581730" y="9414"/>
          <a:ext cx="426196" cy="408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95</a:t>
          </a:r>
        </a:p>
      </xdr:txBody>
    </xdr:sp>
    <xdr:clientData/>
  </xdr:twoCellAnchor>
  <xdr:twoCellAnchor>
    <xdr:from>
      <xdr:col>6</xdr:col>
      <xdr:colOff>304294</xdr:colOff>
      <xdr:row>11</xdr:row>
      <xdr:rowOff>37697</xdr:rowOff>
    </xdr:from>
    <xdr:to>
      <xdr:col>7</xdr:col>
      <xdr:colOff>229</xdr:colOff>
      <xdr:row>13</xdr:row>
      <xdr:rowOff>155058</xdr:rowOff>
    </xdr:to>
    <xdr:sp macro="" textlink="">
      <xdr:nvSpPr>
        <xdr:cNvPr id="617" name="CuadroTexto 616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SpPr txBox="1"/>
      </xdr:nvSpPr>
      <xdr:spPr>
        <a:xfrm>
          <a:off x="7279956" y="2208837"/>
          <a:ext cx="459336" cy="495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94</a:t>
          </a:r>
        </a:p>
      </xdr:txBody>
    </xdr:sp>
    <xdr:clientData/>
  </xdr:twoCellAnchor>
  <xdr:twoCellAnchor>
    <xdr:from>
      <xdr:col>8</xdr:col>
      <xdr:colOff>109633</xdr:colOff>
      <xdr:row>6</xdr:row>
      <xdr:rowOff>14011</xdr:rowOff>
    </xdr:from>
    <xdr:to>
      <xdr:col>8</xdr:col>
      <xdr:colOff>511142</xdr:colOff>
      <xdr:row>8</xdr:row>
      <xdr:rowOff>125539</xdr:rowOff>
    </xdr:to>
    <xdr:sp macro="" textlink="">
      <xdr:nvSpPr>
        <xdr:cNvPr id="618" name="CuadroTexto 617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SpPr txBox="1"/>
      </xdr:nvSpPr>
      <xdr:spPr>
        <a:xfrm>
          <a:off x="8612096" y="1225647"/>
          <a:ext cx="401509" cy="489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94</a:t>
          </a:r>
        </a:p>
      </xdr:txBody>
    </xdr:sp>
    <xdr:clientData/>
  </xdr:twoCellAnchor>
  <xdr:twoCellAnchor>
    <xdr:from>
      <xdr:col>6</xdr:col>
      <xdr:colOff>595313</xdr:colOff>
      <xdr:row>7</xdr:row>
      <xdr:rowOff>126066</xdr:rowOff>
    </xdr:from>
    <xdr:to>
      <xdr:col>7</xdr:col>
      <xdr:colOff>52416</xdr:colOff>
      <xdr:row>9</xdr:row>
      <xdr:rowOff>73140</xdr:rowOff>
    </xdr:to>
    <xdr:sp macro="" textlink="">
      <xdr:nvSpPr>
        <xdr:cNvPr id="620" name="CuadroTexto 619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SpPr txBox="1"/>
      </xdr:nvSpPr>
      <xdr:spPr>
        <a:xfrm>
          <a:off x="7570975" y="1526801"/>
          <a:ext cx="220504" cy="325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3</a:t>
          </a:r>
        </a:p>
      </xdr:txBody>
    </xdr:sp>
    <xdr:clientData/>
  </xdr:twoCellAnchor>
  <xdr:twoCellAnchor>
    <xdr:from>
      <xdr:col>7</xdr:col>
      <xdr:colOff>166218</xdr:colOff>
      <xdr:row>9</xdr:row>
      <xdr:rowOff>57875</xdr:rowOff>
    </xdr:from>
    <xdr:to>
      <xdr:col>7</xdr:col>
      <xdr:colOff>535311</xdr:colOff>
      <xdr:row>10</xdr:row>
      <xdr:rowOff>69780</xdr:rowOff>
    </xdr:to>
    <xdr:sp macro="" textlink="">
      <xdr:nvSpPr>
        <xdr:cNvPr id="621" name="CuadroTexto 620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SpPr txBox="1"/>
      </xdr:nvSpPr>
      <xdr:spPr>
        <a:xfrm>
          <a:off x="7905281" y="1836809"/>
          <a:ext cx="369093" cy="201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12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96</xdr:row>
      <xdr:rowOff>0</xdr:rowOff>
    </xdr:from>
    <xdr:ext cx="523875" cy="4352925"/>
    <xdr:sp macro="" textlink="">
      <xdr:nvSpPr>
        <xdr:cNvPr id="2" name="Shape 69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8458200" y="15544800"/>
          <a:ext cx="523875" cy="43529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114300</xdr:colOff>
      <xdr:row>67</xdr:row>
      <xdr:rowOff>66675</xdr:rowOff>
    </xdr:from>
    <xdr:ext cx="523875" cy="4362450"/>
    <xdr:sp macro="" textlink="">
      <xdr:nvSpPr>
        <xdr:cNvPr id="3" name="Shape 69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448675" y="10915650"/>
          <a:ext cx="523875" cy="43624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0</xdr:rowOff>
    </xdr:from>
    <xdr:ext cx="762000" cy="66675"/>
    <xdr:sp macro="" textlink="">
      <xdr:nvSpPr>
        <xdr:cNvPr id="4" name="Shape 69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8334375" y="10201275"/>
          <a:ext cx="762000" cy="666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57150</xdr:rowOff>
    </xdr:from>
    <xdr:ext cx="762000" cy="590550"/>
    <xdr:sp macro="" textlink="">
      <xdr:nvSpPr>
        <xdr:cNvPr id="5" name="Shape 69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8334375" y="10258425"/>
          <a:ext cx="762000" cy="5905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58</xdr:row>
      <xdr:rowOff>142875</xdr:rowOff>
    </xdr:from>
    <xdr:ext cx="752475" cy="714375"/>
    <xdr:sp macro="" textlink="">
      <xdr:nvSpPr>
        <xdr:cNvPr id="6" name="Shape 69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8334375" y="9534525"/>
          <a:ext cx="752475" cy="7143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59</xdr:row>
      <xdr:rowOff>133350</xdr:rowOff>
    </xdr:from>
    <xdr:ext cx="78105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10256520" y="11075670"/>
          <a:ext cx="781050" cy="38100"/>
          <a:chOff x="4955475" y="3780000"/>
          <a:chExt cx="781050" cy="0"/>
        </a:xfrm>
      </xdr:grpSpPr>
      <xdr:cxnSp macro="">
        <xdr:nvCxnSpPr>
          <xdr:cNvPr id="8" name="Shape 695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638175</xdr:colOff>
      <xdr:row>60</xdr:row>
      <xdr:rowOff>152400</xdr:rowOff>
    </xdr:from>
    <xdr:ext cx="38100" cy="4286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pSpPr/>
      </xdr:nvGrpSpPr>
      <xdr:grpSpPr>
        <a:xfrm>
          <a:off x="10102215" y="11277600"/>
          <a:ext cx="38100" cy="428625"/>
          <a:chOff x="5346000" y="3565688"/>
          <a:chExt cx="0" cy="428625"/>
        </a:xfrm>
      </xdr:grpSpPr>
      <xdr:cxnSp macro="">
        <xdr:nvCxnSpPr>
          <xdr:cNvPr id="10" name="Shape 696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CxnSpPr/>
        </xdr:nvCxnSpPr>
        <xdr:spPr>
          <a:xfrm rot="10800000">
            <a:off x="5346000" y="3565688"/>
            <a:ext cx="0" cy="4286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285750</xdr:colOff>
      <xdr:row>62</xdr:row>
      <xdr:rowOff>9525</xdr:rowOff>
    </xdr:from>
    <xdr:ext cx="38100" cy="20955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11334750" y="11500485"/>
          <a:ext cx="38100" cy="209550"/>
          <a:chOff x="5346000" y="3675225"/>
          <a:chExt cx="0" cy="209550"/>
        </a:xfrm>
      </xdr:grpSpPr>
      <xdr:cxnSp macro="">
        <xdr:nvCxnSpPr>
          <xdr:cNvPr id="12" name="Shape 697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CxnSpPr/>
        </xdr:nvCxnSpPr>
        <xdr:spPr>
          <a:xfrm rot="10800000">
            <a:off x="5346000" y="3675225"/>
            <a:ext cx="0" cy="2095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133350</xdr:colOff>
      <xdr:row>63</xdr:row>
      <xdr:rowOff>47625</xdr:rowOff>
    </xdr:from>
    <xdr:ext cx="28575" cy="12382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/>
      </xdr:nvGrpSpPr>
      <xdr:grpSpPr>
        <a:xfrm>
          <a:off x="11182350" y="11721465"/>
          <a:ext cx="28575" cy="123825"/>
          <a:chOff x="5341238" y="3718088"/>
          <a:chExt cx="9525" cy="123825"/>
        </a:xfrm>
      </xdr:grpSpPr>
      <xdr:cxnSp macro="">
        <xdr:nvCxnSpPr>
          <xdr:cNvPr id="14" name="Shape 698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CxnSpPr/>
        </xdr:nvCxnSpPr>
        <xdr:spPr>
          <a:xfrm rot="10800000" flipH="1">
            <a:off x="5341238" y="3718088"/>
            <a:ext cx="9525" cy="123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142875</xdr:colOff>
      <xdr:row>62</xdr:row>
      <xdr:rowOff>114300</xdr:rowOff>
    </xdr:from>
    <xdr:ext cx="38100" cy="666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pSpPr/>
      </xdr:nvGrpSpPr>
      <xdr:grpSpPr>
        <a:xfrm>
          <a:off x="11191875" y="11605260"/>
          <a:ext cx="38100" cy="66675"/>
          <a:chOff x="5346000" y="3746663"/>
          <a:chExt cx="0" cy="66675"/>
        </a:xfrm>
      </xdr:grpSpPr>
      <xdr:cxnSp macro="">
        <xdr:nvCxnSpPr>
          <xdr:cNvPr id="16" name="Shape 699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CxnSpPr/>
        </xdr:nvCxnSpPr>
        <xdr:spPr>
          <a:xfrm>
            <a:off x="5346000" y="3746663"/>
            <a:ext cx="0" cy="66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38100</xdr:colOff>
      <xdr:row>63</xdr:row>
      <xdr:rowOff>47625</xdr:rowOff>
    </xdr:from>
    <xdr:ext cx="12573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pSpPr/>
      </xdr:nvGrpSpPr>
      <xdr:grpSpPr>
        <a:xfrm>
          <a:off x="11087100" y="11721465"/>
          <a:ext cx="1257300" cy="38100"/>
          <a:chOff x="4717350" y="3780000"/>
          <a:chExt cx="1257300" cy="0"/>
        </a:xfrm>
      </xdr:grpSpPr>
      <xdr:cxnSp macro="">
        <xdr:nvCxnSpPr>
          <xdr:cNvPr id="18" name="Shape 700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CxnSpPr/>
        </xdr:nvCxnSpPr>
        <xdr:spPr>
          <a:xfrm>
            <a:off x="4717350" y="3780000"/>
            <a:ext cx="1257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7</xdr:col>
      <xdr:colOff>95250</xdr:colOff>
      <xdr:row>63</xdr:row>
      <xdr:rowOff>57150</xdr:rowOff>
    </xdr:from>
    <xdr:ext cx="38100" cy="58102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pSpPr/>
      </xdr:nvGrpSpPr>
      <xdr:grpSpPr>
        <a:xfrm>
          <a:off x="11936730" y="11730990"/>
          <a:ext cx="38100" cy="581025"/>
          <a:chOff x="5346000" y="3489488"/>
          <a:chExt cx="0" cy="581025"/>
        </a:xfrm>
      </xdr:grpSpPr>
      <xdr:cxnSp macro="">
        <xdr:nvCxnSpPr>
          <xdr:cNvPr id="20" name="Shape 701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0</xdr:colOff>
      <xdr:row>69</xdr:row>
      <xdr:rowOff>9525</xdr:rowOff>
    </xdr:from>
    <xdr:ext cx="762000" cy="3724275"/>
    <xdr:sp macro="" textlink="">
      <xdr:nvSpPr>
        <xdr:cNvPr id="21" name="Shape 70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34375" y="11182350"/>
          <a:ext cx="762000" cy="3724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133350</xdr:colOff>
      <xdr:row>69</xdr:row>
      <xdr:rowOff>9525</xdr:rowOff>
    </xdr:from>
    <xdr:ext cx="28575" cy="370522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pSpPr/>
      </xdr:nvGrpSpPr>
      <xdr:grpSpPr>
        <a:xfrm>
          <a:off x="11182350" y="12780645"/>
          <a:ext cx="28575" cy="3705225"/>
          <a:chOff x="5341238" y="1927388"/>
          <a:chExt cx="9525" cy="3705225"/>
        </a:xfrm>
      </xdr:grpSpPr>
      <xdr:cxnSp macro="">
        <xdr:nvCxnSpPr>
          <xdr:cNvPr id="23" name="Shape 703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CxnSpPr/>
        </xdr:nvCxnSpPr>
        <xdr:spPr>
          <a:xfrm flipH="1">
            <a:off x="5341238" y="1927388"/>
            <a:ext cx="9525" cy="37052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152400</xdr:colOff>
      <xdr:row>95</xdr:row>
      <xdr:rowOff>0</xdr:rowOff>
    </xdr:from>
    <xdr:ext cx="476250" cy="381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pSpPr/>
      </xdr:nvGrpSpPr>
      <xdr:grpSpPr>
        <a:xfrm>
          <a:off x="10408920" y="17548860"/>
          <a:ext cx="476250" cy="38100"/>
          <a:chOff x="5107875" y="3780000"/>
          <a:chExt cx="476250" cy="0"/>
        </a:xfrm>
      </xdr:grpSpPr>
      <xdr:cxnSp macro="">
        <xdr:nvCxnSpPr>
          <xdr:cNvPr id="25" name="Shape 70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CxnSpPr/>
        </xdr:nvCxnSpPr>
        <xdr:spPr>
          <a:xfrm>
            <a:off x="5107875" y="3780000"/>
            <a:ext cx="476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657225</xdr:colOff>
      <xdr:row>92</xdr:row>
      <xdr:rowOff>28575</xdr:rowOff>
    </xdr:from>
    <xdr:ext cx="104775" cy="133350"/>
    <xdr:sp macro="" textlink="">
      <xdr:nvSpPr>
        <xdr:cNvPr id="26" name="Shape 70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rot="5400000">
          <a:off x="8977313" y="14939962"/>
          <a:ext cx="133350" cy="104775"/>
        </a:xfrm>
        <a:prstGeom prst="rtTriangl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9525</xdr:colOff>
      <xdr:row>92</xdr:row>
      <xdr:rowOff>28575</xdr:rowOff>
    </xdr:from>
    <xdr:ext cx="95250" cy="133350"/>
    <xdr:sp macro="" textlink="">
      <xdr:nvSpPr>
        <xdr:cNvPr id="27" name="Shape 70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 rot="-5400000" flipH="1">
          <a:off x="8324850" y="14944725"/>
          <a:ext cx="133350" cy="95250"/>
        </a:xfrm>
        <a:prstGeom prst="rtTriangl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657225</xdr:colOff>
      <xdr:row>68</xdr:row>
      <xdr:rowOff>38100</xdr:rowOff>
    </xdr:from>
    <xdr:ext cx="104775" cy="133350"/>
    <xdr:sp macro="" textlink="">
      <xdr:nvSpPr>
        <xdr:cNvPr id="28" name="Shape 70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 rot="5400000" flipH="1">
          <a:off x="8977313" y="11063287"/>
          <a:ext cx="133350" cy="104775"/>
        </a:xfrm>
        <a:prstGeom prst="rtTriangl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68</xdr:row>
      <xdr:rowOff>38100</xdr:rowOff>
    </xdr:from>
    <xdr:ext cx="95250" cy="133350"/>
    <xdr:sp macro="" textlink="">
      <xdr:nvSpPr>
        <xdr:cNvPr id="29" name="Shape 70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 rot="-5400000">
          <a:off x="8334375" y="11068050"/>
          <a:ext cx="133350" cy="95250"/>
        </a:xfrm>
        <a:prstGeom prst="rtTriangl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133350</xdr:colOff>
      <xdr:row>105</xdr:row>
      <xdr:rowOff>47625</xdr:rowOff>
    </xdr:from>
    <xdr:ext cx="114300" cy="838200"/>
    <xdr:sp macro="" textlink="">
      <xdr:nvSpPr>
        <xdr:cNvPr id="30" name="Shape 70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 rot="-5400000">
          <a:off x="8105775" y="17411700"/>
          <a:ext cx="838200" cy="114300"/>
        </a:xfrm>
        <a:custGeom>
          <a:avLst/>
          <a:gdLst/>
          <a:ahLst/>
          <a:cxnLst/>
          <a:rect l="l" t="t" r="r" b="b"/>
          <a:pathLst>
            <a:path w="21600" h="21600" extrusionOk="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533400</xdr:colOff>
      <xdr:row>105</xdr:row>
      <xdr:rowOff>57150</xdr:rowOff>
    </xdr:from>
    <xdr:ext cx="114300" cy="838200"/>
    <xdr:sp macro="" textlink="">
      <xdr:nvSpPr>
        <xdr:cNvPr id="31" name="Shape 71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 rot="5400000">
          <a:off x="8505825" y="17421225"/>
          <a:ext cx="838200" cy="114300"/>
        </a:xfrm>
        <a:custGeom>
          <a:avLst/>
          <a:gdLst/>
          <a:ahLst/>
          <a:cxnLst/>
          <a:rect l="l" t="t" r="r" b="b"/>
          <a:pathLst>
            <a:path w="21600" h="21600" extrusionOk="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</xdr:sp>
    <xdr:clientData fLocksWithSheet="0"/>
  </xdr:oneCellAnchor>
  <xdr:oneCellAnchor>
    <xdr:from>
      <xdr:col>5</xdr:col>
      <xdr:colOff>257175</xdr:colOff>
      <xdr:row>106</xdr:row>
      <xdr:rowOff>95250</xdr:rowOff>
    </xdr:from>
    <xdr:ext cx="257175" cy="419100"/>
    <xdr:sp macro="" textlink="">
      <xdr:nvSpPr>
        <xdr:cNvPr id="32" name="Shape 711" descr="Vertical clara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591550" y="17259300"/>
          <a:ext cx="257175" cy="419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400050</xdr:colOff>
      <xdr:row>107</xdr:row>
      <xdr:rowOff>123825</xdr:rowOff>
    </xdr:from>
    <xdr:ext cx="685800" cy="247650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pSpPr/>
      </xdr:nvGrpSpPr>
      <xdr:grpSpPr>
        <a:xfrm>
          <a:off x="9864090" y="19867245"/>
          <a:ext cx="685800" cy="247650"/>
          <a:chOff x="5007863" y="3660938"/>
          <a:chExt cx="676275" cy="238125"/>
        </a:xfrm>
      </xdr:grpSpPr>
      <xdr:cxnSp macro="">
        <xdr:nvCxnSpPr>
          <xdr:cNvPr id="34" name="Shape 712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CxnSpPr/>
        </xdr:nvCxnSpPr>
        <xdr:spPr>
          <a:xfrm rot="10800000" flipH="1">
            <a:off x="5007863" y="3660938"/>
            <a:ext cx="676275" cy="2381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266700</xdr:colOff>
      <xdr:row>110</xdr:row>
      <xdr:rowOff>57150</xdr:rowOff>
    </xdr:from>
    <xdr:ext cx="247650" cy="38100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pSpPr/>
      </xdr:nvGrpSpPr>
      <xdr:grpSpPr>
        <a:xfrm>
          <a:off x="10523220" y="20349210"/>
          <a:ext cx="247650" cy="38100"/>
          <a:chOff x="5222175" y="3780000"/>
          <a:chExt cx="247650" cy="0"/>
        </a:xfrm>
      </xdr:grpSpPr>
      <xdr:cxnSp macro="">
        <xdr:nvCxnSpPr>
          <xdr:cNvPr id="36" name="Shape 713">
            <a:extLst>
              <a:ext uri="{FF2B5EF4-FFF2-40B4-BE49-F238E27FC236}">
                <a16:creationId xmlns:a16="http://schemas.microsoft.com/office/drawing/2014/main" id="{00000000-0008-0000-0700-000024000000}"/>
              </a:ext>
            </a:extLst>
          </xdr:cNvPr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676275</xdr:colOff>
      <xdr:row>110</xdr:row>
      <xdr:rowOff>114300</xdr:rowOff>
    </xdr:from>
    <xdr:ext cx="495300" cy="2190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pSpPr/>
      </xdr:nvGrpSpPr>
      <xdr:grpSpPr>
        <a:xfrm>
          <a:off x="10140315" y="20406360"/>
          <a:ext cx="495300" cy="219075"/>
          <a:chOff x="5103113" y="3675225"/>
          <a:chExt cx="485775" cy="209550"/>
        </a:xfrm>
      </xdr:grpSpPr>
      <xdr:cxnSp macro="">
        <xdr:nvCxnSpPr>
          <xdr:cNvPr id="38" name="Shape 714">
            <a:extLst>
              <a:ext uri="{FF2B5EF4-FFF2-40B4-BE49-F238E27FC236}">
                <a16:creationId xmlns:a16="http://schemas.microsoft.com/office/drawing/2014/main" id="{00000000-0008-0000-0700-000026000000}"/>
              </a:ext>
            </a:extLst>
          </xdr:cNvPr>
          <xdr:cNvCxnSpPr/>
        </xdr:nvCxnSpPr>
        <xdr:spPr>
          <a:xfrm rot="10800000" flipH="1">
            <a:off x="5103113" y="3675225"/>
            <a:ext cx="485775" cy="2095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323850</xdr:colOff>
      <xdr:row>113</xdr:row>
      <xdr:rowOff>114300</xdr:rowOff>
    </xdr:from>
    <xdr:ext cx="152400" cy="1047750"/>
    <xdr:grpSp>
      <xdr:nvGrpSpPr>
        <xdr:cNvPr id="39" name="Shape 2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pSpPr/>
      </xdr:nvGrpSpPr>
      <xdr:grpSpPr>
        <a:xfrm>
          <a:off x="10580370" y="20955000"/>
          <a:ext cx="152400" cy="1047750"/>
          <a:chOff x="5269800" y="3256124"/>
          <a:chExt cx="152400" cy="1047751"/>
        </a:xfrm>
      </xdr:grpSpPr>
      <xdr:grpSp>
        <xdr:nvGrpSpPr>
          <xdr:cNvPr id="40" name="Shape 715">
            <a:extLst>
              <a:ext uri="{FF2B5EF4-FFF2-40B4-BE49-F238E27FC236}">
                <a16:creationId xmlns:a16="http://schemas.microsoft.com/office/drawing/2014/main" id="{00000000-0008-0000-0700-000028000000}"/>
              </a:ext>
            </a:extLst>
          </xdr:cNvPr>
          <xdr:cNvGrpSpPr/>
        </xdr:nvGrpSpPr>
        <xdr:grpSpPr>
          <a:xfrm>
            <a:off x="5269800" y="3256124"/>
            <a:ext cx="152400" cy="1047751"/>
            <a:chOff x="798" y="2280"/>
            <a:chExt cx="16" cy="110"/>
          </a:xfrm>
        </xdr:grpSpPr>
        <xdr:sp macro="" textlink="">
          <xdr:nvSpPr>
            <xdr:cNvPr id="41" name="Shape 9">
              <a:extLst>
                <a:ext uri="{FF2B5EF4-FFF2-40B4-BE49-F238E27FC236}">
                  <a16:creationId xmlns:a16="http://schemas.microsoft.com/office/drawing/2014/main" id="{00000000-0008-0000-0700-000029000000}"/>
                </a:ext>
              </a:extLst>
            </xdr:cNvPr>
            <xdr:cNvSpPr/>
          </xdr:nvSpPr>
          <xdr:spPr>
            <a:xfrm>
              <a:off x="798" y="2280"/>
              <a:ext cx="0" cy="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2" name="Shape 716">
              <a:extLst>
                <a:ext uri="{FF2B5EF4-FFF2-40B4-BE49-F238E27FC236}">
                  <a16:creationId xmlns:a16="http://schemas.microsoft.com/office/drawing/2014/main" id="{00000000-0008-0000-0700-00002A000000}"/>
                </a:ext>
              </a:extLst>
            </xdr:cNvPr>
            <xdr:cNvCxnSpPr/>
          </xdr:nvCxnSpPr>
          <xdr:spPr>
            <a:xfrm rot="10800000" flipH="1">
              <a:off x="805" y="2280"/>
              <a:ext cx="1" cy="2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sp macro="" textlink="">
          <xdr:nvSpPr>
            <xdr:cNvPr id="43" name="Shape 717">
              <a:extLst>
                <a:ext uri="{FF2B5EF4-FFF2-40B4-BE49-F238E27FC236}">
                  <a16:creationId xmlns:a16="http://schemas.microsoft.com/office/drawing/2014/main" id="{00000000-0008-0000-0700-00002B000000}"/>
                </a:ext>
              </a:extLst>
            </xdr:cNvPr>
            <xdr:cNvSpPr/>
          </xdr:nvSpPr>
          <xdr:spPr>
            <a:xfrm>
              <a:off x="798" y="2302"/>
              <a:ext cx="16" cy="88"/>
            </a:xfrm>
            <a:custGeom>
              <a:avLst/>
              <a:gdLst/>
              <a:ahLst/>
              <a:cxnLst/>
              <a:rect l="l" t="t" r="r" b="b"/>
              <a:pathLst>
                <a:path w="16" h="88" extrusionOk="0">
                  <a:moveTo>
                    <a:pt x="7" y="0"/>
                  </a:moveTo>
                  <a:cubicBezTo>
                    <a:pt x="5" y="3"/>
                    <a:pt x="2" y="6"/>
                    <a:pt x="0" y="9"/>
                  </a:cubicBezTo>
                  <a:cubicBezTo>
                    <a:pt x="1" y="13"/>
                    <a:pt x="3" y="19"/>
                    <a:pt x="7" y="20"/>
                  </a:cubicBezTo>
                  <a:cubicBezTo>
                    <a:pt x="10" y="23"/>
                    <a:pt x="11" y="26"/>
                    <a:pt x="13" y="29"/>
                  </a:cubicBezTo>
                  <a:cubicBezTo>
                    <a:pt x="12" y="35"/>
                    <a:pt x="11" y="35"/>
                    <a:pt x="6" y="37"/>
                  </a:cubicBezTo>
                  <a:cubicBezTo>
                    <a:pt x="2" y="43"/>
                    <a:pt x="3" y="48"/>
                    <a:pt x="9" y="52"/>
                  </a:cubicBezTo>
                  <a:cubicBezTo>
                    <a:pt x="16" y="62"/>
                    <a:pt x="10" y="76"/>
                    <a:pt x="10" y="88"/>
                  </a:cubicBez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5</xdr:col>
      <xdr:colOff>133350</xdr:colOff>
      <xdr:row>112</xdr:row>
      <xdr:rowOff>114300</xdr:rowOff>
    </xdr:from>
    <xdr:ext cx="523875" cy="381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pSpPr/>
      </xdr:nvGrpSpPr>
      <xdr:grpSpPr>
        <a:xfrm>
          <a:off x="10389870" y="20772120"/>
          <a:ext cx="523875" cy="38100"/>
          <a:chOff x="5084063" y="3780000"/>
          <a:chExt cx="523875" cy="0"/>
        </a:xfrm>
      </xdr:grpSpPr>
      <xdr:cxnSp macro="">
        <xdr:nvCxnSpPr>
          <xdr:cNvPr id="45" name="Shape 718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114300</xdr:colOff>
      <xdr:row>104</xdr:row>
      <xdr:rowOff>85725</xdr:rowOff>
    </xdr:from>
    <xdr:ext cx="552450" cy="323850"/>
    <xdr:sp macro="" textlink="">
      <xdr:nvSpPr>
        <xdr:cNvPr id="46" name="Shape 719" descr="40%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8448675" y="16925925"/>
          <a:ext cx="552450" cy="323850"/>
        </a:xfrm>
        <a:prstGeom prst="rect">
          <a:avLst/>
        </a:prstGeom>
        <a:solidFill>
          <a:srgbClr val="FFFFFF">
            <a:alpha val="25490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190500</xdr:colOff>
      <xdr:row>109</xdr:row>
      <xdr:rowOff>47625</xdr:rowOff>
    </xdr:from>
    <xdr:ext cx="38100" cy="581025"/>
    <xdr:grpSp>
      <xdr:nvGrpSpPr>
        <xdr:cNvPr id="47" name="Shape 2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pSpPr/>
      </xdr:nvGrpSpPr>
      <xdr:grpSpPr>
        <a:xfrm>
          <a:off x="11239500" y="20156805"/>
          <a:ext cx="38100" cy="581025"/>
          <a:chOff x="5346000" y="3489488"/>
          <a:chExt cx="0" cy="581025"/>
        </a:xfrm>
      </xdr:grpSpPr>
      <xdr:cxnSp macro="">
        <xdr:nvCxnSpPr>
          <xdr:cNvPr id="48" name="Shape 720">
            <a:extLst>
              <a:ext uri="{FF2B5EF4-FFF2-40B4-BE49-F238E27FC236}">
                <a16:creationId xmlns:a16="http://schemas.microsoft.com/office/drawing/2014/main" id="{00000000-0008-0000-0700-000030000000}"/>
              </a:ext>
            </a:extLst>
          </xdr:cNvPr>
          <xdr:cNvCxnSpPr/>
        </xdr:nvCxnSpPr>
        <xdr:spPr>
          <a:xfrm rot="10800000">
            <a:off x="5346000" y="3489488"/>
            <a:ext cx="0" cy="5810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190500</xdr:colOff>
      <xdr:row>106</xdr:row>
      <xdr:rowOff>114300</xdr:rowOff>
    </xdr:from>
    <xdr:ext cx="38100" cy="428625"/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GrpSpPr/>
      </xdr:nvGrpSpPr>
      <xdr:grpSpPr>
        <a:xfrm>
          <a:off x="11239500" y="19674840"/>
          <a:ext cx="38100" cy="428625"/>
          <a:chOff x="5346000" y="3565688"/>
          <a:chExt cx="0" cy="428625"/>
        </a:xfrm>
      </xdr:grpSpPr>
      <xdr:cxnSp macro="">
        <xdr:nvCxnSpPr>
          <xdr:cNvPr id="50" name="Shape 721">
            <a:extLst>
              <a:ext uri="{FF2B5EF4-FFF2-40B4-BE49-F238E27FC236}">
                <a16:creationId xmlns:a16="http://schemas.microsoft.com/office/drawing/2014/main" id="{00000000-0008-0000-0700-000032000000}"/>
              </a:ext>
            </a:extLst>
          </xdr:cNvPr>
          <xdr:cNvCxnSpPr/>
        </xdr:nvCxnSpPr>
        <xdr:spPr>
          <a:xfrm rot="10800000">
            <a:off x="5346000" y="3565688"/>
            <a:ext cx="0" cy="4286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0</xdr:colOff>
      <xdr:row>62</xdr:row>
      <xdr:rowOff>38100</xdr:rowOff>
    </xdr:from>
    <xdr:ext cx="762000" cy="171450"/>
    <xdr:sp macro="" textlink="">
      <xdr:nvSpPr>
        <xdr:cNvPr id="51" name="Shape 722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8334375" y="10077450"/>
          <a:ext cx="762000" cy="1714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61</xdr:row>
      <xdr:rowOff>104775</xdr:rowOff>
    </xdr:from>
    <xdr:ext cx="762000" cy="285750"/>
    <xdr:sp macro="" textlink="">
      <xdr:nvSpPr>
        <xdr:cNvPr id="52" name="Shape 723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8334375" y="9982200"/>
          <a:ext cx="762000" cy="2857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95250</xdr:colOff>
      <xdr:row>61</xdr:row>
      <xdr:rowOff>57150</xdr:rowOff>
    </xdr:from>
    <xdr:ext cx="38100" cy="361950"/>
    <xdr:grpSp>
      <xdr:nvGrpSpPr>
        <xdr:cNvPr id="53" name="Shape 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GrpSpPr/>
      </xdr:nvGrpSpPr>
      <xdr:grpSpPr>
        <a:xfrm>
          <a:off x="11936730" y="11365230"/>
          <a:ext cx="38100" cy="361950"/>
          <a:chOff x="5346000" y="3599025"/>
          <a:chExt cx="0" cy="361950"/>
        </a:xfrm>
      </xdr:grpSpPr>
      <xdr:cxnSp macro="">
        <xdr:nvCxnSpPr>
          <xdr:cNvPr id="54" name="Shape 724">
            <a:extLst>
              <a:ext uri="{FF2B5EF4-FFF2-40B4-BE49-F238E27FC236}">
                <a16:creationId xmlns:a16="http://schemas.microsoft.com/office/drawing/2014/main" id="{00000000-0008-0000-0700-000036000000}"/>
              </a:ext>
            </a:extLst>
          </xdr:cNvPr>
          <xdr:cNvCxnSpPr/>
        </xdr:nvCxnSpPr>
        <xdr:spPr>
          <a:xfrm rot="10800000">
            <a:off x="5346000" y="3599025"/>
            <a:ext cx="0" cy="3619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180975</xdr:colOff>
      <xdr:row>104</xdr:row>
      <xdr:rowOff>85725</xdr:rowOff>
    </xdr:from>
    <xdr:ext cx="38100" cy="352425"/>
    <xdr:grpSp>
      <xdr:nvGrpSpPr>
        <xdr:cNvPr id="55" name="Shape 2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GrpSpPr/>
      </xdr:nvGrpSpPr>
      <xdr:grpSpPr>
        <a:xfrm>
          <a:off x="11229975" y="19280505"/>
          <a:ext cx="38100" cy="352425"/>
          <a:chOff x="5346000" y="3603788"/>
          <a:chExt cx="0" cy="352425"/>
        </a:xfrm>
      </xdr:grpSpPr>
      <xdr:cxnSp macro="">
        <xdr:nvCxnSpPr>
          <xdr:cNvPr id="56" name="Shape 725">
            <a:extLst>
              <a:ext uri="{FF2B5EF4-FFF2-40B4-BE49-F238E27FC236}">
                <a16:creationId xmlns:a16="http://schemas.microsoft.com/office/drawing/2014/main" id="{00000000-0008-0000-0700-000038000000}"/>
              </a:ext>
            </a:extLst>
          </xdr:cNvPr>
          <xdr:cNvCxnSpPr/>
        </xdr:nvCxnSpPr>
        <xdr:spPr>
          <a:xfrm rot="10800000">
            <a:off x="5346000" y="3603788"/>
            <a:ext cx="0" cy="3524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38100</xdr:colOff>
      <xdr:row>105</xdr:row>
      <xdr:rowOff>28575</xdr:rowOff>
    </xdr:from>
    <xdr:ext cx="5305425" cy="1438275"/>
    <xdr:grpSp>
      <xdr:nvGrpSpPr>
        <xdr:cNvPr id="57" name="Shape 2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GrpSpPr/>
      </xdr:nvGrpSpPr>
      <xdr:grpSpPr>
        <a:xfrm>
          <a:off x="12672060" y="19406235"/>
          <a:ext cx="5305425" cy="1438275"/>
          <a:chOff x="2693287" y="3060863"/>
          <a:chExt cx="5305425" cy="1438274"/>
        </a:xfrm>
      </xdr:grpSpPr>
      <xdr:grpSp>
        <xdr:nvGrpSpPr>
          <xdr:cNvPr id="58" name="Shape 726">
            <a:extLst>
              <a:ext uri="{FF2B5EF4-FFF2-40B4-BE49-F238E27FC236}">
                <a16:creationId xmlns:a16="http://schemas.microsoft.com/office/drawing/2014/main" id="{00000000-0008-0000-0700-00003A000000}"/>
              </a:ext>
            </a:extLst>
          </xdr:cNvPr>
          <xdr:cNvGrpSpPr/>
        </xdr:nvGrpSpPr>
        <xdr:grpSpPr>
          <a:xfrm>
            <a:off x="2693287" y="3060863"/>
            <a:ext cx="5305425" cy="1438274"/>
            <a:chOff x="9599543" y="18122339"/>
            <a:chExt cx="5309152" cy="1466031"/>
          </a:xfrm>
        </xdr:grpSpPr>
        <xdr:sp macro="" textlink="">
          <xdr:nvSpPr>
            <xdr:cNvPr id="59" name="Shape 9">
              <a:extLst>
                <a:ext uri="{FF2B5EF4-FFF2-40B4-BE49-F238E27FC236}">
                  <a16:creationId xmlns:a16="http://schemas.microsoft.com/office/drawing/2014/main" id="{00000000-0008-0000-0700-00003B000000}"/>
                </a:ext>
              </a:extLst>
            </xdr:cNvPr>
            <xdr:cNvSpPr/>
          </xdr:nvSpPr>
          <xdr:spPr>
            <a:xfrm>
              <a:off x="9599543" y="18122339"/>
              <a:ext cx="5309150" cy="1466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0" name="Shape 727">
              <a:extLst>
                <a:ext uri="{FF2B5EF4-FFF2-40B4-BE49-F238E27FC236}">
                  <a16:creationId xmlns:a16="http://schemas.microsoft.com/office/drawing/2014/main" id="{00000000-0008-0000-0700-00003C000000}"/>
                </a:ext>
              </a:extLst>
            </xdr:cNvPr>
            <xdr:cNvSpPr/>
          </xdr:nvSpPr>
          <xdr:spPr>
            <a:xfrm rot="2685578" flipH="1">
              <a:off x="10311726" y="18524349"/>
              <a:ext cx="74785" cy="322434"/>
            </a:xfrm>
            <a:prstGeom prst="snip2DiagRect">
              <a:avLst>
                <a:gd name="adj1" fmla="val 0"/>
                <a:gd name="adj2" fmla="val 50000"/>
              </a:avLst>
            </a:prstGeom>
            <a:noFill/>
            <a:ln w="9525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1" name="Shape 728">
              <a:extLst>
                <a:ext uri="{FF2B5EF4-FFF2-40B4-BE49-F238E27FC236}">
                  <a16:creationId xmlns:a16="http://schemas.microsoft.com/office/drawing/2014/main" id="{00000000-0008-0000-0700-00003D000000}"/>
                </a:ext>
              </a:extLst>
            </xdr:cNvPr>
            <xdr:cNvSpPr/>
          </xdr:nvSpPr>
          <xdr:spPr>
            <a:xfrm>
              <a:off x="10469217" y="18598433"/>
              <a:ext cx="273326" cy="54002"/>
            </a:xfrm>
            <a:prstGeom prst="rect">
              <a:avLst/>
            </a:prstGeom>
            <a:solidFill>
              <a:srgbClr val="FFFFFF">
                <a:alpha val="25490"/>
              </a:srgbClr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62" name="Shape 729">
              <a:extLst>
                <a:ext uri="{FF2B5EF4-FFF2-40B4-BE49-F238E27FC236}">
                  <a16:creationId xmlns:a16="http://schemas.microsoft.com/office/drawing/2014/main" id="{00000000-0008-0000-0700-00003E000000}"/>
                </a:ext>
              </a:extLst>
            </xdr:cNvPr>
            <xdr:cNvCxnSpPr>
              <a:stCxn id="47" idx="1"/>
            </xdr:cNvCxnSpPr>
          </xdr:nvCxnSpPr>
          <xdr:spPr>
            <a:xfrm flipH="1">
              <a:off x="10171100" y="18800041"/>
              <a:ext cx="64500" cy="843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" name="Shape 730">
              <a:extLst>
                <a:ext uri="{FF2B5EF4-FFF2-40B4-BE49-F238E27FC236}">
                  <a16:creationId xmlns:a16="http://schemas.microsoft.com/office/drawing/2014/main" id="{00000000-0008-0000-0700-00003F000000}"/>
                </a:ext>
              </a:extLst>
            </xdr:cNvPr>
            <xdr:cNvCxnSpPr/>
          </xdr:nvCxnSpPr>
          <xdr:spPr>
            <a:xfrm rot="10800000">
              <a:off x="9773478" y="18884348"/>
              <a:ext cx="389283" cy="8282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4" name="Shape 731">
              <a:extLst>
                <a:ext uri="{FF2B5EF4-FFF2-40B4-BE49-F238E27FC236}">
                  <a16:creationId xmlns:a16="http://schemas.microsoft.com/office/drawing/2014/main" id="{00000000-0008-0000-0700-000040000000}"/>
                </a:ext>
              </a:extLst>
            </xdr:cNvPr>
            <xdr:cNvCxnSpPr>
              <a:stCxn id="47" idx="1"/>
            </xdr:cNvCxnSpPr>
          </xdr:nvCxnSpPr>
          <xdr:spPr>
            <a:xfrm rot="10800000">
              <a:off x="9665900" y="18793141"/>
              <a:ext cx="569700" cy="69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" name="Shape 732">
              <a:extLst>
                <a:ext uri="{FF2B5EF4-FFF2-40B4-BE49-F238E27FC236}">
                  <a16:creationId xmlns:a16="http://schemas.microsoft.com/office/drawing/2014/main" id="{00000000-0008-0000-0700-000041000000}"/>
                </a:ext>
              </a:extLst>
            </xdr:cNvPr>
            <xdr:cNvCxnSpPr/>
          </xdr:nvCxnSpPr>
          <xdr:spPr>
            <a:xfrm>
              <a:off x="9649239" y="18776673"/>
              <a:ext cx="165652" cy="124239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" name="Shape 733">
              <a:extLst>
                <a:ext uri="{FF2B5EF4-FFF2-40B4-BE49-F238E27FC236}">
                  <a16:creationId xmlns:a16="http://schemas.microsoft.com/office/drawing/2014/main" id="{00000000-0008-0000-0700-000042000000}"/>
                </a:ext>
              </a:extLst>
            </xdr:cNvPr>
            <xdr:cNvCxnSpPr>
              <a:stCxn id="47" idx="1"/>
            </xdr:cNvCxnSpPr>
          </xdr:nvCxnSpPr>
          <xdr:spPr>
            <a:xfrm>
              <a:off x="10235600" y="18800041"/>
              <a:ext cx="1583700" cy="1500"/>
            </a:xfrm>
            <a:prstGeom prst="straightConnector1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7" name="Shape 734">
              <a:extLst>
                <a:ext uri="{FF2B5EF4-FFF2-40B4-BE49-F238E27FC236}">
                  <a16:creationId xmlns:a16="http://schemas.microsoft.com/office/drawing/2014/main" id="{00000000-0008-0000-0700-000043000000}"/>
                </a:ext>
              </a:extLst>
            </xdr:cNvPr>
            <xdr:cNvCxnSpPr/>
          </xdr:nvCxnSpPr>
          <xdr:spPr>
            <a:xfrm>
              <a:off x="9723783" y="19063253"/>
              <a:ext cx="476250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68" name="Shape 735">
              <a:extLst>
                <a:ext uri="{FF2B5EF4-FFF2-40B4-BE49-F238E27FC236}">
                  <a16:creationId xmlns:a16="http://schemas.microsoft.com/office/drawing/2014/main" id="{00000000-0008-0000-0700-000044000000}"/>
                </a:ext>
              </a:extLst>
            </xdr:cNvPr>
            <xdr:cNvCxnSpPr/>
          </xdr:nvCxnSpPr>
          <xdr:spPr>
            <a:xfrm rot="10800000" flipH="1">
              <a:off x="10783958" y="18570851"/>
              <a:ext cx="7454" cy="23895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69" name="Shape 736">
              <a:extLst>
                <a:ext uri="{FF2B5EF4-FFF2-40B4-BE49-F238E27FC236}">
                  <a16:creationId xmlns:a16="http://schemas.microsoft.com/office/drawing/2014/main" id="{00000000-0008-0000-0700-000045000000}"/>
                </a:ext>
              </a:extLst>
            </xdr:cNvPr>
            <xdr:cNvCxnSpPr/>
          </xdr:nvCxnSpPr>
          <xdr:spPr>
            <a:xfrm rot="10800000" flipH="1">
              <a:off x="10179325" y="18445371"/>
              <a:ext cx="289063" cy="828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70" name="Shape 737">
              <a:extLst>
                <a:ext uri="{FF2B5EF4-FFF2-40B4-BE49-F238E27FC236}">
                  <a16:creationId xmlns:a16="http://schemas.microsoft.com/office/drawing/2014/main" id="{00000000-0008-0000-0700-000046000000}"/>
                </a:ext>
              </a:extLst>
            </xdr:cNvPr>
            <xdr:cNvCxnSpPr/>
          </xdr:nvCxnSpPr>
          <xdr:spPr>
            <a:xfrm rot="10800000" flipH="1">
              <a:off x="9599543" y="18756381"/>
              <a:ext cx="2486" cy="16938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sp macro="" textlink="">
          <xdr:nvSpPr>
            <xdr:cNvPr id="71" name="Shape 738">
              <a:extLst>
                <a:ext uri="{FF2B5EF4-FFF2-40B4-BE49-F238E27FC236}">
                  <a16:creationId xmlns:a16="http://schemas.microsoft.com/office/drawing/2014/main" id="{00000000-0008-0000-0700-000047000000}"/>
                </a:ext>
              </a:extLst>
            </xdr:cNvPr>
            <xdr:cNvSpPr/>
          </xdr:nvSpPr>
          <xdr:spPr>
            <a:xfrm>
              <a:off x="11794434" y="18793241"/>
              <a:ext cx="3114261" cy="62119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31538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2" name="Shape 739">
              <a:extLst>
                <a:ext uri="{FF2B5EF4-FFF2-40B4-BE49-F238E27FC236}">
                  <a16:creationId xmlns:a16="http://schemas.microsoft.com/office/drawing/2014/main" id="{00000000-0008-0000-0700-000048000000}"/>
                </a:ext>
              </a:extLst>
            </xdr:cNvPr>
            <xdr:cNvSpPr/>
          </xdr:nvSpPr>
          <xdr:spPr>
            <a:xfrm rot="10800000" flipH="1">
              <a:off x="9665804" y="18271435"/>
              <a:ext cx="5234609" cy="521804"/>
            </a:xfrm>
            <a:prstGeom prst="rect">
              <a:avLst/>
            </a:prstGeom>
            <a:noFill/>
            <a:ln w="952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3" name="Shape 740">
              <a:extLst>
                <a:ext uri="{FF2B5EF4-FFF2-40B4-BE49-F238E27FC236}">
                  <a16:creationId xmlns:a16="http://schemas.microsoft.com/office/drawing/2014/main" id="{00000000-0008-0000-0700-000049000000}"/>
                </a:ext>
              </a:extLst>
            </xdr:cNvPr>
            <xdr:cNvCxnSpPr/>
          </xdr:nvCxnSpPr>
          <xdr:spPr>
            <a:xfrm rot="10800000" flipH="1">
              <a:off x="11695043" y="18777916"/>
              <a:ext cx="7455" cy="636518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74" name="Shape 741">
              <a:extLst>
                <a:ext uri="{FF2B5EF4-FFF2-40B4-BE49-F238E27FC236}">
                  <a16:creationId xmlns:a16="http://schemas.microsoft.com/office/drawing/2014/main" id="{00000000-0008-0000-0700-00004A000000}"/>
                </a:ext>
              </a:extLst>
            </xdr:cNvPr>
            <xdr:cNvCxnSpPr/>
          </xdr:nvCxnSpPr>
          <xdr:spPr>
            <a:xfrm rot="10800000" flipH="1">
              <a:off x="11814313" y="19563521"/>
              <a:ext cx="3069535" cy="24849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75" name="Shape 742">
              <a:extLst>
                <a:ext uri="{FF2B5EF4-FFF2-40B4-BE49-F238E27FC236}">
                  <a16:creationId xmlns:a16="http://schemas.microsoft.com/office/drawing/2014/main" id="{00000000-0008-0000-0700-00004B000000}"/>
                </a:ext>
              </a:extLst>
            </xdr:cNvPr>
            <xdr:cNvCxnSpPr/>
          </xdr:nvCxnSpPr>
          <xdr:spPr>
            <a:xfrm rot="10800000" flipH="1">
              <a:off x="11698356" y="18263151"/>
              <a:ext cx="13253" cy="533399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76" name="Shape 743">
              <a:extLst>
                <a:ext uri="{FF2B5EF4-FFF2-40B4-BE49-F238E27FC236}">
                  <a16:creationId xmlns:a16="http://schemas.microsoft.com/office/drawing/2014/main" id="{00000000-0008-0000-0700-00004C000000}"/>
                </a:ext>
              </a:extLst>
            </xdr:cNvPr>
            <xdr:cNvCxnSpPr/>
          </xdr:nvCxnSpPr>
          <xdr:spPr>
            <a:xfrm rot="10800000" flipH="1">
              <a:off x="10464253" y="18448675"/>
              <a:ext cx="289063" cy="828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cxnSp macro="">
          <xdr:nvCxnSpPr>
            <xdr:cNvPr id="77" name="Shape 744">
              <a:extLst>
                <a:ext uri="{FF2B5EF4-FFF2-40B4-BE49-F238E27FC236}">
                  <a16:creationId xmlns:a16="http://schemas.microsoft.com/office/drawing/2014/main" id="{00000000-0008-0000-0700-00004D000000}"/>
                </a:ext>
              </a:extLst>
            </xdr:cNvPr>
            <xdr:cNvCxnSpPr/>
          </xdr:nvCxnSpPr>
          <xdr:spPr>
            <a:xfrm rot="10800000" flipH="1">
              <a:off x="10356573" y="18726977"/>
              <a:ext cx="261732" cy="2352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  <xdr:sp macro="" textlink="">
          <xdr:nvSpPr>
            <xdr:cNvPr id="78" name="Shape 745">
              <a:extLst>
                <a:ext uri="{FF2B5EF4-FFF2-40B4-BE49-F238E27FC236}">
                  <a16:creationId xmlns:a16="http://schemas.microsoft.com/office/drawing/2014/main" id="{00000000-0008-0000-0700-00004E000000}"/>
                </a:ext>
              </a:extLst>
            </xdr:cNvPr>
            <xdr:cNvSpPr/>
          </xdr:nvSpPr>
          <xdr:spPr>
            <a:xfrm>
              <a:off x="11852413" y="18793239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9" name="Shape 746">
              <a:extLst>
                <a:ext uri="{FF2B5EF4-FFF2-40B4-BE49-F238E27FC236}">
                  <a16:creationId xmlns:a16="http://schemas.microsoft.com/office/drawing/2014/main" id="{00000000-0008-0000-0700-00004F000000}"/>
                </a:ext>
              </a:extLst>
            </xdr:cNvPr>
            <xdr:cNvSpPr/>
          </xdr:nvSpPr>
          <xdr:spPr>
            <a:xfrm>
              <a:off x="12228454" y="18796545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0" name="Shape 747">
              <a:extLst>
                <a:ext uri="{FF2B5EF4-FFF2-40B4-BE49-F238E27FC236}">
                  <a16:creationId xmlns:a16="http://schemas.microsoft.com/office/drawing/2014/main" id="{00000000-0008-0000-0700-000050000000}"/>
                </a:ext>
              </a:extLst>
            </xdr:cNvPr>
            <xdr:cNvSpPr/>
          </xdr:nvSpPr>
          <xdr:spPr>
            <a:xfrm>
              <a:off x="12621061" y="18799852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1" name="Shape 748">
              <a:extLst>
                <a:ext uri="{FF2B5EF4-FFF2-40B4-BE49-F238E27FC236}">
                  <a16:creationId xmlns:a16="http://schemas.microsoft.com/office/drawing/2014/main" id="{00000000-0008-0000-0700-000051000000}"/>
                </a:ext>
              </a:extLst>
            </xdr:cNvPr>
            <xdr:cNvSpPr/>
          </xdr:nvSpPr>
          <xdr:spPr>
            <a:xfrm>
              <a:off x="13013668" y="18803156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2" name="Shape 749">
              <a:extLst>
                <a:ext uri="{FF2B5EF4-FFF2-40B4-BE49-F238E27FC236}">
                  <a16:creationId xmlns:a16="http://schemas.microsoft.com/office/drawing/2014/main" id="{00000000-0008-0000-0700-000052000000}"/>
                </a:ext>
              </a:extLst>
            </xdr:cNvPr>
            <xdr:cNvSpPr/>
          </xdr:nvSpPr>
          <xdr:spPr>
            <a:xfrm>
              <a:off x="13422841" y="18798180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750">
              <a:extLst>
                <a:ext uri="{FF2B5EF4-FFF2-40B4-BE49-F238E27FC236}">
                  <a16:creationId xmlns:a16="http://schemas.microsoft.com/office/drawing/2014/main" id="{00000000-0008-0000-0700-000053000000}"/>
                </a:ext>
              </a:extLst>
            </xdr:cNvPr>
            <xdr:cNvSpPr/>
          </xdr:nvSpPr>
          <xdr:spPr>
            <a:xfrm>
              <a:off x="13807164" y="18801486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4" name="Shape 751">
              <a:extLst>
                <a:ext uri="{FF2B5EF4-FFF2-40B4-BE49-F238E27FC236}">
                  <a16:creationId xmlns:a16="http://schemas.microsoft.com/office/drawing/2014/main" id="{00000000-0008-0000-0700-000054000000}"/>
                </a:ext>
              </a:extLst>
            </xdr:cNvPr>
            <xdr:cNvSpPr/>
          </xdr:nvSpPr>
          <xdr:spPr>
            <a:xfrm>
              <a:off x="14191488" y="18804792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5" name="Shape 752">
              <a:extLst>
                <a:ext uri="{FF2B5EF4-FFF2-40B4-BE49-F238E27FC236}">
                  <a16:creationId xmlns:a16="http://schemas.microsoft.com/office/drawing/2014/main" id="{00000000-0008-0000-0700-000055000000}"/>
                </a:ext>
              </a:extLst>
            </xdr:cNvPr>
            <xdr:cNvSpPr/>
          </xdr:nvSpPr>
          <xdr:spPr>
            <a:xfrm>
              <a:off x="14559245" y="18799816"/>
              <a:ext cx="298174" cy="45719"/>
            </a:xfrm>
            <a:prstGeom prst="rect">
              <a:avLst/>
            </a:prstGeom>
            <a:solidFill>
              <a:srgbClr val="BFBFBF"/>
            </a:solidFill>
            <a:ln w="9525" cap="flat" cmpd="sng">
              <a:solidFill>
                <a:srgbClr val="517E33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86" name="Shape 753">
              <a:extLst>
                <a:ext uri="{FF2B5EF4-FFF2-40B4-BE49-F238E27FC236}">
                  <a16:creationId xmlns:a16="http://schemas.microsoft.com/office/drawing/2014/main" id="{00000000-0008-0000-0700-000056000000}"/>
                </a:ext>
              </a:extLst>
            </xdr:cNvPr>
            <xdr:cNvCxnSpPr/>
          </xdr:nvCxnSpPr>
          <xdr:spPr>
            <a:xfrm rot="10800000" flipH="1">
              <a:off x="11875669" y="18750171"/>
              <a:ext cx="289063" cy="828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  <xdr:cxnSp macro="">
          <xdr:nvCxnSpPr>
            <xdr:cNvPr id="87" name="Shape 754">
              <a:extLst>
                <a:ext uri="{FF2B5EF4-FFF2-40B4-BE49-F238E27FC236}">
                  <a16:creationId xmlns:a16="http://schemas.microsoft.com/office/drawing/2014/main" id="{00000000-0008-0000-0700-000057000000}"/>
                </a:ext>
              </a:extLst>
            </xdr:cNvPr>
            <xdr:cNvCxnSpPr/>
          </xdr:nvCxnSpPr>
          <xdr:spPr>
            <a:xfrm rot="10800000" flipH="1">
              <a:off x="12235144" y="18753475"/>
              <a:ext cx="289063" cy="828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none" w="sm" len="sm"/>
            </a:ln>
          </xdr:spPr>
        </xdr:cxnSp>
        <xdr:cxnSp macro="">
          <xdr:nvCxnSpPr>
            <xdr:cNvPr id="88" name="Shape 755">
              <a:extLst>
                <a:ext uri="{FF2B5EF4-FFF2-40B4-BE49-F238E27FC236}">
                  <a16:creationId xmlns:a16="http://schemas.microsoft.com/office/drawing/2014/main" id="{00000000-0008-0000-0700-000058000000}"/>
                </a:ext>
              </a:extLst>
            </xdr:cNvPr>
            <xdr:cNvCxnSpPr/>
          </xdr:nvCxnSpPr>
          <xdr:spPr>
            <a:xfrm rot="10800000" flipH="1">
              <a:off x="12715525" y="18736917"/>
              <a:ext cx="289063" cy="828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  <xdr:cxnSp macro="">
          <xdr:nvCxnSpPr>
            <xdr:cNvPr id="89" name="Shape 756">
              <a:extLst>
                <a:ext uri="{FF2B5EF4-FFF2-40B4-BE49-F238E27FC236}">
                  <a16:creationId xmlns:a16="http://schemas.microsoft.com/office/drawing/2014/main" id="{00000000-0008-0000-0700-000059000000}"/>
                </a:ext>
              </a:extLst>
            </xdr:cNvPr>
            <xdr:cNvCxnSpPr/>
          </xdr:nvCxnSpPr>
          <xdr:spPr>
            <a:xfrm rot="10800000" flipH="1">
              <a:off x="13273783" y="18723657"/>
              <a:ext cx="289063" cy="828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none" w="sm" len="sm"/>
            </a:ln>
          </xdr:spPr>
        </xdr:cxnSp>
        <xdr:cxnSp macro="">
          <xdr:nvCxnSpPr>
            <xdr:cNvPr id="90" name="Shape 757">
              <a:extLst>
                <a:ext uri="{FF2B5EF4-FFF2-40B4-BE49-F238E27FC236}">
                  <a16:creationId xmlns:a16="http://schemas.microsoft.com/office/drawing/2014/main" id="{00000000-0008-0000-0700-00005A000000}"/>
                </a:ext>
              </a:extLst>
            </xdr:cNvPr>
            <xdr:cNvCxnSpPr/>
          </xdr:nvCxnSpPr>
          <xdr:spPr>
            <a:xfrm rot="10800000">
              <a:off x="13591007" y="18122340"/>
              <a:ext cx="340341" cy="64605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triangle" w="med" len="med"/>
              <a:tailEnd type="none" w="sm" len="sm"/>
            </a:ln>
          </xdr:spPr>
        </xdr:cxnSp>
      </xdr:grpSp>
    </xdr:grpSp>
    <xdr:clientData fLocksWithSheet="0"/>
  </xdr:oneCellAnchor>
  <xdr:oneCellAnchor>
    <xdr:from>
      <xdr:col>8</xdr:col>
      <xdr:colOff>123825</xdr:colOff>
      <xdr:row>108</xdr:row>
      <xdr:rowOff>38100</xdr:rowOff>
    </xdr:from>
    <xdr:ext cx="638175" cy="38100"/>
    <xdr:grpSp>
      <xdr:nvGrpSpPr>
        <xdr:cNvPr id="91" name="Shape 2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GrpSpPr/>
      </xdr:nvGrpSpPr>
      <xdr:grpSpPr>
        <a:xfrm>
          <a:off x="12757785" y="19964400"/>
          <a:ext cx="638175" cy="38100"/>
          <a:chOff x="5026913" y="3780000"/>
          <a:chExt cx="638175" cy="0"/>
        </a:xfrm>
      </xdr:grpSpPr>
      <xdr:cxnSp macro="">
        <xdr:nvCxnSpPr>
          <xdr:cNvPr id="92" name="Shape 758">
            <a:extLst>
              <a:ext uri="{FF2B5EF4-FFF2-40B4-BE49-F238E27FC236}">
                <a16:creationId xmlns:a16="http://schemas.microsoft.com/office/drawing/2014/main" id="{00000000-0008-0000-0700-00005C000000}"/>
              </a:ext>
            </a:extLst>
          </xdr:cNvPr>
          <xdr:cNvCxnSpPr/>
        </xdr:nvCxnSpPr>
        <xdr:spPr>
          <a:xfrm>
            <a:off x="5026913" y="3780000"/>
            <a:ext cx="638175" cy="0"/>
          </a:xfrm>
          <a:prstGeom prst="straightConnector1">
            <a:avLst/>
          </a:prstGeom>
          <a:noFill/>
          <a:ln w="9525" cap="flat" cmpd="sng">
            <a:solidFill>
              <a:schemeClr val="accent5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38100</xdr:colOff>
      <xdr:row>108</xdr:row>
      <xdr:rowOff>123825</xdr:rowOff>
    </xdr:from>
    <xdr:ext cx="4533900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GrpSpPr/>
      </xdr:nvGrpSpPr>
      <xdr:grpSpPr>
        <a:xfrm>
          <a:off x="13464540" y="20050125"/>
          <a:ext cx="4533900" cy="38100"/>
          <a:chOff x="3079050" y="3780000"/>
          <a:chExt cx="4533900" cy="0"/>
        </a:xfrm>
      </xdr:grpSpPr>
      <xdr:cxnSp macro="">
        <xdr:nvCxnSpPr>
          <xdr:cNvPr id="94" name="Shape 759">
            <a:extLst>
              <a:ext uri="{FF2B5EF4-FFF2-40B4-BE49-F238E27FC236}">
                <a16:creationId xmlns:a16="http://schemas.microsoft.com/office/drawing/2014/main" id="{00000000-0008-0000-0700-00005E000000}"/>
              </a:ext>
            </a:extLst>
          </xdr:cNvPr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w="9525" cap="flat" cmpd="sng">
            <a:solidFill>
              <a:schemeClr val="accent5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19050</xdr:colOff>
      <xdr:row>108</xdr:row>
      <xdr:rowOff>38100</xdr:rowOff>
    </xdr:from>
    <xdr:ext cx="3810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GrpSpPr/>
      </xdr:nvGrpSpPr>
      <xdr:grpSpPr>
        <a:xfrm>
          <a:off x="12653010" y="19964400"/>
          <a:ext cx="38100" cy="161925"/>
          <a:chOff x="5346000" y="3699038"/>
          <a:chExt cx="0" cy="161925"/>
        </a:xfrm>
      </xdr:grpSpPr>
      <xdr:cxnSp macro="">
        <xdr:nvCxnSpPr>
          <xdr:cNvPr id="96" name="Shape 760">
            <a:extLst>
              <a:ext uri="{FF2B5EF4-FFF2-40B4-BE49-F238E27FC236}">
                <a16:creationId xmlns:a16="http://schemas.microsoft.com/office/drawing/2014/main" id="{00000000-0008-0000-0700-000060000000}"/>
              </a:ext>
            </a:extLst>
          </xdr:cNvPr>
          <xdr:cNvCxnSpPr/>
        </xdr:nvCxnSpPr>
        <xdr:spPr>
          <a:xfrm rot="10800000">
            <a:off x="5346000" y="3699038"/>
            <a:ext cx="0" cy="1619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104775</xdr:colOff>
      <xdr:row>108</xdr:row>
      <xdr:rowOff>95250</xdr:rowOff>
    </xdr:from>
    <xdr:ext cx="38100" cy="161925"/>
    <xdr:grpSp>
      <xdr:nvGrpSpPr>
        <xdr:cNvPr id="97" name="Shape 2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GrpSpPr/>
      </xdr:nvGrpSpPr>
      <xdr:grpSpPr>
        <a:xfrm>
          <a:off x="18286095" y="20021550"/>
          <a:ext cx="38100" cy="161925"/>
          <a:chOff x="5346000" y="3699038"/>
          <a:chExt cx="0" cy="161925"/>
        </a:xfrm>
      </xdr:grpSpPr>
      <xdr:cxnSp macro="">
        <xdr:nvCxnSpPr>
          <xdr:cNvPr id="98" name="Shape 761">
            <a:extLst>
              <a:ext uri="{FF2B5EF4-FFF2-40B4-BE49-F238E27FC236}">
                <a16:creationId xmlns:a16="http://schemas.microsoft.com/office/drawing/2014/main" id="{00000000-0008-0000-0700-000062000000}"/>
              </a:ext>
            </a:extLst>
          </xdr:cNvPr>
          <xdr:cNvCxnSpPr/>
        </xdr:nvCxnSpPr>
        <xdr:spPr>
          <a:xfrm rot="10800000">
            <a:off x="5346000" y="3699038"/>
            <a:ext cx="0" cy="1619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66675</xdr:colOff>
      <xdr:row>113</xdr:row>
      <xdr:rowOff>142875</xdr:rowOff>
    </xdr:from>
    <xdr:ext cx="2200275" cy="38100"/>
    <xdr:grpSp>
      <xdr:nvGrpSpPr>
        <xdr:cNvPr id="99" name="Shape 2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GrpSpPr/>
      </xdr:nvGrpSpPr>
      <xdr:grpSpPr>
        <a:xfrm>
          <a:off x="12700635" y="20983575"/>
          <a:ext cx="2200275" cy="38100"/>
          <a:chOff x="4245863" y="3780000"/>
          <a:chExt cx="2200275" cy="0"/>
        </a:xfrm>
      </xdr:grpSpPr>
      <xdr:cxnSp macro="">
        <xdr:nvCxnSpPr>
          <xdr:cNvPr id="100" name="Shape 762">
            <a:extLst>
              <a:ext uri="{FF2B5EF4-FFF2-40B4-BE49-F238E27FC236}">
                <a16:creationId xmlns:a16="http://schemas.microsoft.com/office/drawing/2014/main" id="{00000000-0008-0000-0700-000064000000}"/>
              </a:ext>
            </a:extLst>
          </xdr:cNvPr>
          <xdr:cNvCxnSpPr/>
        </xdr:nvCxnSpPr>
        <xdr:spPr>
          <a:xfrm>
            <a:off x="4245863" y="3780000"/>
            <a:ext cx="22002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95250</xdr:colOff>
      <xdr:row>114</xdr:row>
      <xdr:rowOff>142875</xdr:rowOff>
    </xdr:from>
    <xdr:ext cx="5238750" cy="38100"/>
    <xdr:grpSp>
      <xdr:nvGrpSpPr>
        <xdr:cNvPr id="101" name="Shape 2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GrpSpPr/>
      </xdr:nvGrpSpPr>
      <xdr:grpSpPr>
        <a:xfrm>
          <a:off x="12729210" y="21166455"/>
          <a:ext cx="5238750" cy="38100"/>
          <a:chOff x="2726625" y="3775238"/>
          <a:chExt cx="5238750" cy="9525"/>
        </a:xfrm>
      </xdr:grpSpPr>
      <xdr:cxnSp macro="">
        <xdr:nvCxnSpPr>
          <xdr:cNvPr id="102" name="Shape 763">
            <a:extLst>
              <a:ext uri="{FF2B5EF4-FFF2-40B4-BE49-F238E27FC236}">
                <a16:creationId xmlns:a16="http://schemas.microsoft.com/office/drawing/2014/main" id="{00000000-0008-0000-0700-000066000000}"/>
              </a:ext>
            </a:extLst>
          </xdr:cNvPr>
          <xdr:cNvCxnSpPr/>
        </xdr:nvCxnSpPr>
        <xdr:spPr>
          <a:xfrm rot="10800000" flipH="1">
            <a:off x="2726625" y="3775238"/>
            <a:ext cx="5238750" cy="95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228600</xdr:colOff>
      <xdr:row>61</xdr:row>
      <xdr:rowOff>9525</xdr:rowOff>
    </xdr:from>
    <xdr:ext cx="257175" cy="371475"/>
    <xdr:sp macro="" textlink="">
      <xdr:nvSpPr>
        <xdr:cNvPr id="103" name="Shape 764" descr="Vertical clara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8562975" y="9886950"/>
          <a:ext cx="257175" cy="371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61</xdr:row>
      <xdr:rowOff>0</xdr:rowOff>
    </xdr:from>
    <xdr:ext cx="742950" cy="3810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GrpSpPr/>
      </xdr:nvGrpSpPr>
      <xdr:grpSpPr>
        <a:xfrm>
          <a:off x="10256520" y="11308080"/>
          <a:ext cx="742950" cy="38100"/>
          <a:chOff x="4974525" y="3780000"/>
          <a:chExt cx="742800" cy="0"/>
        </a:xfrm>
      </xdr:grpSpPr>
      <xdr:cxnSp macro="">
        <xdr:nvCxnSpPr>
          <xdr:cNvPr id="105" name="Shape 765">
            <a:extLst>
              <a:ext uri="{FF2B5EF4-FFF2-40B4-BE49-F238E27FC236}">
                <a16:creationId xmlns:a16="http://schemas.microsoft.com/office/drawing/2014/main" id="{00000000-0008-0000-0700-000069000000}"/>
              </a:ext>
            </a:extLst>
          </xdr:cNvPr>
          <xdr:cNvCxnSpPr>
            <a:stCxn id="104" idx="1"/>
            <a:endCxn id="104" idx="3"/>
          </xdr:cNvCxnSpPr>
        </xdr:nvCxnSpPr>
        <xdr:spPr>
          <a:xfrm>
            <a:off x="4974525" y="3780000"/>
            <a:ext cx="7428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47625</xdr:colOff>
      <xdr:row>58</xdr:row>
      <xdr:rowOff>133350</xdr:rowOff>
    </xdr:from>
    <xdr:ext cx="38100" cy="7620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GrpSpPr/>
      </xdr:nvGrpSpPr>
      <xdr:grpSpPr>
        <a:xfrm>
          <a:off x="9511665" y="10892790"/>
          <a:ext cx="38100" cy="762000"/>
          <a:chOff x="5346000" y="3399000"/>
          <a:chExt cx="0" cy="762000"/>
        </a:xfrm>
      </xdr:grpSpPr>
      <xdr:cxnSp macro="">
        <xdr:nvCxnSpPr>
          <xdr:cNvPr id="107" name="Shape 766">
            <a:extLst>
              <a:ext uri="{FF2B5EF4-FFF2-40B4-BE49-F238E27FC236}">
                <a16:creationId xmlns:a16="http://schemas.microsoft.com/office/drawing/2014/main" id="{00000000-0008-0000-0700-00006B000000}"/>
              </a:ext>
            </a:extLst>
          </xdr:cNvPr>
          <xdr:cNvCxnSpPr/>
        </xdr:nvCxnSpPr>
        <xdr:spPr>
          <a:xfrm rot="10800000">
            <a:off x="5346000" y="3399000"/>
            <a:ext cx="0" cy="76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409575</xdr:colOff>
      <xdr:row>63</xdr:row>
      <xdr:rowOff>47625</xdr:rowOff>
    </xdr:from>
    <xdr:ext cx="1257300" cy="3810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GrpSpPr/>
      </xdr:nvGrpSpPr>
      <xdr:grpSpPr>
        <a:xfrm>
          <a:off x="9081135" y="11721465"/>
          <a:ext cx="1257300" cy="38100"/>
          <a:chOff x="4717350" y="3780000"/>
          <a:chExt cx="1257300" cy="0"/>
        </a:xfrm>
      </xdr:grpSpPr>
      <xdr:cxnSp macro="">
        <xdr:nvCxnSpPr>
          <xdr:cNvPr id="109" name="Shape 700">
            <a:extLst>
              <a:ext uri="{FF2B5EF4-FFF2-40B4-BE49-F238E27FC236}">
                <a16:creationId xmlns:a16="http://schemas.microsoft.com/office/drawing/2014/main" id="{00000000-0008-0000-0700-00006D000000}"/>
              </a:ext>
            </a:extLst>
          </xdr:cNvPr>
          <xdr:cNvCxnSpPr/>
        </xdr:nvCxnSpPr>
        <xdr:spPr>
          <a:xfrm>
            <a:off x="4717350" y="3780000"/>
            <a:ext cx="1257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476250</xdr:colOff>
      <xdr:row>58</xdr:row>
      <xdr:rowOff>123825</xdr:rowOff>
    </xdr:from>
    <xdr:ext cx="1257300" cy="3810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GrpSpPr/>
      </xdr:nvGrpSpPr>
      <xdr:grpSpPr>
        <a:xfrm>
          <a:off x="9147810" y="10883265"/>
          <a:ext cx="1257300" cy="38100"/>
          <a:chOff x="4717350" y="3780000"/>
          <a:chExt cx="1257300" cy="0"/>
        </a:xfrm>
      </xdr:grpSpPr>
      <xdr:cxnSp macro="">
        <xdr:nvCxnSpPr>
          <xdr:cNvPr id="111" name="Shape 700">
            <a:extLst>
              <a:ext uri="{FF2B5EF4-FFF2-40B4-BE49-F238E27FC236}">
                <a16:creationId xmlns:a16="http://schemas.microsoft.com/office/drawing/2014/main" id="{00000000-0008-0000-0700-00006F000000}"/>
              </a:ext>
            </a:extLst>
          </xdr:cNvPr>
          <xdr:cNvCxnSpPr/>
        </xdr:nvCxnSpPr>
        <xdr:spPr>
          <a:xfrm>
            <a:off x="4717350" y="3780000"/>
            <a:ext cx="1257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57150</xdr:colOff>
      <xdr:row>90</xdr:row>
      <xdr:rowOff>9525</xdr:rowOff>
    </xdr:from>
    <xdr:ext cx="628650" cy="266700"/>
    <xdr:sp macro="" textlink="">
      <xdr:nvSpPr>
        <xdr:cNvPr id="112" name="Shape 767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8391525" y="14582775"/>
          <a:ext cx="628650" cy="266700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</xdr:colOff>
      <xdr:row>88</xdr:row>
      <xdr:rowOff>9525</xdr:rowOff>
    </xdr:from>
    <xdr:ext cx="628650" cy="266700"/>
    <xdr:sp macro="" textlink="">
      <xdr:nvSpPr>
        <xdr:cNvPr id="113" name="Shape 767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/>
      </xdr:nvSpPr>
      <xdr:spPr>
        <a:xfrm>
          <a:off x="8401050" y="14258925"/>
          <a:ext cx="628650" cy="266700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57150</xdr:colOff>
      <xdr:row>86</xdr:row>
      <xdr:rowOff>9525</xdr:rowOff>
    </xdr:from>
    <xdr:ext cx="628650" cy="266700"/>
    <xdr:sp macro="" textlink="">
      <xdr:nvSpPr>
        <xdr:cNvPr id="114" name="Shape 768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8391525" y="13935075"/>
          <a:ext cx="628650" cy="266700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</xdr:colOff>
      <xdr:row>84</xdr:row>
      <xdr:rowOff>19050</xdr:rowOff>
    </xdr:from>
    <xdr:ext cx="628650" cy="266700"/>
    <xdr:sp macro="" textlink="">
      <xdr:nvSpPr>
        <xdr:cNvPr id="115" name="Shape 768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8401050" y="13620750"/>
          <a:ext cx="628650" cy="266700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57150</xdr:colOff>
      <xdr:row>82</xdr:row>
      <xdr:rowOff>28575</xdr:rowOff>
    </xdr:from>
    <xdr:ext cx="628650" cy="266700"/>
    <xdr:sp macro="" textlink="">
      <xdr:nvSpPr>
        <xdr:cNvPr id="116" name="Shape 768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8391525" y="13306425"/>
          <a:ext cx="628650" cy="266700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</xdr:colOff>
      <xdr:row>80</xdr:row>
      <xdr:rowOff>38100</xdr:rowOff>
    </xdr:from>
    <xdr:ext cx="628650" cy="266700"/>
    <xdr:sp macro="" textlink="">
      <xdr:nvSpPr>
        <xdr:cNvPr id="117" name="Shape 769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8382000" y="12992100"/>
          <a:ext cx="628650" cy="266700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</xdr:colOff>
      <xdr:row>78</xdr:row>
      <xdr:rowOff>76200</xdr:rowOff>
    </xdr:from>
    <xdr:ext cx="628650" cy="238125"/>
    <xdr:sp macro="" textlink="">
      <xdr:nvSpPr>
        <xdr:cNvPr id="118" name="Shape 770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/>
      </xdr:nvSpPr>
      <xdr:spPr>
        <a:xfrm>
          <a:off x="8382000" y="12706350"/>
          <a:ext cx="628650" cy="238125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</xdr:colOff>
      <xdr:row>76</xdr:row>
      <xdr:rowOff>85725</xdr:rowOff>
    </xdr:from>
    <xdr:ext cx="628650" cy="276225"/>
    <xdr:sp macro="" textlink="">
      <xdr:nvSpPr>
        <xdr:cNvPr id="119" name="Shape 771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8382000" y="12392025"/>
          <a:ext cx="628650" cy="276225"/>
        </a:xfrm>
        <a:prstGeom prst="rect">
          <a:avLst/>
        </a:prstGeom>
        <a:solidFill>
          <a:srgbClr val="BFBFBF"/>
        </a:solidFill>
        <a:ln w="9525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95250</xdr:colOff>
      <xdr:row>69</xdr:row>
      <xdr:rowOff>38100</xdr:rowOff>
    </xdr:from>
    <xdr:ext cx="38100" cy="1181100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GrpSpPr/>
      </xdr:nvGrpSpPr>
      <xdr:grpSpPr>
        <a:xfrm>
          <a:off x="10351770" y="12809220"/>
          <a:ext cx="38100" cy="1181100"/>
          <a:chOff x="5336475" y="3189450"/>
          <a:chExt cx="19050" cy="1181100"/>
        </a:xfrm>
      </xdr:grpSpPr>
      <xdr:cxnSp macro="">
        <xdr:nvCxnSpPr>
          <xdr:cNvPr id="121" name="Shape 772">
            <a:extLst>
              <a:ext uri="{FF2B5EF4-FFF2-40B4-BE49-F238E27FC236}">
                <a16:creationId xmlns:a16="http://schemas.microsoft.com/office/drawing/2014/main" id="{00000000-0008-0000-0700-000079000000}"/>
              </a:ext>
            </a:extLst>
          </xdr:cNvPr>
          <xdr:cNvCxnSpPr/>
        </xdr:nvCxnSpPr>
        <xdr:spPr>
          <a:xfrm>
            <a:off x="5336475" y="3189450"/>
            <a:ext cx="19050" cy="11811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628650</xdr:colOff>
      <xdr:row>69</xdr:row>
      <xdr:rowOff>38100</xdr:rowOff>
    </xdr:from>
    <xdr:ext cx="38100" cy="1171575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GrpSpPr/>
      </xdr:nvGrpSpPr>
      <xdr:grpSpPr>
        <a:xfrm>
          <a:off x="10885170" y="12809220"/>
          <a:ext cx="38100" cy="1171575"/>
          <a:chOff x="5346000" y="3194213"/>
          <a:chExt cx="0" cy="1171575"/>
        </a:xfrm>
      </xdr:grpSpPr>
      <xdr:cxnSp macro="">
        <xdr:nvCxnSpPr>
          <xdr:cNvPr id="123" name="Shape 773">
            <a:extLst>
              <a:ext uri="{FF2B5EF4-FFF2-40B4-BE49-F238E27FC236}">
                <a16:creationId xmlns:a16="http://schemas.microsoft.com/office/drawing/2014/main" id="{00000000-0008-0000-0700-00007B000000}"/>
              </a:ext>
            </a:extLst>
          </xdr:cNvPr>
          <xdr:cNvCxnSpPr/>
        </xdr:nvCxnSpPr>
        <xdr:spPr>
          <a:xfrm>
            <a:off x="5346000" y="3194213"/>
            <a:ext cx="0" cy="117157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869674</xdr:colOff>
      <xdr:row>107</xdr:row>
      <xdr:rowOff>8282</xdr:rowOff>
    </xdr:from>
    <xdr:to>
      <xdr:col>8</xdr:col>
      <xdr:colOff>745435</xdr:colOff>
      <xdr:row>113</xdr:row>
      <xdr:rowOff>16565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7963894" y="18204842"/>
          <a:ext cx="3182841" cy="1044603"/>
        </a:xfrm>
        <a:prstGeom prst="rect">
          <a:avLst/>
        </a:prstGeom>
        <a:solidFill>
          <a:srgbClr val="4472C4">
            <a:alpha val="47843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5</xdr:col>
      <xdr:colOff>331305</xdr:colOff>
      <xdr:row>108</xdr:row>
      <xdr:rowOff>132522</xdr:rowOff>
    </xdr:from>
    <xdr:to>
      <xdr:col>8</xdr:col>
      <xdr:colOff>447261</xdr:colOff>
      <xdr:row>111</xdr:row>
      <xdr:rowOff>49695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8378025" y="18496722"/>
          <a:ext cx="2470536" cy="450573"/>
        </a:xfrm>
        <a:prstGeom prst="rect">
          <a:avLst/>
        </a:prstGeom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4</xdr:col>
      <xdr:colOff>538370</xdr:colOff>
      <xdr:row>105</xdr:row>
      <xdr:rowOff>41413</xdr:rowOff>
    </xdr:from>
    <xdr:to>
      <xdr:col>9</xdr:col>
      <xdr:colOff>323022</xdr:colOff>
      <xdr:row>115</xdr:row>
      <xdr:rowOff>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632590" y="17902693"/>
          <a:ext cx="3876592" cy="166546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4</xdr:col>
      <xdr:colOff>546652</xdr:colOff>
      <xdr:row>105</xdr:row>
      <xdr:rowOff>24848</xdr:rowOff>
    </xdr:from>
    <xdr:to>
      <xdr:col>5</xdr:col>
      <xdr:colOff>347870</xdr:colOff>
      <xdr:row>108</xdr:row>
      <xdr:rowOff>132522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7640872" y="17886128"/>
          <a:ext cx="753718" cy="6105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546652</xdr:colOff>
      <xdr:row>111</xdr:row>
      <xdr:rowOff>41414</xdr:rowOff>
    </xdr:from>
    <xdr:to>
      <xdr:col>5</xdr:col>
      <xdr:colOff>356152</xdr:colOff>
      <xdr:row>114</xdr:row>
      <xdr:rowOff>157370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 flipV="1">
          <a:off x="7640872" y="18939014"/>
          <a:ext cx="762000" cy="61887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455544</xdr:colOff>
      <xdr:row>105</xdr:row>
      <xdr:rowOff>41413</xdr:rowOff>
    </xdr:from>
    <xdr:to>
      <xdr:col>9</xdr:col>
      <xdr:colOff>323022</xdr:colOff>
      <xdr:row>108</xdr:row>
      <xdr:rowOff>157369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/>
      </xdr:nvCxnSpPr>
      <xdr:spPr>
        <a:xfrm flipV="1">
          <a:off x="10856844" y="17902693"/>
          <a:ext cx="652338" cy="61887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455544</xdr:colOff>
      <xdr:row>111</xdr:row>
      <xdr:rowOff>49695</xdr:rowOff>
    </xdr:from>
    <xdr:to>
      <xdr:col>9</xdr:col>
      <xdr:colOff>314739</xdr:colOff>
      <xdr:row>114</xdr:row>
      <xdr:rowOff>149087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>
          <a:off x="10856844" y="18947295"/>
          <a:ext cx="644055" cy="6023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364435</xdr:colOff>
      <xdr:row>98</xdr:row>
      <xdr:rowOff>107672</xdr:rowOff>
    </xdr:from>
    <xdr:to>
      <xdr:col>10</xdr:col>
      <xdr:colOff>132525</xdr:colOff>
      <xdr:row>121</xdr:row>
      <xdr:rowOff>165649</xdr:rowOff>
    </xdr:to>
    <xdr:sp macro="" textlink="">
      <xdr:nvSpPr>
        <xdr:cNvPr id="11" name="Trapecio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7805201" y="16441306"/>
          <a:ext cx="3951797" cy="4644890"/>
        </a:xfrm>
        <a:prstGeom prst="trapezoid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4</xdr:col>
      <xdr:colOff>463826</xdr:colOff>
      <xdr:row>104</xdr:row>
      <xdr:rowOff>157370</xdr:rowOff>
    </xdr:from>
    <xdr:to>
      <xdr:col>9</xdr:col>
      <xdr:colOff>405848</xdr:colOff>
      <xdr:row>115</xdr:row>
      <xdr:rowOff>74543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7558046" y="17851010"/>
          <a:ext cx="4033962" cy="179169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4</xdr:col>
      <xdr:colOff>364435</xdr:colOff>
      <xdr:row>104</xdr:row>
      <xdr:rowOff>99391</xdr:rowOff>
    </xdr:from>
    <xdr:to>
      <xdr:col>4</xdr:col>
      <xdr:colOff>447261</xdr:colOff>
      <xdr:row>104</xdr:row>
      <xdr:rowOff>149087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 flipH="1" flipV="1">
          <a:off x="7458655" y="17793031"/>
          <a:ext cx="82826" cy="496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364435</xdr:colOff>
      <xdr:row>115</xdr:row>
      <xdr:rowOff>74543</xdr:rowOff>
    </xdr:from>
    <xdr:to>
      <xdr:col>4</xdr:col>
      <xdr:colOff>488674</xdr:colOff>
      <xdr:row>115</xdr:row>
      <xdr:rowOff>149086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 flipH="1">
          <a:off x="7458655" y="19642703"/>
          <a:ext cx="124239" cy="74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405848</xdr:colOff>
      <xdr:row>115</xdr:row>
      <xdr:rowOff>82826</xdr:rowOff>
    </xdr:from>
    <xdr:to>
      <xdr:col>10</xdr:col>
      <xdr:colOff>115957</xdr:colOff>
      <xdr:row>122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>
        <a:xfrm>
          <a:off x="11592008" y="19650986"/>
          <a:ext cx="494969" cy="10982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414131</xdr:colOff>
      <xdr:row>98</xdr:row>
      <xdr:rowOff>99391</xdr:rowOff>
    </xdr:from>
    <xdr:to>
      <xdr:col>10</xdr:col>
      <xdr:colOff>115957</xdr:colOff>
      <xdr:row>105</xdr:row>
      <xdr:rowOff>8284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>
        <a:xfrm flipV="1">
          <a:off x="11600291" y="16779571"/>
          <a:ext cx="486686" cy="10899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654326</xdr:colOff>
      <xdr:row>105</xdr:row>
      <xdr:rowOff>140805</xdr:rowOff>
    </xdr:from>
    <xdr:to>
      <xdr:col>9</xdr:col>
      <xdr:colOff>215348</xdr:colOff>
      <xdr:row>114</xdr:row>
      <xdr:rowOff>66261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7748546" y="18002085"/>
          <a:ext cx="3652962" cy="1464696"/>
        </a:xfrm>
        <a:prstGeom prst="rect">
          <a:avLst/>
        </a:prstGeom>
        <a:solidFill>
          <a:srgbClr val="3333CC">
            <a:alpha val="45098"/>
          </a:srgbClr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3</xdr:col>
      <xdr:colOff>472109</xdr:colOff>
      <xdr:row>110</xdr:row>
      <xdr:rowOff>0</xdr:rowOff>
    </xdr:from>
    <xdr:to>
      <xdr:col>4</xdr:col>
      <xdr:colOff>323022</xdr:colOff>
      <xdr:row>110</xdr:row>
      <xdr:rowOff>140805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6781469" y="18699480"/>
          <a:ext cx="635773" cy="1408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9</xdr:col>
      <xdr:colOff>422412</xdr:colOff>
      <xdr:row>109</xdr:row>
      <xdr:rowOff>99391</xdr:rowOff>
    </xdr:from>
    <xdr:to>
      <xdr:col>10</xdr:col>
      <xdr:colOff>74543</xdr:colOff>
      <xdr:row>110</xdr:row>
      <xdr:rowOff>99392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1608572" y="18631231"/>
          <a:ext cx="436991" cy="16764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10</xdr:col>
      <xdr:colOff>74543</xdr:colOff>
      <xdr:row>110</xdr:row>
      <xdr:rowOff>16566</xdr:rowOff>
    </xdr:from>
    <xdr:to>
      <xdr:col>11</xdr:col>
      <xdr:colOff>438978</xdr:colOff>
      <xdr:row>110</xdr:row>
      <xdr:rowOff>24849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>
          <a:stCxn id="19" idx="3"/>
        </xdr:cNvCxnSpPr>
      </xdr:nvCxnSpPr>
      <xdr:spPr>
        <a:xfrm>
          <a:off x="12045563" y="18716046"/>
          <a:ext cx="1149295" cy="82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110</xdr:row>
      <xdr:rowOff>66261</xdr:rowOff>
    </xdr:from>
    <xdr:to>
      <xdr:col>3</xdr:col>
      <xdr:colOff>467139</xdr:colOff>
      <xdr:row>110</xdr:row>
      <xdr:rowOff>77858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6499860" y="18765741"/>
          <a:ext cx="276639" cy="115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198783</xdr:colOff>
      <xdr:row>128</xdr:row>
      <xdr:rowOff>0</xdr:rowOff>
    </xdr:from>
    <xdr:to>
      <xdr:col>10</xdr:col>
      <xdr:colOff>173935</xdr:colOff>
      <xdr:row>129</xdr:row>
      <xdr:rowOff>149087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CxnSpPr/>
      </xdr:nvCxnSpPr>
      <xdr:spPr>
        <a:xfrm>
          <a:off x="7293003" y="21762720"/>
          <a:ext cx="4851952" cy="316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795130</xdr:colOff>
      <xdr:row>127</xdr:row>
      <xdr:rowOff>49693</xdr:rowOff>
    </xdr:from>
    <xdr:to>
      <xdr:col>9</xdr:col>
      <xdr:colOff>198783</xdr:colOff>
      <xdr:row>129</xdr:row>
      <xdr:rowOff>74543</xdr:rowOff>
    </xdr:to>
    <xdr:sp macro="" textlink="">
      <xdr:nvSpPr>
        <xdr:cNvPr id="23" name="Trapeci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 rot="10800000">
          <a:off x="7889350" y="21644773"/>
          <a:ext cx="3495593" cy="360130"/>
        </a:xfrm>
        <a:prstGeom prst="trapezoid">
          <a:avLst>
            <a:gd name="adj" fmla="val 154912"/>
          </a:avLst>
        </a:prstGeom>
        <a:solidFill>
          <a:srgbClr val="4472C4">
            <a:alpha val="4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9</xdr:col>
      <xdr:colOff>308734</xdr:colOff>
      <xdr:row>127</xdr:row>
      <xdr:rowOff>15736</xdr:rowOff>
    </xdr:from>
    <xdr:to>
      <xdr:col>10</xdr:col>
      <xdr:colOff>91108</xdr:colOff>
      <xdr:row>129</xdr:row>
      <xdr:rowOff>157370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/>
      </xdr:nvCxnSpPr>
      <xdr:spPr>
        <a:xfrm>
          <a:off x="11494894" y="21610816"/>
          <a:ext cx="567234" cy="4769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496957</xdr:colOff>
      <xdr:row>127</xdr:row>
      <xdr:rowOff>66261</xdr:rowOff>
    </xdr:from>
    <xdr:to>
      <xdr:col>4</xdr:col>
      <xdr:colOff>646044</xdr:colOff>
      <xdr:row>128</xdr:row>
      <xdr:rowOff>33130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CxnSpPr/>
      </xdr:nvCxnSpPr>
      <xdr:spPr>
        <a:xfrm flipH="1">
          <a:off x="7591177" y="21661341"/>
          <a:ext cx="149087" cy="1345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637762</xdr:colOff>
      <xdr:row>126</xdr:row>
      <xdr:rowOff>157369</xdr:rowOff>
    </xdr:from>
    <xdr:to>
      <xdr:col>4</xdr:col>
      <xdr:colOff>778566</xdr:colOff>
      <xdr:row>127</xdr:row>
      <xdr:rowOff>57977</xdr:rowOff>
    </xdr:to>
    <xdr:sp macro="" textlink="">
      <xdr:nvSpPr>
        <xdr:cNvPr id="26" name="Trapeci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7731982" y="21577189"/>
          <a:ext cx="140804" cy="75868"/>
        </a:xfrm>
        <a:prstGeom prst="trapezoid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9</xdr:col>
      <xdr:colOff>193814</xdr:colOff>
      <xdr:row>126</xdr:row>
      <xdr:rowOff>152399</xdr:rowOff>
    </xdr:from>
    <xdr:to>
      <xdr:col>9</xdr:col>
      <xdr:colOff>334618</xdr:colOff>
      <xdr:row>127</xdr:row>
      <xdr:rowOff>53007</xdr:rowOff>
    </xdr:to>
    <xdr:sp macro="" textlink="">
      <xdr:nvSpPr>
        <xdr:cNvPr id="27" name="Trapeci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1379974" y="21572219"/>
          <a:ext cx="140804" cy="75868"/>
        </a:xfrm>
        <a:prstGeom prst="trapezoid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4</xdr:col>
      <xdr:colOff>708164</xdr:colOff>
      <xdr:row>126</xdr:row>
      <xdr:rowOff>152399</xdr:rowOff>
    </xdr:from>
    <xdr:to>
      <xdr:col>9</xdr:col>
      <xdr:colOff>264216</xdr:colOff>
      <xdr:row>126</xdr:row>
      <xdr:rowOff>157369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CxnSpPr>
          <a:stCxn id="26" idx="0"/>
          <a:endCxn id="27" idx="0"/>
        </xdr:cNvCxnSpPr>
      </xdr:nvCxnSpPr>
      <xdr:spPr>
        <a:xfrm flipV="1">
          <a:off x="7802384" y="21572219"/>
          <a:ext cx="3647992" cy="49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298174</xdr:colOff>
      <xdr:row>108</xdr:row>
      <xdr:rowOff>124239</xdr:rowOff>
    </xdr:from>
    <xdr:to>
      <xdr:col>10</xdr:col>
      <xdr:colOff>298174</xdr:colOff>
      <xdr:row>111</xdr:row>
      <xdr:rowOff>74543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/>
      </xdr:nvCxnSpPr>
      <xdr:spPr>
        <a:xfrm>
          <a:off x="12269194" y="18488439"/>
          <a:ext cx="0" cy="483704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331304</xdr:colOff>
      <xdr:row>115</xdr:row>
      <xdr:rowOff>132521</xdr:rowOff>
    </xdr:from>
    <xdr:to>
      <xdr:col>8</xdr:col>
      <xdr:colOff>480391</xdr:colOff>
      <xdr:row>115</xdr:row>
      <xdr:rowOff>157369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CxnSpPr/>
      </xdr:nvCxnSpPr>
      <xdr:spPr>
        <a:xfrm flipH="1">
          <a:off x="8378024" y="19700681"/>
          <a:ext cx="2503667" cy="24848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695739</xdr:colOff>
      <xdr:row>118</xdr:row>
      <xdr:rowOff>1</xdr:rowOff>
    </xdr:from>
    <xdr:to>
      <xdr:col>9</xdr:col>
      <xdr:colOff>190500</xdr:colOff>
      <xdr:row>118</xdr:row>
      <xdr:rowOff>6350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CxnSpPr/>
      </xdr:nvCxnSpPr>
      <xdr:spPr>
        <a:xfrm flipH="1" flipV="1">
          <a:off x="7013989" y="21939251"/>
          <a:ext cx="3552411" cy="6349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88900</xdr:colOff>
      <xdr:row>105</xdr:row>
      <xdr:rowOff>157370</xdr:rowOff>
    </xdr:from>
    <xdr:to>
      <xdr:col>11</xdr:col>
      <xdr:colOff>91109</xdr:colOff>
      <xdr:row>114</xdr:row>
      <xdr:rowOff>76200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CxnSpPr/>
      </xdr:nvCxnSpPr>
      <xdr:spPr>
        <a:xfrm flipH="1">
          <a:off x="12052300" y="19689970"/>
          <a:ext cx="2209" cy="1588880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712305</xdr:colOff>
      <xdr:row>105</xdr:row>
      <xdr:rowOff>57979</xdr:rowOff>
    </xdr:from>
    <xdr:to>
      <xdr:col>11</xdr:col>
      <xdr:colOff>712305</xdr:colOff>
      <xdr:row>114</xdr:row>
      <xdr:rowOff>149087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CxnSpPr/>
      </xdr:nvCxnSpPr>
      <xdr:spPr>
        <a:xfrm>
          <a:off x="12428055" y="19527079"/>
          <a:ext cx="0" cy="1761158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596348</xdr:colOff>
      <xdr:row>119</xdr:row>
      <xdr:rowOff>0</xdr:rowOff>
    </xdr:from>
    <xdr:to>
      <xdr:col>9</xdr:col>
      <xdr:colOff>339588</xdr:colOff>
      <xdr:row>119</xdr:row>
      <xdr:rowOff>33131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CxnSpPr/>
      </xdr:nvCxnSpPr>
      <xdr:spPr>
        <a:xfrm flipH="1" flipV="1">
          <a:off x="7690568" y="20238720"/>
          <a:ext cx="3835180" cy="33131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607944</xdr:colOff>
      <xdr:row>127</xdr:row>
      <xdr:rowOff>152400</xdr:rowOff>
    </xdr:from>
    <xdr:to>
      <xdr:col>4</xdr:col>
      <xdr:colOff>828261</xdr:colOff>
      <xdr:row>127</xdr:row>
      <xdr:rowOff>157369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 flipH="1" flipV="1">
          <a:off x="7702164" y="21747480"/>
          <a:ext cx="220317" cy="4969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636105</xdr:colOff>
      <xdr:row>126</xdr:row>
      <xdr:rowOff>89452</xdr:rowOff>
    </xdr:from>
    <xdr:to>
      <xdr:col>4</xdr:col>
      <xdr:colOff>780105</xdr:colOff>
      <xdr:row>126</xdr:row>
      <xdr:rowOff>94421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CxnSpPr/>
      </xdr:nvCxnSpPr>
      <xdr:spPr>
        <a:xfrm flipH="1" flipV="1">
          <a:off x="7730325" y="21509272"/>
          <a:ext cx="144000" cy="4969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563217</xdr:colOff>
      <xdr:row>126</xdr:row>
      <xdr:rowOff>91110</xdr:rowOff>
    </xdr:from>
    <xdr:to>
      <xdr:col>4</xdr:col>
      <xdr:colOff>571497</xdr:colOff>
      <xdr:row>127</xdr:row>
      <xdr:rowOff>107674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CxnSpPr/>
      </xdr:nvCxnSpPr>
      <xdr:spPr>
        <a:xfrm flipV="1">
          <a:off x="7657437" y="21510930"/>
          <a:ext cx="8280" cy="191824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704021</xdr:colOff>
      <xdr:row>127</xdr:row>
      <xdr:rowOff>24849</xdr:rowOff>
    </xdr:from>
    <xdr:to>
      <xdr:col>7</xdr:col>
      <xdr:colOff>712304</xdr:colOff>
      <xdr:row>129</xdr:row>
      <xdr:rowOff>107675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CxnSpPr/>
      </xdr:nvCxnSpPr>
      <xdr:spPr>
        <a:xfrm>
          <a:off x="10320461" y="21619929"/>
          <a:ext cx="8283" cy="418106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165652</xdr:colOff>
      <xdr:row>126</xdr:row>
      <xdr:rowOff>124239</xdr:rowOff>
    </xdr:from>
    <xdr:to>
      <xdr:col>7</xdr:col>
      <xdr:colOff>168965</xdr:colOff>
      <xdr:row>129</xdr:row>
      <xdr:rowOff>94422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CxnSpPr/>
      </xdr:nvCxnSpPr>
      <xdr:spPr>
        <a:xfrm>
          <a:off x="9782092" y="21544059"/>
          <a:ext cx="3313" cy="480723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331305</xdr:colOff>
      <xdr:row>129</xdr:row>
      <xdr:rowOff>41415</xdr:rowOff>
    </xdr:from>
    <xdr:to>
      <xdr:col>8</xdr:col>
      <xdr:colOff>521805</xdr:colOff>
      <xdr:row>129</xdr:row>
      <xdr:rowOff>49699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CxnSpPr/>
      </xdr:nvCxnSpPr>
      <xdr:spPr>
        <a:xfrm flipV="1">
          <a:off x="8378025" y="21971775"/>
          <a:ext cx="2545080" cy="8284"/>
        </a:xfrm>
        <a:prstGeom prst="line">
          <a:avLst/>
        </a:prstGeom>
        <a:ln w="76200">
          <a:solidFill>
            <a:srgbClr val="9966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226944</xdr:colOff>
      <xdr:row>128</xdr:row>
      <xdr:rowOff>135838</xdr:rowOff>
    </xdr:from>
    <xdr:to>
      <xdr:col>5</xdr:col>
      <xdr:colOff>235224</xdr:colOff>
      <xdr:row>129</xdr:row>
      <xdr:rowOff>114186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CxnSpPr/>
      </xdr:nvCxnSpPr>
      <xdr:spPr>
        <a:xfrm flipV="1">
          <a:off x="8273664" y="21898558"/>
          <a:ext cx="8280" cy="145988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339587</xdr:colOff>
      <xdr:row>129</xdr:row>
      <xdr:rowOff>140805</xdr:rowOff>
    </xdr:from>
    <xdr:to>
      <xdr:col>8</xdr:col>
      <xdr:colOff>488674</xdr:colOff>
      <xdr:row>130</xdr:row>
      <xdr:rowOff>1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CxnSpPr/>
      </xdr:nvCxnSpPr>
      <xdr:spPr>
        <a:xfrm flipH="1">
          <a:off x="8386307" y="22071165"/>
          <a:ext cx="2503667" cy="26836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737152</xdr:colOff>
      <xdr:row>124</xdr:row>
      <xdr:rowOff>149087</xdr:rowOff>
    </xdr:from>
    <xdr:to>
      <xdr:col>9</xdr:col>
      <xdr:colOff>256762</xdr:colOff>
      <xdr:row>124</xdr:row>
      <xdr:rowOff>157369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CxnSpPr/>
      </xdr:nvCxnSpPr>
      <xdr:spPr>
        <a:xfrm flipH="1" flipV="1">
          <a:off x="6817912" y="23029407"/>
          <a:ext cx="3573450" cy="8282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864704</xdr:colOff>
      <xdr:row>104</xdr:row>
      <xdr:rowOff>16565</xdr:rowOff>
    </xdr:from>
    <xdr:to>
      <xdr:col>8</xdr:col>
      <xdr:colOff>753718</xdr:colOff>
      <xdr:row>104</xdr:row>
      <xdr:rowOff>19879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CxnSpPr/>
      </xdr:nvCxnSpPr>
      <xdr:spPr>
        <a:xfrm flipH="1">
          <a:off x="7958924" y="17710205"/>
          <a:ext cx="3196094" cy="3314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273324</xdr:colOff>
      <xdr:row>106</xdr:row>
      <xdr:rowOff>140804</xdr:rowOff>
    </xdr:from>
    <xdr:to>
      <xdr:col>4</xdr:col>
      <xdr:colOff>279400</xdr:colOff>
      <xdr:row>113</xdr:row>
      <xdr:rowOff>19050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CxnSpPr/>
      </xdr:nvCxnSpPr>
      <xdr:spPr>
        <a:xfrm>
          <a:off x="6591574" y="19857554"/>
          <a:ext cx="6076" cy="1179996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1714500</xdr:colOff>
      <xdr:row>129</xdr:row>
      <xdr:rowOff>76200</xdr:rowOff>
    </xdr:from>
    <xdr:ext cx="447675" cy="485775"/>
    <xdr:sp macro="" textlink="">
      <xdr:nvSpPr>
        <xdr:cNvPr id="158" name="Shape 821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/>
      </xdr:nvSpPr>
      <xdr:spPr>
        <a:xfrm>
          <a:off x="1714500" y="20964525"/>
          <a:ext cx="44767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0</xdr:col>
      <xdr:colOff>825075</xdr:colOff>
      <xdr:row>128</xdr:row>
      <xdr:rowOff>111125</xdr:rowOff>
    </xdr:from>
    <xdr:to>
      <xdr:col>0</xdr:col>
      <xdr:colOff>2070652</xdr:colOff>
      <xdr:row>131</xdr:row>
      <xdr:rowOff>167586</xdr:rowOff>
    </xdr:to>
    <xdr:sp macro="" textlink="">
      <xdr:nvSpPr>
        <xdr:cNvPr id="111" name="Rectángulo: esquinas redondeadas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825075" y="24582438"/>
          <a:ext cx="1245577" cy="62796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0</xdr:col>
      <xdr:colOff>1301325</xdr:colOff>
      <xdr:row>129</xdr:row>
      <xdr:rowOff>150345</xdr:rowOff>
    </xdr:from>
    <xdr:to>
      <xdr:col>0</xdr:col>
      <xdr:colOff>1733614</xdr:colOff>
      <xdr:row>131</xdr:row>
      <xdr:rowOff>167586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1301325" y="24812158"/>
          <a:ext cx="432289" cy="398241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0</xdr:col>
      <xdr:colOff>1350065</xdr:colOff>
      <xdr:row>132</xdr:row>
      <xdr:rowOff>126190</xdr:rowOff>
    </xdr:from>
    <xdr:to>
      <xdr:col>1</xdr:col>
      <xdr:colOff>14149</xdr:colOff>
      <xdr:row>136</xdr:row>
      <xdr:rowOff>176617</xdr:rowOff>
    </xdr:to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1350065" y="25359503"/>
          <a:ext cx="2037522" cy="81242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762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0</xdr:col>
      <xdr:colOff>1648239</xdr:colOff>
      <xdr:row>132</xdr:row>
      <xdr:rowOff>159321</xdr:rowOff>
    </xdr:from>
    <xdr:to>
      <xdr:col>0</xdr:col>
      <xdr:colOff>1656522</xdr:colOff>
      <xdr:row>135</xdr:row>
      <xdr:rowOff>124973</xdr:rowOff>
    </xdr:to>
    <xdr:cxnSp macro="">
      <xdr:nvCxnSpPr>
        <xdr:cNvPr id="114" name="Conector recto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CxnSpPr/>
      </xdr:nvCxnSpPr>
      <xdr:spPr>
        <a:xfrm flipH="1">
          <a:off x="1648239" y="25392634"/>
          <a:ext cx="8283" cy="53715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1916595</xdr:colOff>
      <xdr:row>133</xdr:row>
      <xdr:rowOff>189432</xdr:rowOff>
    </xdr:from>
    <xdr:to>
      <xdr:col>0</xdr:col>
      <xdr:colOff>1924878</xdr:colOff>
      <xdr:row>136</xdr:row>
      <xdr:rowOff>155083</xdr:rowOff>
    </xdr:to>
    <xdr:cxnSp macro="">
      <xdr:nvCxnSpPr>
        <xdr:cNvPr id="115" name="Conector recto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CxnSpPr/>
      </xdr:nvCxnSpPr>
      <xdr:spPr>
        <a:xfrm flipH="1">
          <a:off x="1916595" y="25613245"/>
          <a:ext cx="8283" cy="537151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2189922</xdr:colOff>
      <xdr:row>132</xdr:row>
      <xdr:rowOff>146068</xdr:rowOff>
    </xdr:from>
    <xdr:to>
      <xdr:col>0</xdr:col>
      <xdr:colOff>2198205</xdr:colOff>
      <xdr:row>135</xdr:row>
      <xdr:rowOff>111720</xdr:rowOff>
    </xdr:to>
    <xdr:cxnSp macro="">
      <xdr:nvCxnSpPr>
        <xdr:cNvPr id="116" name="Conector recto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CxnSpPr/>
      </xdr:nvCxnSpPr>
      <xdr:spPr>
        <a:xfrm flipH="1">
          <a:off x="2189922" y="25379381"/>
          <a:ext cx="8283" cy="53715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2458278</xdr:colOff>
      <xdr:row>133</xdr:row>
      <xdr:rowOff>179345</xdr:rowOff>
    </xdr:from>
    <xdr:to>
      <xdr:col>0</xdr:col>
      <xdr:colOff>2466561</xdr:colOff>
      <xdr:row>136</xdr:row>
      <xdr:rowOff>141830</xdr:rowOff>
    </xdr:to>
    <xdr:cxnSp macro="">
      <xdr:nvCxnSpPr>
        <xdr:cNvPr id="117" name="Conector recto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CxnSpPr/>
      </xdr:nvCxnSpPr>
      <xdr:spPr>
        <a:xfrm flipH="1">
          <a:off x="2458278" y="25603158"/>
          <a:ext cx="8283" cy="53398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2789582</xdr:colOff>
      <xdr:row>132</xdr:row>
      <xdr:rowOff>141098</xdr:rowOff>
    </xdr:from>
    <xdr:to>
      <xdr:col>0</xdr:col>
      <xdr:colOff>2797865</xdr:colOff>
      <xdr:row>135</xdr:row>
      <xdr:rowOff>106750</xdr:rowOff>
    </xdr:to>
    <xdr:cxnSp macro="">
      <xdr:nvCxnSpPr>
        <xdr:cNvPr id="118" name="Conector recto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CxnSpPr/>
      </xdr:nvCxnSpPr>
      <xdr:spPr>
        <a:xfrm flipH="1">
          <a:off x="2789582" y="25374411"/>
          <a:ext cx="8283" cy="53715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3066221</xdr:colOff>
      <xdr:row>133</xdr:row>
      <xdr:rowOff>174375</xdr:rowOff>
    </xdr:from>
    <xdr:to>
      <xdr:col>0</xdr:col>
      <xdr:colOff>3074504</xdr:colOff>
      <xdr:row>136</xdr:row>
      <xdr:rowOff>136860</xdr:rowOff>
    </xdr:to>
    <xdr:cxnSp macro="">
      <xdr:nvCxnSpPr>
        <xdr:cNvPr id="119" name="Conector recto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CxnSpPr/>
      </xdr:nvCxnSpPr>
      <xdr:spPr>
        <a:xfrm flipH="1">
          <a:off x="3066221" y="25598188"/>
          <a:ext cx="8283" cy="53398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896</xdr:colOff>
      <xdr:row>136</xdr:row>
      <xdr:rowOff>50575</xdr:rowOff>
    </xdr:from>
    <xdr:to>
      <xdr:col>1</xdr:col>
      <xdr:colOff>364113</xdr:colOff>
      <xdr:row>136</xdr:row>
      <xdr:rowOff>50576</xdr:rowOff>
    </xdr:to>
    <xdr:cxnSp macro="">
      <xdr:nvCxnSpPr>
        <xdr:cNvPr id="120" name="Conector recto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CxnSpPr/>
      </xdr:nvCxnSpPr>
      <xdr:spPr>
        <a:xfrm>
          <a:off x="3374334" y="26045888"/>
          <a:ext cx="363217" cy="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1499152</xdr:colOff>
      <xdr:row>131</xdr:row>
      <xdr:rowOff>170770</xdr:rowOff>
    </xdr:from>
    <xdr:to>
      <xdr:col>0</xdr:col>
      <xdr:colOff>1507435</xdr:colOff>
      <xdr:row>133</xdr:row>
      <xdr:rowOff>31914</xdr:rowOff>
    </xdr:to>
    <xdr:cxnSp macro="">
      <xdr:nvCxnSpPr>
        <xdr:cNvPr id="121" name="Conector recto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CxnSpPr/>
      </xdr:nvCxnSpPr>
      <xdr:spPr>
        <a:xfrm flipH="1">
          <a:off x="1499152" y="25213583"/>
          <a:ext cx="8283" cy="242144"/>
        </a:xfrm>
        <a:prstGeom prst="line">
          <a:avLst/>
        </a:prstGeom>
        <a:ln w="28575">
          <a:solidFill>
            <a:srgbClr val="9966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1316933</xdr:colOff>
      <xdr:row>130</xdr:row>
      <xdr:rowOff>33114</xdr:rowOff>
    </xdr:from>
    <xdr:to>
      <xdr:col>0</xdr:col>
      <xdr:colOff>1755912</xdr:colOff>
      <xdr:row>132</xdr:row>
      <xdr:rowOff>134477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/>
      </xdr:nvSpPr>
      <xdr:spPr>
        <a:xfrm>
          <a:off x="1316933" y="24885427"/>
          <a:ext cx="438979" cy="482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Cl2</a:t>
          </a:r>
        </a:p>
      </xdr:txBody>
    </xdr:sp>
    <xdr:clientData/>
  </xdr:twoCellAnchor>
  <xdr:twoCellAnchor>
    <xdr:from>
      <xdr:col>0</xdr:col>
      <xdr:colOff>190500</xdr:colOff>
      <xdr:row>131</xdr:row>
      <xdr:rowOff>187334</xdr:rowOff>
    </xdr:from>
    <xdr:to>
      <xdr:col>0</xdr:col>
      <xdr:colOff>1469333</xdr:colOff>
      <xdr:row>133</xdr:row>
      <xdr:rowOff>93209</xdr:rowOff>
    </xdr:to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/>
      </xdr:nvSpPr>
      <xdr:spPr>
        <a:xfrm flipH="1">
          <a:off x="190500" y="25230147"/>
          <a:ext cx="1278833" cy="28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Laguna Fac</a:t>
          </a:r>
        </a:p>
      </xdr:txBody>
    </xdr:sp>
    <xdr:clientData/>
  </xdr:twoCellAnchor>
  <xdr:twoCellAnchor>
    <xdr:from>
      <xdr:col>1</xdr:col>
      <xdr:colOff>100286</xdr:colOff>
      <xdr:row>132</xdr:row>
      <xdr:rowOff>179199</xdr:rowOff>
    </xdr:from>
    <xdr:to>
      <xdr:col>1</xdr:col>
      <xdr:colOff>105257</xdr:colOff>
      <xdr:row>136</xdr:row>
      <xdr:rowOff>176617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CxnSpPr/>
      </xdr:nvCxnSpPr>
      <xdr:spPr>
        <a:xfrm>
          <a:off x="3473724" y="25412512"/>
          <a:ext cx="4971" cy="759418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1408044</xdr:colOff>
      <xdr:row>132</xdr:row>
      <xdr:rowOff>38248</xdr:rowOff>
    </xdr:from>
    <xdr:to>
      <xdr:col>0</xdr:col>
      <xdr:colOff>3346174</xdr:colOff>
      <xdr:row>132</xdr:row>
      <xdr:rowOff>46531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CxnSpPr/>
      </xdr:nvCxnSpPr>
      <xdr:spPr>
        <a:xfrm flipH="1">
          <a:off x="1408044" y="25271561"/>
          <a:ext cx="1938130" cy="8283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3076162</xdr:colOff>
      <xdr:row>137</xdr:row>
      <xdr:rowOff>63970</xdr:rowOff>
    </xdr:from>
    <xdr:to>
      <xdr:col>1</xdr:col>
      <xdr:colOff>5866</xdr:colOff>
      <xdr:row>137</xdr:row>
      <xdr:rowOff>68940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CxnSpPr/>
      </xdr:nvCxnSpPr>
      <xdr:spPr>
        <a:xfrm flipH="1" flipV="1">
          <a:off x="3076162" y="26249783"/>
          <a:ext cx="303142" cy="4970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1362808</xdr:colOff>
      <xdr:row>141</xdr:row>
      <xdr:rowOff>38162</xdr:rowOff>
    </xdr:from>
    <xdr:to>
      <xdr:col>1</xdr:col>
      <xdr:colOff>40908</xdr:colOff>
      <xdr:row>144</xdr:row>
      <xdr:rowOff>110210</xdr:rowOff>
    </xdr:to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1362808" y="26985975"/>
          <a:ext cx="2051538" cy="64354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762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PY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141</xdr:row>
      <xdr:rowOff>23508</xdr:rowOff>
    </xdr:from>
    <xdr:to>
      <xdr:col>2</xdr:col>
      <xdr:colOff>121505</xdr:colOff>
      <xdr:row>141</xdr:row>
      <xdr:rowOff>23508</xdr:rowOff>
    </xdr:to>
    <xdr:cxnSp macro="">
      <xdr:nvCxnSpPr>
        <xdr:cNvPr id="130" name="Conector recto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CxnSpPr/>
      </xdr:nvCxnSpPr>
      <xdr:spPr>
        <a:xfrm>
          <a:off x="0" y="26971321"/>
          <a:ext cx="42648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1384789</xdr:colOff>
      <xdr:row>141</xdr:row>
      <xdr:rowOff>0</xdr:rowOff>
    </xdr:from>
    <xdr:to>
      <xdr:col>1</xdr:col>
      <xdr:colOff>4274</xdr:colOff>
      <xdr:row>143</xdr:row>
      <xdr:rowOff>19233</xdr:rowOff>
    </xdr:to>
    <xdr:sp macro="" textlink="">
      <xdr:nvSpPr>
        <xdr:cNvPr id="131" name="Rectángulo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1384789" y="26947813"/>
          <a:ext cx="1992923" cy="400233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0</xdr:col>
      <xdr:colOff>1904809</xdr:colOff>
      <xdr:row>142</xdr:row>
      <xdr:rowOff>134937</xdr:rowOff>
    </xdr:from>
    <xdr:to>
      <xdr:col>0</xdr:col>
      <xdr:colOff>1905000</xdr:colOff>
      <xdr:row>144</xdr:row>
      <xdr:rowOff>93202</xdr:rowOff>
    </xdr:to>
    <xdr:cxnSp macro="">
      <xdr:nvCxnSpPr>
        <xdr:cNvPr id="132" name="Conector recto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CxnSpPr/>
      </xdr:nvCxnSpPr>
      <xdr:spPr>
        <a:xfrm flipH="1">
          <a:off x="1904809" y="27273250"/>
          <a:ext cx="191" cy="33926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2518805</xdr:colOff>
      <xdr:row>142</xdr:row>
      <xdr:rowOff>164306</xdr:rowOff>
    </xdr:from>
    <xdr:to>
      <xdr:col>0</xdr:col>
      <xdr:colOff>2518996</xdr:colOff>
      <xdr:row>144</xdr:row>
      <xdr:rowOff>122571</xdr:rowOff>
    </xdr:to>
    <xdr:cxnSp macro="">
      <xdr:nvCxnSpPr>
        <xdr:cNvPr id="133" name="Conector recto 1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CxnSpPr/>
      </xdr:nvCxnSpPr>
      <xdr:spPr>
        <a:xfrm flipH="1">
          <a:off x="2518805" y="27302619"/>
          <a:ext cx="191" cy="33926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3096167</xdr:colOff>
      <xdr:row>142</xdr:row>
      <xdr:rowOff>102698</xdr:rowOff>
    </xdr:from>
    <xdr:to>
      <xdr:col>0</xdr:col>
      <xdr:colOff>3096358</xdr:colOff>
      <xdr:row>144</xdr:row>
      <xdr:rowOff>60963</xdr:rowOff>
    </xdr:to>
    <xdr:cxnSp macro="">
      <xdr:nvCxnSpPr>
        <xdr:cNvPr id="134" name="Conector recto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CxnSpPr/>
      </xdr:nvCxnSpPr>
      <xdr:spPr>
        <a:xfrm flipH="1">
          <a:off x="3096167" y="27241011"/>
          <a:ext cx="191" cy="33926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1648558</xdr:colOff>
      <xdr:row>142</xdr:row>
      <xdr:rowOff>120284</xdr:rowOff>
    </xdr:from>
    <xdr:to>
      <xdr:col>0</xdr:col>
      <xdr:colOff>1648749</xdr:colOff>
      <xdr:row>144</xdr:row>
      <xdr:rowOff>78549</xdr:rowOff>
    </xdr:to>
    <xdr:cxnSp macro="">
      <xdr:nvCxnSpPr>
        <xdr:cNvPr id="135" name="Conector recto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CxnSpPr/>
      </xdr:nvCxnSpPr>
      <xdr:spPr>
        <a:xfrm flipH="1">
          <a:off x="1648558" y="27258597"/>
          <a:ext cx="191" cy="339265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2225920</xdr:colOff>
      <xdr:row>142</xdr:row>
      <xdr:rowOff>96838</xdr:rowOff>
    </xdr:from>
    <xdr:to>
      <xdr:col>0</xdr:col>
      <xdr:colOff>2226111</xdr:colOff>
      <xdr:row>144</xdr:row>
      <xdr:rowOff>55103</xdr:rowOff>
    </xdr:to>
    <xdr:cxnSp macro="">
      <xdr:nvCxnSpPr>
        <xdr:cNvPr id="136" name="Conector recto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CxnSpPr/>
      </xdr:nvCxnSpPr>
      <xdr:spPr>
        <a:xfrm flipH="1">
          <a:off x="2225920" y="27235151"/>
          <a:ext cx="191" cy="339265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2825263</xdr:colOff>
      <xdr:row>142</xdr:row>
      <xdr:rowOff>95372</xdr:rowOff>
    </xdr:from>
    <xdr:to>
      <xdr:col>0</xdr:col>
      <xdr:colOff>2825454</xdr:colOff>
      <xdr:row>144</xdr:row>
      <xdr:rowOff>53637</xdr:rowOff>
    </xdr:to>
    <xdr:cxnSp macro="">
      <xdr:nvCxnSpPr>
        <xdr:cNvPr id="137" name="Conector recto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CxnSpPr/>
      </xdr:nvCxnSpPr>
      <xdr:spPr>
        <a:xfrm flipH="1">
          <a:off x="2825263" y="27233685"/>
          <a:ext cx="191" cy="339265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1531327</xdr:colOff>
      <xdr:row>142</xdr:row>
      <xdr:rowOff>56252</xdr:rowOff>
    </xdr:from>
    <xdr:to>
      <xdr:col>0</xdr:col>
      <xdr:colOff>1539610</xdr:colOff>
      <xdr:row>143</xdr:row>
      <xdr:rowOff>106838</xdr:rowOff>
    </xdr:to>
    <xdr:cxnSp macro="">
      <xdr:nvCxnSpPr>
        <xdr:cNvPr id="138" name="Conector recto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CxnSpPr/>
      </xdr:nvCxnSpPr>
      <xdr:spPr>
        <a:xfrm flipH="1">
          <a:off x="1531327" y="27194565"/>
          <a:ext cx="8283" cy="241086"/>
        </a:xfrm>
        <a:prstGeom prst="line">
          <a:avLst/>
        </a:prstGeom>
        <a:ln w="28575">
          <a:solidFill>
            <a:srgbClr val="9966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1105855</xdr:colOff>
      <xdr:row>142</xdr:row>
      <xdr:rowOff>113084</xdr:rowOff>
    </xdr:from>
    <xdr:to>
      <xdr:col>0</xdr:col>
      <xdr:colOff>1465193</xdr:colOff>
      <xdr:row>142</xdr:row>
      <xdr:rowOff>113085</xdr:rowOff>
    </xdr:to>
    <xdr:cxnSp macro="">
      <xdr:nvCxnSpPr>
        <xdr:cNvPr id="139" name="Conector recto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CxnSpPr/>
      </xdr:nvCxnSpPr>
      <xdr:spPr>
        <a:xfrm>
          <a:off x="1105855" y="27251397"/>
          <a:ext cx="359338" cy="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16952</xdr:colOff>
      <xdr:row>142</xdr:row>
      <xdr:rowOff>186414</xdr:rowOff>
    </xdr:from>
    <xdr:to>
      <xdr:col>1</xdr:col>
      <xdr:colOff>376901</xdr:colOff>
      <xdr:row>142</xdr:row>
      <xdr:rowOff>186415</xdr:rowOff>
    </xdr:to>
    <xdr:cxnSp macro="">
      <xdr:nvCxnSpPr>
        <xdr:cNvPr id="140" name="Conector recto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CxnSpPr/>
      </xdr:nvCxnSpPr>
      <xdr:spPr>
        <a:xfrm>
          <a:off x="3390390" y="27324727"/>
          <a:ext cx="359949" cy="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136158</xdr:colOff>
      <xdr:row>142</xdr:row>
      <xdr:rowOff>180426</xdr:rowOff>
    </xdr:from>
    <xdr:to>
      <xdr:col>1</xdr:col>
      <xdr:colOff>143485</xdr:colOff>
      <xdr:row>144</xdr:row>
      <xdr:rowOff>132191</xdr:rowOff>
    </xdr:to>
    <xdr:cxnSp macro="">
      <xdr:nvCxnSpPr>
        <xdr:cNvPr id="141" name="Conector recto de flecha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CxnSpPr/>
      </xdr:nvCxnSpPr>
      <xdr:spPr>
        <a:xfrm flipH="1">
          <a:off x="3509596" y="27318739"/>
          <a:ext cx="7327" cy="332765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325438</xdr:colOff>
      <xdr:row>135</xdr:row>
      <xdr:rowOff>87312</xdr:rowOff>
    </xdr:from>
    <xdr:to>
      <xdr:col>2</xdr:col>
      <xdr:colOff>836749</xdr:colOff>
      <xdr:row>136</xdr:row>
      <xdr:rowOff>184153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/>
      </xdr:nvSpPr>
      <xdr:spPr>
        <a:xfrm flipH="1">
          <a:off x="3698876" y="25892125"/>
          <a:ext cx="1281248" cy="287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Y" sz="1100"/>
            <a:t>Cuerpo de agua</a:t>
          </a:r>
        </a:p>
      </xdr:txBody>
    </xdr:sp>
    <xdr:clientData/>
  </xdr:twoCellAnchor>
  <xdr:twoCellAnchor>
    <xdr:from>
      <xdr:col>0</xdr:col>
      <xdr:colOff>967684</xdr:colOff>
      <xdr:row>133</xdr:row>
      <xdr:rowOff>125188</xdr:rowOff>
    </xdr:from>
    <xdr:to>
      <xdr:col>0</xdr:col>
      <xdr:colOff>1330901</xdr:colOff>
      <xdr:row>133</xdr:row>
      <xdr:rowOff>125189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CxnSpPr/>
      </xdr:nvCxnSpPr>
      <xdr:spPr>
        <a:xfrm>
          <a:off x="967684" y="24833038"/>
          <a:ext cx="363217" cy="1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1.wmf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8953"/>
  </sheetPr>
  <dimension ref="A1:AR1001"/>
  <sheetViews>
    <sheetView topLeftCell="A79" zoomScale="110" zoomScaleNormal="110" workbookViewId="0">
      <selection activeCell="B49" sqref="B49"/>
    </sheetView>
  </sheetViews>
  <sheetFormatPr baseColWidth="10" defaultColWidth="14.44140625" defaultRowHeight="15" customHeight="1" x14ac:dyDescent="0.3"/>
  <cols>
    <col min="1" max="1" width="63.5546875" customWidth="1"/>
    <col min="2" max="2" width="11.44140625" customWidth="1"/>
    <col min="3" max="3" width="13.44140625" style="118" customWidth="1"/>
    <col min="4" max="4" width="10.6640625" customWidth="1"/>
    <col min="5" max="5" width="31.5546875" customWidth="1"/>
    <col min="6" max="6" width="17.6640625" customWidth="1"/>
    <col min="7" max="10" width="10.6640625" customWidth="1"/>
    <col min="11" max="11" width="18.44140625" customWidth="1"/>
    <col min="12" max="17" width="10.6640625" customWidth="1"/>
    <col min="18" max="24" width="10" customWidth="1"/>
    <col min="25" max="25" width="13.109375" customWidth="1"/>
    <col min="26" max="26" width="11.88671875" customWidth="1"/>
    <col min="27" max="27" width="12" customWidth="1"/>
    <col min="28" max="28" width="11.6640625" customWidth="1"/>
    <col min="29" max="29" width="11.33203125" customWidth="1"/>
    <col min="30" max="30" width="12" customWidth="1"/>
    <col min="31" max="31" width="11.6640625" customWidth="1"/>
    <col min="32" max="32" width="12" customWidth="1"/>
    <col min="33" max="33" width="13.6640625" customWidth="1"/>
    <col min="34" max="35" width="12.88671875" customWidth="1"/>
    <col min="36" max="36" width="11.5546875" customWidth="1"/>
    <col min="37" max="37" width="13.5546875" customWidth="1"/>
    <col min="38" max="38" width="12.6640625" customWidth="1"/>
    <col min="39" max="39" width="12" customWidth="1"/>
    <col min="40" max="40" width="11.5546875" customWidth="1"/>
    <col min="41" max="41" width="12.109375" customWidth="1"/>
    <col min="42" max="42" width="11.33203125" customWidth="1"/>
    <col min="43" max="43" width="11.5546875" customWidth="1"/>
    <col min="44" max="44" width="10.44140625" customWidth="1"/>
  </cols>
  <sheetData>
    <row r="1" spans="1:11" ht="21.6" thickBot="1" x14ac:dyDescent="0.45">
      <c r="A1" s="613" t="s">
        <v>987</v>
      </c>
      <c r="B1" s="614"/>
      <c r="C1" s="615"/>
      <c r="E1" s="612" t="s">
        <v>2</v>
      </c>
      <c r="F1" s="612"/>
      <c r="G1" s="612"/>
      <c r="H1" s="612"/>
      <c r="I1" s="612"/>
      <c r="J1" s="612"/>
      <c r="K1" s="612"/>
    </row>
    <row r="2" spans="1:11" ht="15" customHeight="1" x14ac:dyDescent="0.3">
      <c r="A2" s="626" t="s">
        <v>0</v>
      </c>
      <c r="B2" s="627"/>
      <c r="C2" s="628"/>
      <c r="E2" s="637" t="s">
        <v>1013</v>
      </c>
      <c r="F2" s="638"/>
      <c r="G2" s="638"/>
      <c r="H2" s="638"/>
      <c r="I2" s="638"/>
      <c r="J2" s="638"/>
      <c r="K2" s="638"/>
    </row>
    <row r="3" spans="1:11" ht="14.4" x14ac:dyDescent="0.3">
      <c r="A3" s="288" t="s">
        <v>5</v>
      </c>
      <c r="B3" s="600">
        <v>12</v>
      </c>
      <c r="C3" s="289" t="s">
        <v>7</v>
      </c>
      <c r="E3" s="638"/>
      <c r="F3" s="638"/>
      <c r="G3" s="638"/>
      <c r="H3" s="638"/>
      <c r="I3" s="638"/>
      <c r="J3" s="638"/>
      <c r="K3" s="638"/>
    </row>
    <row r="4" spans="1:11" ht="14.4" x14ac:dyDescent="0.3">
      <c r="A4" s="288" t="s">
        <v>8</v>
      </c>
      <c r="B4" s="600">
        <v>6</v>
      </c>
      <c r="C4" s="289" t="s">
        <v>9</v>
      </c>
      <c r="E4" s="638"/>
      <c r="F4" s="638"/>
      <c r="G4" s="638"/>
      <c r="H4" s="638"/>
      <c r="I4" s="638"/>
      <c r="J4" s="638"/>
      <c r="K4" s="638"/>
    </row>
    <row r="5" spans="1:11" ht="15" customHeight="1" x14ac:dyDescent="0.3">
      <c r="A5" s="288" t="s">
        <v>10</v>
      </c>
      <c r="B5" s="600">
        <v>22</v>
      </c>
      <c r="C5" s="289" t="s">
        <v>11</v>
      </c>
      <c r="E5" s="639" t="s">
        <v>1014</v>
      </c>
      <c r="F5" s="640"/>
      <c r="G5" s="640"/>
      <c r="H5" s="640"/>
      <c r="I5" s="640"/>
      <c r="J5" s="640"/>
      <c r="K5" s="640"/>
    </row>
    <row r="6" spans="1:11" ht="14.4" x14ac:dyDescent="0.3">
      <c r="A6" s="288" t="s">
        <v>13</v>
      </c>
      <c r="B6" s="600">
        <v>6</v>
      </c>
      <c r="C6" s="289" t="s">
        <v>14</v>
      </c>
      <c r="E6" s="640"/>
      <c r="F6" s="640"/>
      <c r="G6" s="640"/>
      <c r="H6" s="640"/>
      <c r="I6" s="640"/>
      <c r="J6" s="640"/>
      <c r="K6" s="640"/>
    </row>
    <row r="7" spans="1:11" ht="14.4" x14ac:dyDescent="0.3">
      <c r="A7" s="288" t="s">
        <v>15</v>
      </c>
      <c r="B7" s="600">
        <v>3</v>
      </c>
      <c r="C7" s="289" t="s">
        <v>16</v>
      </c>
      <c r="E7" s="640"/>
      <c r="F7" s="640"/>
      <c r="G7" s="640"/>
      <c r="H7" s="640"/>
      <c r="I7" s="640"/>
      <c r="J7" s="640"/>
      <c r="K7" s="640"/>
    </row>
    <row r="8" spans="1:11" ht="14.4" x14ac:dyDescent="0.3">
      <c r="A8" s="288" t="s">
        <v>17</v>
      </c>
      <c r="B8" s="600">
        <v>2</v>
      </c>
      <c r="C8" s="289" t="s">
        <v>18</v>
      </c>
    </row>
    <row r="9" spans="1:11" ht="14.4" x14ac:dyDescent="0.3">
      <c r="A9" s="288" t="s">
        <v>19</v>
      </c>
      <c r="B9" s="600">
        <v>1</v>
      </c>
      <c r="C9" s="289" t="s">
        <v>18</v>
      </c>
    </row>
    <row r="10" spans="1:11" ht="14.4" x14ac:dyDescent="0.3">
      <c r="A10" s="288" t="s">
        <v>21</v>
      </c>
      <c r="B10" s="600">
        <v>10</v>
      </c>
      <c r="C10" s="289" t="s">
        <v>22</v>
      </c>
    </row>
    <row r="11" spans="1:11" ht="14.4" x14ac:dyDescent="0.3">
      <c r="A11" s="290" t="s">
        <v>23</v>
      </c>
      <c r="B11" s="291">
        <f>+B3*B4*(B5*B6*(B7*B8+B9))</f>
        <v>66528</v>
      </c>
      <c r="C11" s="289" t="s">
        <v>18</v>
      </c>
    </row>
    <row r="12" spans="1:11" ht="14.4" x14ac:dyDescent="0.3">
      <c r="A12" s="290" t="s">
        <v>25</v>
      </c>
      <c r="B12" s="292">
        <f>(B6*B5)*B10/100*B4*B3</f>
        <v>950.39999999999986</v>
      </c>
      <c r="C12" s="289" t="s">
        <v>28</v>
      </c>
      <c r="E12" s="6" t="s">
        <v>29</v>
      </c>
    </row>
    <row r="13" spans="1:11" ht="14.4" x14ac:dyDescent="0.3">
      <c r="A13" s="289" t="s">
        <v>31</v>
      </c>
      <c r="B13" s="310">
        <v>200</v>
      </c>
      <c r="C13" s="289" t="s">
        <v>32</v>
      </c>
      <c r="D13" t="s">
        <v>33</v>
      </c>
      <c r="E13" s="6" t="s">
        <v>34</v>
      </c>
    </row>
    <row r="14" spans="1:11" ht="14.4" x14ac:dyDescent="0.3">
      <c r="A14" s="289" t="s">
        <v>35</v>
      </c>
      <c r="B14" s="310">
        <v>50</v>
      </c>
      <c r="C14" s="289" t="s">
        <v>32</v>
      </c>
      <c r="D14" t="s">
        <v>33</v>
      </c>
      <c r="E14" t="s">
        <v>36</v>
      </c>
    </row>
    <row r="15" spans="1:11" ht="14.4" x14ac:dyDescent="0.3">
      <c r="A15" s="299" t="s">
        <v>37</v>
      </c>
      <c r="B15" s="291">
        <f>B11*B13+B12*B14</f>
        <v>13353120</v>
      </c>
      <c r="C15" s="289" t="s">
        <v>39</v>
      </c>
    </row>
    <row r="16" spans="1:11" ht="14.4" x14ac:dyDescent="0.3">
      <c r="A16" s="328"/>
      <c r="B16" s="326">
        <f>+B15/1000</f>
        <v>13353.12</v>
      </c>
      <c r="C16" s="289" t="s">
        <v>3</v>
      </c>
    </row>
    <row r="17" spans="1:44" ht="14.4" x14ac:dyDescent="0.3">
      <c r="A17" s="329"/>
      <c r="B17" s="327">
        <f>+B15/86400</f>
        <v>154.55000000000001</v>
      </c>
      <c r="C17" s="289" t="s">
        <v>26</v>
      </c>
    </row>
    <row r="18" spans="1:44" ht="14.4" x14ac:dyDescent="0.3">
      <c r="A18" s="330" t="s">
        <v>40</v>
      </c>
      <c r="B18" s="294">
        <f>+B15/(B3*B4)</f>
        <v>185460</v>
      </c>
      <c r="C18" s="289" t="s">
        <v>44</v>
      </c>
    </row>
    <row r="19" spans="1:44" ht="14.4" x14ac:dyDescent="0.3">
      <c r="A19" s="331"/>
      <c r="B19" s="327">
        <f>+B18/86400</f>
        <v>2.1465277777777776</v>
      </c>
      <c r="C19" s="299" t="s">
        <v>46</v>
      </c>
    </row>
    <row r="20" spans="1:44" ht="14.4" x14ac:dyDescent="0.3">
      <c r="A20" s="300" t="s">
        <v>12</v>
      </c>
      <c r="B20" s="601">
        <v>1.2</v>
      </c>
      <c r="C20" s="303" t="s">
        <v>1015</v>
      </c>
    </row>
    <row r="21" spans="1:44" ht="14.4" x14ac:dyDescent="0.3">
      <c r="A21" s="289" t="s">
        <v>48</v>
      </c>
      <c r="B21" s="601">
        <v>1.5</v>
      </c>
      <c r="C21" s="301" t="s">
        <v>1016</v>
      </c>
    </row>
    <row r="22" spans="1:44" ht="15.75" customHeight="1" x14ac:dyDescent="0.3">
      <c r="A22" s="289" t="s">
        <v>49</v>
      </c>
      <c r="B22" s="601">
        <v>1.05</v>
      </c>
      <c r="C22" s="302" t="s">
        <v>1017</v>
      </c>
    </row>
    <row r="23" spans="1:44" ht="15.75" customHeight="1" thickBot="1" x14ac:dyDescent="0.35">
      <c r="A23" s="289" t="s">
        <v>20</v>
      </c>
      <c r="B23" s="295">
        <f>B20*B22*B16/86400</f>
        <v>0.19473300000000004</v>
      </c>
      <c r="C23" s="300" t="s">
        <v>24</v>
      </c>
      <c r="D23" s="97">
        <f>+B23*1000</f>
        <v>194.73300000000003</v>
      </c>
      <c r="E23" t="s">
        <v>26</v>
      </c>
    </row>
    <row r="24" spans="1:44" ht="15.75" customHeight="1" thickBot="1" x14ac:dyDescent="0.35">
      <c r="A24" s="296" t="s">
        <v>978</v>
      </c>
      <c r="B24" s="297">
        <f>(15*2*24)/60</f>
        <v>12</v>
      </c>
      <c r="C24" s="298" t="s">
        <v>30</v>
      </c>
      <c r="X24" s="641" t="s">
        <v>971</v>
      </c>
      <c r="Y24" s="642"/>
      <c r="Z24" s="642"/>
      <c r="AA24" s="642"/>
      <c r="AB24" s="642"/>
      <c r="AC24" s="642"/>
      <c r="AD24" s="642"/>
      <c r="AE24" s="642"/>
      <c r="AF24" s="642"/>
      <c r="AG24" s="642"/>
      <c r="AH24" s="642"/>
      <c r="AI24" s="642"/>
      <c r="AJ24" s="642"/>
      <c r="AK24" s="642"/>
      <c r="AL24" s="642"/>
      <c r="AM24" s="642"/>
      <c r="AN24" s="642"/>
      <c r="AO24" s="642"/>
      <c r="AP24" s="642"/>
      <c r="AQ24" s="642"/>
      <c r="AR24" s="643"/>
    </row>
    <row r="25" spans="1:44" ht="15.75" customHeight="1" thickBot="1" x14ac:dyDescent="0.35">
      <c r="B25" s="7"/>
      <c r="C25"/>
      <c r="X25" s="645" t="s">
        <v>502</v>
      </c>
      <c r="Y25" s="646"/>
      <c r="Z25" s="633" t="s">
        <v>79</v>
      </c>
      <c r="AA25" s="635"/>
      <c r="AB25" s="635"/>
      <c r="AC25" s="635"/>
      <c r="AD25" s="635"/>
      <c r="AE25" s="635"/>
      <c r="AF25" s="635"/>
      <c r="AG25" s="635"/>
      <c r="AH25" s="635"/>
      <c r="AI25" s="633" t="s">
        <v>974</v>
      </c>
      <c r="AJ25" s="635"/>
      <c r="AK25" s="647"/>
      <c r="AL25" s="648"/>
      <c r="AM25" s="633" t="s">
        <v>93</v>
      </c>
      <c r="AN25" s="633" t="s">
        <v>973</v>
      </c>
      <c r="AO25" s="633" t="s">
        <v>972</v>
      </c>
      <c r="AP25" s="635"/>
      <c r="AQ25" s="633" t="s">
        <v>975</v>
      </c>
      <c r="AR25" s="635"/>
    </row>
    <row r="26" spans="1:44" ht="15.75" customHeight="1" thickBot="1" x14ac:dyDescent="0.35">
      <c r="A26" s="305" t="s">
        <v>38</v>
      </c>
      <c r="B26" s="306">
        <f>1.3*(B23^0.5)*(((B24/24)^(1/4)))</f>
        <v>0.48239814670783304</v>
      </c>
      <c r="C26" s="307" t="s">
        <v>41</v>
      </c>
      <c r="D26" s="141"/>
      <c r="X26" s="127" t="s">
        <v>503</v>
      </c>
      <c r="Y26" s="348" t="s">
        <v>504</v>
      </c>
      <c r="Z26" s="634"/>
      <c r="AA26" s="636"/>
      <c r="AB26" s="636"/>
      <c r="AC26" s="636"/>
      <c r="AD26" s="636"/>
      <c r="AE26" s="636"/>
      <c r="AF26" s="636"/>
      <c r="AG26" s="636"/>
      <c r="AH26" s="636"/>
      <c r="AI26" s="634"/>
      <c r="AJ26" s="636"/>
      <c r="AK26" s="123"/>
      <c r="AL26" s="123"/>
      <c r="AM26" s="634"/>
      <c r="AN26" s="634"/>
      <c r="AO26" s="634"/>
      <c r="AP26" s="636"/>
      <c r="AQ26" s="634"/>
      <c r="AR26" s="636"/>
    </row>
    <row r="27" spans="1:44" ht="15.75" customHeight="1" thickBot="1" x14ac:dyDescent="0.35">
      <c r="A27" s="313" t="s">
        <v>980</v>
      </c>
      <c r="B27" s="308" t="s">
        <v>52</v>
      </c>
      <c r="C27" s="308" t="s">
        <v>53</v>
      </c>
      <c r="D27" s="308" t="s">
        <v>500</v>
      </c>
      <c r="X27" s="127" t="s">
        <v>45</v>
      </c>
      <c r="Y27" s="348" t="s">
        <v>505</v>
      </c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</row>
    <row r="28" spans="1:44" ht="15.75" customHeight="1" thickBot="1" x14ac:dyDescent="0.35">
      <c r="A28" s="309" t="s">
        <v>69</v>
      </c>
      <c r="B28" s="310">
        <v>550</v>
      </c>
      <c r="C28" s="310">
        <v>500</v>
      </c>
      <c r="D28" s="310">
        <v>350</v>
      </c>
      <c r="E28" s="297" t="s">
        <v>45</v>
      </c>
      <c r="F28" s="644" t="s">
        <v>976</v>
      </c>
      <c r="G28" s="644"/>
      <c r="H28" s="644"/>
      <c r="I28" s="644"/>
      <c r="J28" s="644"/>
      <c r="X28" s="125">
        <v>13</v>
      </c>
      <c r="Y28" s="126" t="s">
        <v>506</v>
      </c>
      <c r="Z28" s="126" t="s">
        <v>512</v>
      </c>
      <c r="AA28" s="126" t="s">
        <v>508</v>
      </c>
      <c r="AB28" s="126" t="s">
        <v>522</v>
      </c>
      <c r="AC28" s="126" t="s">
        <v>509</v>
      </c>
      <c r="AD28" s="126" t="s">
        <v>509</v>
      </c>
      <c r="AE28" s="126" t="s">
        <v>512</v>
      </c>
      <c r="AF28" s="126" t="s">
        <v>509</v>
      </c>
      <c r="AG28" s="126" t="s">
        <v>509</v>
      </c>
      <c r="AH28" s="126" t="s">
        <v>524</v>
      </c>
      <c r="AI28" s="126" t="s">
        <v>519</v>
      </c>
      <c r="AJ28" s="126" t="s">
        <v>540</v>
      </c>
      <c r="AK28" s="126" t="s">
        <v>568</v>
      </c>
      <c r="AL28" s="126" t="s">
        <v>512</v>
      </c>
      <c r="AM28" s="126" t="s">
        <v>525</v>
      </c>
      <c r="AN28" s="126" t="s">
        <v>525</v>
      </c>
      <c r="AO28" s="126" t="s">
        <v>517</v>
      </c>
      <c r="AP28" s="272" t="s">
        <v>524</v>
      </c>
      <c r="AQ28" s="273" t="s">
        <v>507</v>
      </c>
      <c r="AR28" s="273" t="s">
        <v>558</v>
      </c>
    </row>
    <row r="29" spans="1:44" ht="15.75" customHeight="1" thickBot="1" x14ac:dyDescent="0.35">
      <c r="A29" s="309" t="s">
        <v>76</v>
      </c>
      <c r="B29" s="311">
        <v>500</v>
      </c>
      <c r="C29" s="311">
        <v>450</v>
      </c>
      <c r="D29" s="311">
        <v>300</v>
      </c>
      <c r="E29" s="297" t="s">
        <v>45</v>
      </c>
      <c r="X29" s="125">
        <v>19</v>
      </c>
      <c r="Y29" s="126" t="s">
        <v>520</v>
      </c>
      <c r="Z29" s="126" t="s">
        <v>524</v>
      </c>
      <c r="AA29" s="126" t="s">
        <v>531</v>
      </c>
      <c r="AB29" s="126" t="s">
        <v>510</v>
      </c>
      <c r="AC29" s="126" t="s">
        <v>512</v>
      </c>
      <c r="AD29" s="126" t="s">
        <v>512</v>
      </c>
      <c r="AE29" s="126" t="s">
        <v>524</v>
      </c>
      <c r="AF29" s="126" t="s">
        <v>509</v>
      </c>
      <c r="AG29" s="126" t="s">
        <v>509</v>
      </c>
      <c r="AH29" s="126" t="s">
        <v>522</v>
      </c>
      <c r="AI29" s="126" t="s">
        <v>519</v>
      </c>
      <c r="AJ29" s="126" t="s">
        <v>906</v>
      </c>
      <c r="AK29" s="126" t="s">
        <v>517</v>
      </c>
      <c r="AL29" s="126" t="s">
        <v>524</v>
      </c>
      <c r="AM29" s="126" t="s">
        <v>539</v>
      </c>
      <c r="AN29" s="126" t="s">
        <v>539</v>
      </c>
      <c r="AO29" s="126" t="s">
        <v>576</v>
      </c>
      <c r="AP29" s="272" t="s">
        <v>522</v>
      </c>
      <c r="AQ29" s="273" t="s">
        <v>558</v>
      </c>
      <c r="AR29" s="273" t="s">
        <v>523</v>
      </c>
    </row>
    <row r="30" spans="1:44" ht="15.75" customHeight="1" thickBot="1" x14ac:dyDescent="0.35">
      <c r="B30" s="2"/>
      <c r="C30" s="2"/>
      <c r="D30" s="2"/>
      <c r="X30" s="125">
        <v>25</v>
      </c>
      <c r="Y30" s="126">
        <v>1</v>
      </c>
      <c r="Z30" s="126" t="s">
        <v>522</v>
      </c>
      <c r="AA30" s="126" t="s">
        <v>510</v>
      </c>
      <c r="AB30" s="126" t="s">
        <v>514</v>
      </c>
      <c r="AC30" s="126" t="s">
        <v>524</v>
      </c>
      <c r="AD30" s="126" t="s">
        <v>512</v>
      </c>
      <c r="AE30" s="126" t="s">
        <v>522</v>
      </c>
      <c r="AF30" s="126" t="s">
        <v>509</v>
      </c>
      <c r="AG30" s="126" t="s">
        <v>512</v>
      </c>
      <c r="AH30" s="126" t="s">
        <v>510</v>
      </c>
      <c r="AI30" s="126" t="s">
        <v>509</v>
      </c>
      <c r="AJ30" s="126" t="s">
        <v>561</v>
      </c>
      <c r="AK30" s="126">
        <v>46</v>
      </c>
      <c r="AL30" s="126" t="s">
        <v>522</v>
      </c>
      <c r="AM30" s="126" t="s">
        <v>557</v>
      </c>
      <c r="AN30" s="126" t="s">
        <v>557</v>
      </c>
      <c r="AO30" s="126" t="s">
        <v>547</v>
      </c>
      <c r="AP30" s="272" t="s">
        <v>510</v>
      </c>
      <c r="AQ30" s="273" t="s">
        <v>575</v>
      </c>
      <c r="AR30" s="273" t="s">
        <v>545</v>
      </c>
    </row>
    <row r="31" spans="1:44" ht="15.75" customHeight="1" thickBot="1" x14ac:dyDescent="0.35">
      <c r="A31" s="616" t="s">
        <v>54</v>
      </c>
      <c r="B31" s="616"/>
      <c r="C31" s="616"/>
      <c r="D31" s="616"/>
      <c r="E31" s="616"/>
      <c r="F31" s="616"/>
      <c r="G31" s="616"/>
      <c r="H31" s="616"/>
      <c r="X31" s="125">
        <v>32</v>
      </c>
      <c r="Y31" s="126" t="s">
        <v>535</v>
      </c>
      <c r="Z31" s="126" t="s">
        <v>510</v>
      </c>
      <c r="AA31" s="126" t="s">
        <v>513</v>
      </c>
      <c r="AB31" s="126" t="s">
        <v>507</v>
      </c>
      <c r="AC31" s="126" t="s">
        <v>522</v>
      </c>
      <c r="AD31" s="126" t="s">
        <v>524</v>
      </c>
      <c r="AE31" s="126" t="s">
        <v>531</v>
      </c>
      <c r="AF31" s="126" t="s">
        <v>512</v>
      </c>
      <c r="AG31" s="126" t="s">
        <v>524</v>
      </c>
      <c r="AH31" s="126" t="s">
        <v>513</v>
      </c>
      <c r="AI31" s="126" t="s">
        <v>509</v>
      </c>
      <c r="AJ31" s="126" t="s">
        <v>907</v>
      </c>
      <c r="AK31" s="126" t="s">
        <v>576</v>
      </c>
      <c r="AL31" s="126" t="s">
        <v>510</v>
      </c>
      <c r="AM31" s="126" t="s">
        <v>511</v>
      </c>
      <c r="AN31" s="126" t="s">
        <v>511</v>
      </c>
      <c r="AO31" s="126" t="s">
        <v>572</v>
      </c>
      <c r="AP31" s="272" t="s">
        <v>513</v>
      </c>
      <c r="AQ31" s="273" t="s">
        <v>527</v>
      </c>
      <c r="AR31" s="273" t="s">
        <v>569</v>
      </c>
    </row>
    <row r="32" spans="1:44" ht="23.25" customHeight="1" thickBot="1" x14ac:dyDescent="0.4">
      <c r="A32" s="289" t="s">
        <v>66</v>
      </c>
      <c r="B32" s="312">
        <f>+B23/(PI()*((B28/1000)^2)/4)</f>
        <v>0.81964216947078494</v>
      </c>
      <c r="C32" s="312">
        <f>+B23/(PI()*((C28/1000)^2)/4)</f>
        <v>0.99176702505964998</v>
      </c>
      <c r="D32" s="312">
        <f>+B23/(PI()*((D28/1000)^2)/4)</f>
        <v>2.0240143368564287</v>
      </c>
      <c r="E32" s="297" t="s">
        <v>51</v>
      </c>
      <c r="F32" s="304" t="str">
        <f>+IF((B32&gt;=0.7),IF(B32&lt;=4,"Verifica","Aumentar Diametro"),"Disminuir Diametro")</f>
        <v>Verifica</v>
      </c>
      <c r="G32" s="304" t="str">
        <f t="shared" ref="G32" si="0">+IF((C32&gt;=0.7),IF(C32&lt;=4,"Verifica","Aumentar Diametro"),"Disminuir Diametro")</f>
        <v>Verifica</v>
      </c>
      <c r="H32" s="304" t="str">
        <f t="shared" ref="H32" si="1">+IF((D32&gt;=0.7),IF(D32&lt;=4,"Verifica","Aumentar Diametro"),"Disminuir Diametro")</f>
        <v>Verifica</v>
      </c>
      <c r="I32" s="121"/>
      <c r="X32" s="125">
        <v>38</v>
      </c>
      <c r="Y32" s="126" t="s">
        <v>544</v>
      </c>
      <c r="Z32" s="126" t="s">
        <v>513</v>
      </c>
      <c r="AA32" s="126" t="s">
        <v>507</v>
      </c>
      <c r="AB32" s="126" t="s">
        <v>532</v>
      </c>
      <c r="AC32" s="126" t="s">
        <v>531</v>
      </c>
      <c r="AD32" s="126" t="s">
        <v>522</v>
      </c>
      <c r="AE32" s="126" t="s">
        <v>510</v>
      </c>
      <c r="AF32" s="126" t="s">
        <v>512</v>
      </c>
      <c r="AG32" s="126" t="s">
        <v>522</v>
      </c>
      <c r="AH32" s="126" t="s">
        <v>525</v>
      </c>
      <c r="AI32" s="126" t="s">
        <v>512</v>
      </c>
      <c r="AJ32" s="126" t="s">
        <v>908</v>
      </c>
      <c r="AK32" s="126" t="s">
        <v>906</v>
      </c>
      <c r="AL32" s="126" t="s">
        <v>513</v>
      </c>
      <c r="AM32" s="126" t="s">
        <v>553</v>
      </c>
      <c r="AN32" s="126" t="s">
        <v>553</v>
      </c>
      <c r="AO32" s="126" t="s">
        <v>909</v>
      </c>
      <c r="AP32" s="272" t="s">
        <v>525</v>
      </c>
      <c r="AQ32" s="273" t="s">
        <v>545</v>
      </c>
      <c r="AR32" s="273" t="s">
        <v>910</v>
      </c>
    </row>
    <row r="33" spans="1:44" ht="21" customHeight="1" thickBot="1" x14ac:dyDescent="0.4">
      <c r="A33" s="289" t="s">
        <v>55</v>
      </c>
      <c r="B33" s="312">
        <f>+B23/(PI()*((B29/1000)^2)/4)</f>
        <v>0.99176702505964998</v>
      </c>
      <c r="C33" s="312">
        <f>+B23/(PI()*((C29/1000)^2)/4)</f>
        <v>1.2244037346415431</v>
      </c>
      <c r="D33" s="312">
        <f>+B23/(PI()*((D29/1000)^2)/4)</f>
        <v>2.7549084029434723</v>
      </c>
      <c r="E33" s="297" t="s">
        <v>51</v>
      </c>
      <c r="F33" s="304" t="str">
        <f>+IF((B33&gt;=0.7),IF(B33&lt;=4,"Verifica","Aumentar Diametro"),"Disminuir Diametro")</f>
        <v>Verifica</v>
      </c>
      <c r="G33" s="304" t="str">
        <f t="shared" ref="G33:H33" si="2">+IF((C33&gt;=0.7),IF(C33&lt;=4,"Verifica","Aumentar Diametro"),"Disminuir Diametro")</f>
        <v>Verifica</v>
      </c>
      <c r="H33" s="304" t="str">
        <f t="shared" si="2"/>
        <v>Verifica</v>
      </c>
      <c r="I33" s="121"/>
      <c r="X33" s="125">
        <v>50</v>
      </c>
      <c r="Y33" s="126">
        <v>2</v>
      </c>
      <c r="Z33" s="126" t="s">
        <v>507</v>
      </c>
      <c r="AA33" s="126" t="s">
        <v>539</v>
      </c>
      <c r="AB33" s="126" t="s">
        <v>557</v>
      </c>
      <c r="AC33" s="126" t="s">
        <v>514</v>
      </c>
      <c r="AD33" s="126" t="s">
        <v>531</v>
      </c>
      <c r="AE33" s="126" t="s">
        <v>513</v>
      </c>
      <c r="AF33" s="126" t="s">
        <v>524</v>
      </c>
      <c r="AG33" s="126" t="s">
        <v>510</v>
      </c>
      <c r="AH33" s="126" t="s">
        <v>530</v>
      </c>
      <c r="AI33" s="126" t="s">
        <v>524</v>
      </c>
      <c r="AJ33" s="126" t="s">
        <v>911</v>
      </c>
      <c r="AK33" s="126" t="s">
        <v>912</v>
      </c>
      <c r="AL33" s="126" t="s">
        <v>507</v>
      </c>
      <c r="AM33" s="126" t="s">
        <v>559</v>
      </c>
      <c r="AN33" s="126" t="s">
        <v>559</v>
      </c>
      <c r="AO33" s="126" t="s">
        <v>913</v>
      </c>
      <c r="AP33" s="272" t="s">
        <v>530</v>
      </c>
      <c r="AQ33" s="273" t="s">
        <v>602</v>
      </c>
      <c r="AR33" s="273" t="s">
        <v>914</v>
      </c>
    </row>
    <row r="34" spans="1:44" ht="15.75" customHeight="1" thickBot="1" x14ac:dyDescent="0.35">
      <c r="B34" s="2"/>
      <c r="C34" s="2"/>
      <c r="D34" s="2"/>
      <c r="F34" s="121"/>
      <c r="G34" s="121"/>
      <c r="H34" s="121"/>
      <c r="I34" s="121"/>
      <c r="X34" s="125">
        <v>63</v>
      </c>
      <c r="Y34" s="126" t="s">
        <v>555</v>
      </c>
      <c r="Z34" s="126" t="s">
        <v>532</v>
      </c>
      <c r="AA34" s="126" t="s">
        <v>557</v>
      </c>
      <c r="AB34" s="126" t="s">
        <v>536</v>
      </c>
      <c r="AC34" s="126" t="s">
        <v>513</v>
      </c>
      <c r="AD34" s="126" t="s">
        <v>514</v>
      </c>
      <c r="AE34" s="126" t="s">
        <v>525</v>
      </c>
      <c r="AF34" s="126" t="s">
        <v>522</v>
      </c>
      <c r="AG34" s="126" t="s">
        <v>513</v>
      </c>
      <c r="AH34" s="126" t="s">
        <v>567</v>
      </c>
      <c r="AI34" s="126" t="s">
        <v>524</v>
      </c>
      <c r="AJ34" s="126" t="s">
        <v>915</v>
      </c>
      <c r="AK34" s="126" t="s">
        <v>572</v>
      </c>
      <c r="AL34" s="126" t="s">
        <v>532</v>
      </c>
      <c r="AM34" s="126" t="s">
        <v>566</v>
      </c>
      <c r="AN34" s="126" t="s">
        <v>566</v>
      </c>
      <c r="AO34" s="126" t="s">
        <v>550</v>
      </c>
      <c r="AP34" s="272" t="s">
        <v>567</v>
      </c>
      <c r="AQ34" s="273" t="s">
        <v>916</v>
      </c>
      <c r="AR34" s="273" t="s">
        <v>515</v>
      </c>
    </row>
    <row r="35" spans="1:44" ht="15.75" customHeight="1" thickBot="1" x14ac:dyDescent="0.35">
      <c r="A35" s="314" t="s">
        <v>977</v>
      </c>
      <c r="B35" s="629" t="s">
        <v>57</v>
      </c>
      <c r="C35" s="630"/>
      <c r="D35" s="630"/>
      <c r="E35" s="631"/>
      <c r="F35" s="265"/>
      <c r="G35" s="265"/>
      <c r="X35" s="125">
        <v>75</v>
      </c>
      <c r="Y35" s="126">
        <v>3</v>
      </c>
      <c r="Z35" s="126" t="s">
        <v>558</v>
      </c>
      <c r="AA35" s="126" t="s">
        <v>575</v>
      </c>
      <c r="AB35" s="126" t="s">
        <v>516</v>
      </c>
      <c r="AC35" s="126" t="s">
        <v>521</v>
      </c>
      <c r="AD35" s="126" t="s">
        <v>525</v>
      </c>
      <c r="AE35" s="126" t="s">
        <v>532</v>
      </c>
      <c r="AF35" s="126" t="s">
        <v>531</v>
      </c>
      <c r="AG35" s="126" t="s">
        <v>507</v>
      </c>
      <c r="AH35" s="126" t="s">
        <v>546</v>
      </c>
      <c r="AI35" s="126" t="s">
        <v>522</v>
      </c>
      <c r="AJ35" s="126" t="s">
        <v>917</v>
      </c>
      <c r="AK35" s="126" t="s">
        <v>918</v>
      </c>
      <c r="AL35" s="126" t="s">
        <v>558</v>
      </c>
      <c r="AM35" s="126" t="s">
        <v>916</v>
      </c>
      <c r="AN35" s="126" t="s">
        <v>916</v>
      </c>
      <c r="AO35" s="126" t="s">
        <v>565</v>
      </c>
      <c r="AP35" s="272" t="s">
        <v>546</v>
      </c>
      <c r="AQ35" s="273" t="s">
        <v>919</v>
      </c>
      <c r="AR35" s="273" t="s">
        <v>606</v>
      </c>
    </row>
    <row r="36" spans="1:44" ht="15.75" customHeight="1" thickBot="1" x14ac:dyDescent="0.35">
      <c r="A36" s="289" t="s">
        <v>58</v>
      </c>
      <c r="B36" s="295">
        <f>+(B23/((27.113*(B28/1000)^2.596)))^(1/0.532)</f>
        <v>1.72730585580636E-3</v>
      </c>
      <c r="C36" s="295">
        <f>+(B23/((27.113*(C28/1000)^2.596)))^(1/0.532)</f>
        <v>2.7501292170448439E-3</v>
      </c>
      <c r="D36" s="295">
        <f>+(B23/((27.113*(D28/1000)^2.596)))^(1/0.532)</f>
        <v>1.567574094079479E-2</v>
      </c>
      <c r="E36" s="297" t="s">
        <v>64</v>
      </c>
      <c r="X36" s="125">
        <v>100</v>
      </c>
      <c r="Y36" s="126">
        <v>4</v>
      </c>
      <c r="Z36" s="126" t="s">
        <v>575</v>
      </c>
      <c r="AA36" s="126" t="s">
        <v>553</v>
      </c>
      <c r="AB36" s="126" t="s">
        <v>551</v>
      </c>
      <c r="AC36" s="126" t="s">
        <v>530</v>
      </c>
      <c r="AD36" s="126" t="s">
        <v>532</v>
      </c>
      <c r="AE36" s="126" t="s">
        <v>558</v>
      </c>
      <c r="AF36" s="126" t="s">
        <v>510</v>
      </c>
      <c r="AG36" s="126" t="s">
        <v>558</v>
      </c>
      <c r="AH36" s="126" t="s">
        <v>545</v>
      </c>
      <c r="AI36" s="126" t="s">
        <v>510</v>
      </c>
      <c r="AJ36" s="126" t="s">
        <v>920</v>
      </c>
      <c r="AK36" s="126" t="s">
        <v>550</v>
      </c>
      <c r="AL36" s="126" t="s">
        <v>575</v>
      </c>
      <c r="AM36" s="126" t="s">
        <v>906</v>
      </c>
      <c r="AN36" s="126" t="s">
        <v>906</v>
      </c>
      <c r="AO36" s="126" t="s">
        <v>921</v>
      </c>
      <c r="AP36" s="272" t="s">
        <v>545</v>
      </c>
      <c r="AQ36" s="273" t="s">
        <v>914</v>
      </c>
      <c r="AR36" s="273" t="s">
        <v>922</v>
      </c>
    </row>
    <row r="37" spans="1:44" ht="15.75" customHeight="1" thickBot="1" x14ac:dyDescent="0.35">
      <c r="A37" s="289" t="s">
        <v>65</v>
      </c>
      <c r="B37" s="295">
        <f>+(B23/((27.113*(B29/1000)^2.596)))^(1/0.532)</f>
        <v>2.7501292170448439E-3</v>
      </c>
      <c r="C37" s="295">
        <f>+(B23/((27.113*(C29/1000)^2.596)))^(1/0.532)</f>
        <v>4.5987086123150632E-3</v>
      </c>
      <c r="D37" s="295">
        <f>+(B23/((27.113*(D29/1000)^2.596)))^(1/0.532)</f>
        <v>3.3258930277073093E-2</v>
      </c>
      <c r="E37" s="297" t="s">
        <v>64</v>
      </c>
      <c r="X37" s="125">
        <v>125</v>
      </c>
      <c r="Y37" s="126">
        <v>5</v>
      </c>
      <c r="Z37" s="126" t="s">
        <v>527</v>
      </c>
      <c r="AA37" s="126" t="s">
        <v>556</v>
      </c>
      <c r="AB37" s="126" t="s">
        <v>602</v>
      </c>
      <c r="AC37" s="126" t="s">
        <v>567</v>
      </c>
      <c r="AD37" s="126" t="s">
        <v>558</v>
      </c>
      <c r="AE37" s="126" t="s">
        <v>575</v>
      </c>
      <c r="AF37" s="126" t="s">
        <v>513</v>
      </c>
      <c r="AG37" s="126" t="s">
        <v>536</v>
      </c>
      <c r="AH37" s="126" t="s">
        <v>569</v>
      </c>
      <c r="AI37" s="126" t="s">
        <v>513</v>
      </c>
      <c r="AJ37" s="126" t="s">
        <v>923</v>
      </c>
      <c r="AK37" s="126" t="s">
        <v>915</v>
      </c>
      <c r="AL37" s="126" t="s">
        <v>527</v>
      </c>
      <c r="AM37" s="126" t="s">
        <v>534</v>
      </c>
      <c r="AN37" s="126" t="s">
        <v>534</v>
      </c>
      <c r="AO37" s="126" t="s">
        <v>924</v>
      </c>
      <c r="AP37" s="272" t="s">
        <v>569</v>
      </c>
      <c r="AQ37" s="273" t="s">
        <v>570</v>
      </c>
      <c r="AR37" s="273" t="s">
        <v>601</v>
      </c>
    </row>
    <row r="38" spans="1:44" ht="15.75" customHeight="1" thickBot="1" x14ac:dyDescent="0.35">
      <c r="B38" s="2"/>
      <c r="C38" s="2"/>
      <c r="D38" s="2"/>
      <c r="X38" s="125">
        <v>150</v>
      </c>
      <c r="Y38" s="126">
        <v>6</v>
      </c>
      <c r="Z38" s="126" t="s">
        <v>551</v>
      </c>
      <c r="AA38" s="126" t="s">
        <v>566</v>
      </c>
      <c r="AB38" s="126" t="s">
        <v>540</v>
      </c>
      <c r="AC38" s="126" t="s">
        <v>511</v>
      </c>
      <c r="AD38" s="126" t="s">
        <v>567</v>
      </c>
      <c r="AE38" s="126" t="s">
        <v>516</v>
      </c>
      <c r="AF38" s="126" t="s">
        <v>507</v>
      </c>
      <c r="AG38" s="126" t="s">
        <v>516</v>
      </c>
      <c r="AH38" s="126" t="s">
        <v>573</v>
      </c>
      <c r="AI38" s="126" t="s">
        <v>507</v>
      </c>
      <c r="AJ38" s="126" t="s">
        <v>925</v>
      </c>
      <c r="AK38" s="126" t="s">
        <v>917</v>
      </c>
      <c r="AL38" s="126" t="s">
        <v>551</v>
      </c>
      <c r="AM38" s="126" t="s">
        <v>572</v>
      </c>
      <c r="AN38" s="126" t="s">
        <v>572</v>
      </c>
      <c r="AO38" s="126" t="s">
        <v>926</v>
      </c>
      <c r="AP38" s="272" t="s">
        <v>573</v>
      </c>
      <c r="AQ38" s="273" t="s">
        <v>562</v>
      </c>
      <c r="AR38" s="273" t="s">
        <v>592</v>
      </c>
    </row>
    <row r="39" spans="1:44" ht="15.75" customHeight="1" thickBot="1" x14ac:dyDescent="0.35">
      <c r="A39" s="632" t="s">
        <v>979</v>
      </c>
      <c r="B39" s="632"/>
      <c r="C39" s="632"/>
      <c r="D39" s="632"/>
      <c r="E39" s="632"/>
      <c r="X39" s="125">
        <v>200</v>
      </c>
      <c r="Y39" s="126">
        <v>8</v>
      </c>
      <c r="Z39" s="126" t="s">
        <v>566</v>
      </c>
      <c r="AA39" s="126" t="s">
        <v>577</v>
      </c>
      <c r="AB39" s="126" t="s">
        <v>914</v>
      </c>
      <c r="AC39" s="126" t="s">
        <v>927</v>
      </c>
      <c r="AD39" s="126" t="s">
        <v>523</v>
      </c>
      <c r="AE39" s="126" t="s">
        <v>554</v>
      </c>
      <c r="AF39" s="126" t="s">
        <v>530</v>
      </c>
      <c r="AG39" s="126" t="s">
        <v>559</v>
      </c>
      <c r="AH39" s="126" t="s">
        <v>928</v>
      </c>
      <c r="AI39" s="126" t="s">
        <v>539</v>
      </c>
      <c r="AJ39" s="126" t="s">
        <v>929</v>
      </c>
      <c r="AK39" s="126" t="s">
        <v>920</v>
      </c>
      <c r="AL39" s="126" t="s">
        <v>566</v>
      </c>
      <c r="AM39" s="126" t="s">
        <v>918</v>
      </c>
      <c r="AN39" s="126" t="s">
        <v>918</v>
      </c>
      <c r="AO39" s="126" t="s">
        <v>930</v>
      </c>
      <c r="AP39" s="272" t="s">
        <v>928</v>
      </c>
      <c r="AQ39" s="273" t="s">
        <v>571</v>
      </c>
      <c r="AR39" s="273" t="s">
        <v>560</v>
      </c>
    </row>
    <row r="40" spans="1:44" ht="15.75" customHeight="1" thickBot="1" x14ac:dyDescent="0.35">
      <c r="A40" s="289" t="s">
        <v>69</v>
      </c>
      <c r="B40" s="315">
        <f>L50</f>
        <v>129.70000000000002</v>
      </c>
      <c r="C40" s="315">
        <f>M50</f>
        <v>112.1</v>
      </c>
      <c r="D40" s="315">
        <f>N50</f>
        <v>129</v>
      </c>
      <c r="E40" s="297" t="s">
        <v>73</v>
      </c>
      <c r="F40" s="625" t="s">
        <v>88</v>
      </c>
      <c r="G40" s="625"/>
      <c r="H40" s="625"/>
      <c r="X40" s="125">
        <v>250</v>
      </c>
      <c r="Y40" s="126">
        <v>10</v>
      </c>
      <c r="Z40" s="126" t="s">
        <v>577</v>
      </c>
      <c r="AA40" s="126" t="s">
        <v>906</v>
      </c>
      <c r="AB40" s="126" t="s">
        <v>931</v>
      </c>
      <c r="AC40" s="126" t="s">
        <v>533</v>
      </c>
      <c r="AD40" s="126" t="s">
        <v>927</v>
      </c>
      <c r="AE40" s="126" t="s">
        <v>528</v>
      </c>
      <c r="AF40" s="126" t="s">
        <v>538</v>
      </c>
      <c r="AG40" s="126" t="s">
        <v>608</v>
      </c>
      <c r="AH40" s="126" t="s">
        <v>579</v>
      </c>
      <c r="AI40" s="126" t="s">
        <v>557</v>
      </c>
      <c r="AJ40" s="126" t="s">
        <v>932</v>
      </c>
      <c r="AK40" s="126" t="s">
        <v>923</v>
      </c>
      <c r="AL40" s="126" t="s">
        <v>577</v>
      </c>
      <c r="AM40" s="126" t="s">
        <v>571</v>
      </c>
      <c r="AN40" s="126" t="s">
        <v>571</v>
      </c>
      <c r="AO40" s="126" t="s">
        <v>933</v>
      </c>
      <c r="AP40" s="272" t="s">
        <v>579</v>
      </c>
      <c r="AQ40" s="273" t="s">
        <v>565</v>
      </c>
      <c r="AR40" s="273" t="s">
        <v>934</v>
      </c>
    </row>
    <row r="41" spans="1:44" ht="15.75" customHeight="1" thickBot="1" x14ac:dyDescent="0.35">
      <c r="A41" s="289" t="s">
        <v>76</v>
      </c>
      <c r="B41" s="315">
        <f>L56</f>
        <v>51.9</v>
      </c>
      <c r="C41" s="315">
        <f>M56</f>
        <v>43</v>
      </c>
      <c r="D41" s="315">
        <f>N56</f>
        <v>51.300000000000004</v>
      </c>
      <c r="E41" s="297" t="s">
        <v>73</v>
      </c>
      <c r="F41" s="625" t="s">
        <v>88</v>
      </c>
      <c r="G41" s="625"/>
      <c r="H41" s="625"/>
      <c r="X41" s="277">
        <v>300</v>
      </c>
      <c r="Y41" s="280">
        <v>11</v>
      </c>
      <c r="Z41" s="274" t="s">
        <v>529</v>
      </c>
      <c r="AA41" s="280" t="s">
        <v>931</v>
      </c>
      <c r="AB41" s="280" t="s">
        <v>526</v>
      </c>
      <c r="AC41" s="280" t="s">
        <v>537</v>
      </c>
      <c r="AD41" s="280" t="s">
        <v>517</v>
      </c>
      <c r="AE41" s="280" t="s">
        <v>910</v>
      </c>
      <c r="AF41" s="280" t="s">
        <v>546</v>
      </c>
      <c r="AG41" s="280" t="s">
        <v>577</v>
      </c>
      <c r="AH41" s="280" t="s">
        <v>935</v>
      </c>
      <c r="AI41" s="274" t="s">
        <v>546</v>
      </c>
      <c r="AJ41" s="280" t="s">
        <v>936</v>
      </c>
      <c r="AK41" s="280" t="s">
        <v>925</v>
      </c>
      <c r="AL41" s="280" t="s">
        <v>529</v>
      </c>
      <c r="AM41" s="274" t="s">
        <v>564</v>
      </c>
      <c r="AN41" s="280" t="s">
        <v>564</v>
      </c>
      <c r="AO41" s="280" t="s">
        <v>937</v>
      </c>
      <c r="AP41" s="283" t="s">
        <v>935</v>
      </c>
      <c r="AQ41" s="284" t="s">
        <v>938</v>
      </c>
      <c r="AR41" s="284" t="s">
        <v>563</v>
      </c>
    </row>
    <row r="42" spans="1:44" ht="15.75" customHeight="1" thickBot="1" x14ac:dyDescent="0.35">
      <c r="B42" s="3"/>
      <c r="C42" s="3"/>
      <c r="D42" s="3"/>
      <c r="X42" s="278">
        <v>350</v>
      </c>
      <c r="Y42" s="281">
        <v>12</v>
      </c>
      <c r="Z42" s="275" t="s">
        <v>547</v>
      </c>
      <c r="AA42" s="281" t="s">
        <v>526</v>
      </c>
      <c r="AB42" s="281" t="s">
        <v>543</v>
      </c>
      <c r="AC42" s="280" t="s">
        <v>939</v>
      </c>
      <c r="AD42" s="280" t="s">
        <v>607</v>
      </c>
      <c r="AE42" s="281" t="s">
        <v>574</v>
      </c>
      <c r="AF42" s="281" t="s">
        <v>516</v>
      </c>
      <c r="AG42" s="281" t="s">
        <v>940</v>
      </c>
      <c r="AH42" s="281" t="s">
        <v>941</v>
      </c>
      <c r="AI42" s="275" t="s">
        <v>523</v>
      </c>
      <c r="AJ42" s="281" t="s">
        <v>942</v>
      </c>
      <c r="AK42" s="281" t="s">
        <v>943</v>
      </c>
      <c r="AL42" s="281" t="s">
        <v>547</v>
      </c>
      <c r="AM42" s="281" t="s">
        <v>542</v>
      </c>
      <c r="AN42" s="275" t="s">
        <v>542</v>
      </c>
      <c r="AO42" s="275" t="s">
        <v>944</v>
      </c>
      <c r="AP42" s="285" t="s">
        <v>941</v>
      </c>
      <c r="AQ42" s="284" t="s">
        <v>945</v>
      </c>
      <c r="AR42" s="284" t="s">
        <v>946</v>
      </c>
    </row>
    <row r="43" spans="1:44" ht="15.75" customHeight="1" thickBot="1" x14ac:dyDescent="0.35">
      <c r="A43" s="621" t="s">
        <v>78</v>
      </c>
      <c r="B43" s="621"/>
      <c r="C43" s="621"/>
      <c r="D43" s="621"/>
      <c r="E43" s="621"/>
      <c r="K43" s="344" t="s">
        <v>74</v>
      </c>
      <c r="L43" s="611" t="s">
        <v>986</v>
      </c>
      <c r="M43" s="611"/>
      <c r="N43" s="611"/>
      <c r="X43" s="125">
        <v>400</v>
      </c>
      <c r="Y43" s="126">
        <v>13.5</v>
      </c>
      <c r="Z43" s="126" t="s">
        <v>607</v>
      </c>
      <c r="AA43" s="126" t="s">
        <v>576</v>
      </c>
      <c r="AB43" s="126" t="s">
        <v>947</v>
      </c>
      <c r="AC43" s="126" t="s">
        <v>948</v>
      </c>
      <c r="AD43" s="126" t="s">
        <v>516</v>
      </c>
      <c r="AE43" s="126" t="s">
        <v>551</v>
      </c>
      <c r="AF43" s="126" t="s">
        <v>595</v>
      </c>
      <c r="AG43" s="126" t="s">
        <v>517</v>
      </c>
      <c r="AH43" s="126" t="s">
        <v>529</v>
      </c>
      <c r="AI43" s="126" t="s">
        <v>594</v>
      </c>
      <c r="AJ43" s="126" t="s">
        <v>949</v>
      </c>
      <c r="AK43" s="126" t="s">
        <v>950</v>
      </c>
      <c r="AL43" s="126" t="s">
        <v>607</v>
      </c>
      <c r="AM43" s="126" t="s">
        <v>918</v>
      </c>
      <c r="AN43" s="126" t="s">
        <v>918</v>
      </c>
      <c r="AO43" s="126" t="s">
        <v>951</v>
      </c>
      <c r="AP43" s="272" t="s">
        <v>529</v>
      </c>
      <c r="AQ43" s="273" t="s">
        <v>601</v>
      </c>
      <c r="AR43" s="273" t="s">
        <v>952</v>
      </c>
    </row>
    <row r="44" spans="1:44" ht="15.75" customHeight="1" thickBot="1" x14ac:dyDescent="0.35">
      <c r="A44" s="316" t="s">
        <v>69</v>
      </c>
      <c r="B44" s="319">
        <v>2</v>
      </c>
      <c r="C44" s="320">
        <f>+B44</f>
        <v>2</v>
      </c>
      <c r="D44" s="320">
        <f>+B44</f>
        <v>2</v>
      </c>
      <c r="E44" s="321" t="s">
        <v>41</v>
      </c>
      <c r="K44" s="309" t="s">
        <v>69</v>
      </c>
      <c r="L44" s="459">
        <f>+B28</f>
        <v>550</v>
      </c>
      <c r="M44" s="459">
        <f>+C28</f>
        <v>500</v>
      </c>
      <c r="N44" s="459">
        <f>+D28</f>
        <v>350</v>
      </c>
      <c r="R44" s="651"/>
      <c r="S44" s="651"/>
      <c r="T44" s="651"/>
      <c r="U44" s="651"/>
      <c r="V44" s="651"/>
      <c r="W44" s="651"/>
      <c r="X44" s="279">
        <v>450</v>
      </c>
      <c r="Y44" s="282">
        <v>14.8</v>
      </c>
      <c r="Z44" s="276" t="s">
        <v>576</v>
      </c>
      <c r="AA44" s="282" t="s">
        <v>548</v>
      </c>
      <c r="AB44" s="282" t="s">
        <v>953</v>
      </c>
      <c r="AC44" s="282" t="s">
        <v>954</v>
      </c>
      <c r="AD44" s="282" t="s">
        <v>604</v>
      </c>
      <c r="AE44" s="282" t="s">
        <v>596</v>
      </c>
      <c r="AF44" s="282" t="s">
        <v>598</v>
      </c>
      <c r="AG44" s="282" t="s">
        <v>537</v>
      </c>
      <c r="AH44" s="282" t="s">
        <v>552</v>
      </c>
      <c r="AI44" s="276" t="s">
        <v>597</v>
      </c>
      <c r="AJ44" s="282" t="s">
        <v>955</v>
      </c>
      <c r="AK44" s="282" t="s">
        <v>956</v>
      </c>
      <c r="AL44" s="282" t="s">
        <v>576</v>
      </c>
      <c r="AM44" s="276" t="s">
        <v>571</v>
      </c>
      <c r="AN44" s="282" t="s">
        <v>571</v>
      </c>
      <c r="AO44" s="282" t="s">
        <v>957</v>
      </c>
      <c r="AP44" s="286" t="s">
        <v>552</v>
      </c>
      <c r="AQ44" s="287" t="s">
        <v>600</v>
      </c>
      <c r="AR44" s="287" t="s">
        <v>958</v>
      </c>
    </row>
    <row r="45" spans="1:44" ht="15.75" customHeight="1" thickBot="1" x14ac:dyDescent="0.35">
      <c r="A45" s="316" t="s">
        <v>76</v>
      </c>
      <c r="B45" s="322">
        <v>669.35</v>
      </c>
      <c r="C45" s="320">
        <f>+B45</f>
        <v>669.35</v>
      </c>
      <c r="D45" s="320">
        <f>+C45</f>
        <v>669.35</v>
      </c>
      <c r="E45" s="321" t="s">
        <v>41</v>
      </c>
      <c r="K45" s="289" t="s">
        <v>77</v>
      </c>
      <c r="L45" s="460">
        <v>90.1</v>
      </c>
      <c r="M45" s="461">
        <v>78.099999999999994</v>
      </c>
      <c r="N45" s="460">
        <v>90</v>
      </c>
      <c r="O45" s="6" t="s">
        <v>94</v>
      </c>
      <c r="R45" s="269"/>
      <c r="S45" s="269"/>
      <c r="T45" s="651"/>
      <c r="U45" s="651"/>
      <c r="V45" s="651"/>
      <c r="W45" s="651"/>
      <c r="X45" s="279">
        <v>500</v>
      </c>
      <c r="Y45" s="282">
        <v>16.100000000000001</v>
      </c>
      <c r="Z45" s="276" t="s">
        <v>940</v>
      </c>
      <c r="AA45" s="282" t="s">
        <v>953</v>
      </c>
      <c r="AB45" s="282" t="s">
        <v>605</v>
      </c>
      <c r="AC45" s="282" t="s">
        <v>959</v>
      </c>
      <c r="AD45" s="282" t="s">
        <v>593</v>
      </c>
      <c r="AE45" s="282" t="s">
        <v>960</v>
      </c>
      <c r="AF45" s="282" t="s">
        <v>553</v>
      </c>
      <c r="AG45" s="282" t="s">
        <v>576</v>
      </c>
      <c r="AH45" s="282" t="s">
        <v>549</v>
      </c>
      <c r="AI45" s="276" t="s">
        <v>568</v>
      </c>
      <c r="AJ45" s="282" t="s">
        <v>961</v>
      </c>
      <c r="AK45" s="282" t="s">
        <v>962</v>
      </c>
      <c r="AL45" s="282" t="s">
        <v>940</v>
      </c>
      <c r="AM45" s="276" t="s">
        <v>564</v>
      </c>
      <c r="AN45" s="276" t="s">
        <v>564</v>
      </c>
      <c r="AO45" s="276" t="s">
        <v>963</v>
      </c>
      <c r="AP45" s="286" t="s">
        <v>549</v>
      </c>
      <c r="AQ45" s="287" t="s">
        <v>964</v>
      </c>
      <c r="AR45" s="287" t="s">
        <v>965</v>
      </c>
    </row>
    <row r="46" spans="1:44" ht="31.5" customHeight="1" thickBot="1" x14ac:dyDescent="0.35">
      <c r="B46" s="3"/>
      <c r="C46" s="120"/>
      <c r="D46" s="120"/>
      <c r="K46" s="289" t="s">
        <v>79</v>
      </c>
      <c r="L46" s="403">
        <v>7.4</v>
      </c>
      <c r="M46" s="461">
        <v>6.2</v>
      </c>
      <c r="N46" s="460">
        <v>7.3</v>
      </c>
      <c r="O46" s="6" t="s">
        <v>95</v>
      </c>
      <c r="R46" s="269"/>
      <c r="S46" s="269"/>
      <c r="T46" s="270"/>
      <c r="U46" s="270"/>
      <c r="V46" s="270"/>
      <c r="W46" s="270"/>
      <c r="X46" s="278">
        <v>550</v>
      </c>
      <c r="Y46" s="281">
        <v>17.399999999999999</v>
      </c>
      <c r="Z46" s="275" t="s">
        <v>541</v>
      </c>
      <c r="AA46" s="281" t="s">
        <v>605</v>
      </c>
      <c r="AB46" s="281" t="s">
        <v>603</v>
      </c>
      <c r="AC46" s="280" t="s">
        <v>574</v>
      </c>
      <c r="AD46" s="280" t="s">
        <v>608</v>
      </c>
      <c r="AE46" s="281" t="s">
        <v>577</v>
      </c>
      <c r="AF46" s="281" t="s">
        <v>591</v>
      </c>
      <c r="AG46" s="281" t="s">
        <v>919</v>
      </c>
      <c r="AH46" s="281" t="s">
        <v>518</v>
      </c>
      <c r="AI46" s="275" t="s">
        <v>553</v>
      </c>
      <c r="AJ46" s="281" t="s">
        <v>966</v>
      </c>
      <c r="AK46" s="281" t="s">
        <v>967</v>
      </c>
      <c r="AL46" s="281" t="s">
        <v>541</v>
      </c>
      <c r="AM46" s="281" t="s">
        <v>542</v>
      </c>
      <c r="AN46" s="275" t="s">
        <v>542</v>
      </c>
      <c r="AO46" s="275" t="s">
        <v>968</v>
      </c>
      <c r="AP46" s="285" t="s">
        <v>518</v>
      </c>
      <c r="AQ46" s="284" t="s">
        <v>969</v>
      </c>
      <c r="AR46" s="284" t="s">
        <v>970</v>
      </c>
    </row>
    <row r="47" spans="1:44" ht="15.75" customHeight="1" x14ac:dyDescent="0.3">
      <c r="A47" s="622" t="s">
        <v>84</v>
      </c>
      <c r="B47" s="622"/>
      <c r="C47" s="622"/>
      <c r="D47" s="622"/>
      <c r="E47" s="622"/>
      <c r="K47" s="289" t="s">
        <v>81</v>
      </c>
      <c r="L47" s="460">
        <v>22</v>
      </c>
      <c r="M47" s="461">
        <v>19</v>
      </c>
      <c r="N47" s="460">
        <v>22</v>
      </c>
      <c r="O47" s="6" t="s">
        <v>97</v>
      </c>
      <c r="R47" s="271"/>
      <c r="S47" s="271"/>
      <c r="T47" s="271"/>
      <c r="U47" s="271"/>
      <c r="V47" s="271"/>
      <c r="W47" s="271"/>
    </row>
    <row r="48" spans="1:44" ht="15.75" customHeight="1" x14ac:dyDescent="0.3">
      <c r="A48" s="317" t="s">
        <v>69</v>
      </c>
      <c r="B48" s="323">
        <v>2</v>
      </c>
      <c r="C48" s="324">
        <f>+B48</f>
        <v>2</v>
      </c>
      <c r="D48" s="324">
        <f>+B48</f>
        <v>2</v>
      </c>
      <c r="E48" s="325" t="s">
        <v>41</v>
      </c>
      <c r="K48" s="289" t="s">
        <v>79</v>
      </c>
      <c r="L48" s="403">
        <v>7.4</v>
      </c>
      <c r="M48" s="461">
        <v>6.2</v>
      </c>
      <c r="N48" s="460">
        <v>7.3</v>
      </c>
      <c r="R48" s="271"/>
      <c r="S48" s="271"/>
      <c r="T48" s="271"/>
      <c r="U48" s="271"/>
      <c r="V48" s="271"/>
      <c r="W48" s="271"/>
    </row>
    <row r="49" spans="1:35" ht="15.75" customHeight="1" x14ac:dyDescent="0.3">
      <c r="A49" s="317" t="s">
        <v>76</v>
      </c>
      <c r="B49" s="323">
        <f>75-70+4</f>
        <v>9</v>
      </c>
      <c r="C49" s="324">
        <f>+B49</f>
        <v>9</v>
      </c>
      <c r="D49" s="324">
        <f>+B49</f>
        <v>9</v>
      </c>
      <c r="E49" s="325" t="s">
        <v>41</v>
      </c>
      <c r="K49" s="289" t="s">
        <v>83</v>
      </c>
      <c r="L49" s="460">
        <v>2.8</v>
      </c>
      <c r="M49" s="461">
        <v>2.6</v>
      </c>
      <c r="N49" s="460">
        <v>2.4</v>
      </c>
      <c r="O49" s="6" t="s">
        <v>98</v>
      </c>
      <c r="R49" s="271"/>
      <c r="S49" s="271"/>
      <c r="T49" s="271"/>
      <c r="U49" s="271"/>
      <c r="V49" s="271"/>
      <c r="W49" s="271"/>
    </row>
    <row r="50" spans="1:35" ht="15.75" customHeight="1" x14ac:dyDescent="0.3">
      <c r="B50" s="3"/>
      <c r="C50" s="3"/>
      <c r="D50" s="3"/>
      <c r="K50" s="347" t="s">
        <v>985</v>
      </c>
      <c r="L50" s="458">
        <f>SUM(L45:L49)</f>
        <v>129.70000000000002</v>
      </c>
      <c r="M50" s="458">
        <f>SUM(M45:M49)</f>
        <v>112.1</v>
      </c>
      <c r="N50" s="462">
        <f>SUM(N45:N49)</f>
        <v>129</v>
      </c>
      <c r="R50" s="271"/>
      <c r="S50" s="271"/>
      <c r="T50" s="271"/>
      <c r="U50" s="271"/>
      <c r="V50" s="271"/>
      <c r="W50" s="271"/>
    </row>
    <row r="51" spans="1:35" ht="15.75" customHeight="1" x14ac:dyDescent="0.3">
      <c r="A51" s="616" t="s">
        <v>90</v>
      </c>
      <c r="B51" s="616"/>
      <c r="C51" s="616"/>
      <c r="D51" s="616"/>
      <c r="E51" s="616"/>
      <c r="K51" s="309" t="s">
        <v>76</v>
      </c>
      <c r="L51" s="459">
        <f>+B29</f>
        <v>500</v>
      </c>
      <c r="M51" s="459">
        <f>+C29</f>
        <v>450</v>
      </c>
      <c r="N51" s="459">
        <f>+D29</f>
        <v>300</v>
      </c>
      <c r="R51" s="271"/>
      <c r="S51" s="271"/>
      <c r="T51" s="271"/>
      <c r="U51" s="271"/>
      <c r="V51" s="271"/>
      <c r="W51" s="271"/>
    </row>
    <row r="52" spans="1:35" ht="15.75" customHeight="1" x14ac:dyDescent="0.3">
      <c r="A52" s="289" t="s">
        <v>69</v>
      </c>
      <c r="B52" s="293">
        <f>+B23/(PI()*((B28/1000)^2)/4)</f>
        <v>0.81964216947078494</v>
      </c>
      <c r="C52" s="293">
        <f>+B23/(PI()*((C28/1000)^2)/4)</f>
        <v>0.99176702505964998</v>
      </c>
      <c r="D52" s="293">
        <f>+B23/(PI()*((D28/1000)^2)/4)</f>
        <v>2.0240143368564287</v>
      </c>
      <c r="E52" s="297" t="s">
        <v>51</v>
      </c>
      <c r="F52" s="297" t="str">
        <f t="shared" ref="F52:F53" si="3">+IF((B52&lt;=0.5), "Disminuir Diametro", "Verifica")</f>
        <v>Verifica</v>
      </c>
      <c r="G52" s="297" t="str">
        <f t="shared" ref="G52:G53" si="4">+IF((D52&lt;=0.5), "Disminuir Diametro", "Verifica")</f>
        <v>Verifica</v>
      </c>
      <c r="K52" s="289" t="s">
        <v>79</v>
      </c>
      <c r="L52" s="460">
        <v>6.2</v>
      </c>
      <c r="M52" s="334">
        <v>5.6</v>
      </c>
      <c r="N52" s="463">
        <v>6.1</v>
      </c>
      <c r="R52" s="271"/>
      <c r="S52" s="271"/>
      <c r="T52" s="271"/>
      <c r="U52" s="271"/>
      <c r="V52" s="271"/>
      <c r="W52" s="271"/>
    </row>
    <row r="53" spans="1:35" ht="15.75" customHeight="1" x14ac:dyDescent="0.3">
      <c r="A53" s="289" t="s">
        <v>76</v>
      </c>
      <c r="B53" s="293">
        <f>+B23/(PI()*((B29/1000)^2)/4)</f>
        <v>0.99176702505964998</v>
      </c>
      <c r="C53" s="293">
        <f>+B23/(PI()*((C29/1000)^2)/4)</f>
        <v>1.2244037346415431</v>
      </c>
      <c r="D53" s="293">
        <f>+B23/(PI()*((D29/1000)^2)/4)</f>
        <v>2.7549084029434723</v>
      </c>
      <c r="E53" s="297" t="s">
        <v>51</v>
      </c>
      <c r="F53" s="297" t="str">
        <f t="shared" si="3"/>
        <v>Verifica</v>
      </c>
      <c r="G53" s="297" t="str">
        <f t="shared" si="4"/>
        <v>Verifica</v>
      </c>
      <c r="K53" s="289" t="s">
        <v>89</v>
      </c>
      <c r="L53" s="460">
        <v>24.1</v>
      </c>
      <c r="M53" s="334">
        <v>20.100000000000001</v>
      </c>
      <c r="N53" s="460">
        <v>24</v>
      </c>
      <c r="O53" s="6" t="s">
        <v>106</v>
      </c>
      <c r="R53" s="271"/>
      <c r="S53" s="271"/>
      <c r="T53" s="271"/>
      <c r="U53" s="271"/>
      <c r="V53" s="271"/>
      <c r="W53" s="271"/>
    </row>
    <row r="54" spans="1:35" ht="15.75" customHeight="1" x14ac:dyDescent="0.3">
      <c r="A54" s="289"/>
      <c r="B54" s="293"/>
      <c r="C54" s="293"/>
      <c r="D54" s="293"/>
      <c r="E54" s="297"/>
      <c r="K54" s="289" t="s">
        <v>83</v>
      </c>
      <c r="L54" s="460">
        <v>2.6</v>
      </c>
      <c r="M54" s="334">
        <v>1.3</v>
      </c>
      <c r="N54" s="460">
        <v>2.2000000000000002</v>
      </c>
      <c r="R54" s="271"/>
      <c r="S54" s="271"/>
      <c r="T54" s="271"/>
      <c r="U54" s="271"/>
      <c r="V54" s="271"/>
      <c r="W54" s="271"/>
    </row>
    <row r="55" spans="1:35" ht="15.75" customHeight="1" x14ac:dyDescent="0.3">
      <c r="A55" s="289" t="s">
        <v>99</v>
      </c>
      <c r="B55" s="334">
        <v>0.5</v>
      </c>
      <c r="C55" s="324">
        <f>+B55</f>
        <v>0.5</v>
      </c>
      <c r="D55" s="324">
        <f>+C55</f>
        <v>0.5</v>
      </c>
      <c r="E55" s="297" t="s">
        <v>41</v>
      </c>
      <c r="F55" s="623" t="s">
        <v>981</v>
      </c>
      <c r="G55" s="624"/>
      <c r="H55" s="624"/>
      <c r="K55" s="289" t="s">
        <v>93</v>
      </c>
      <c r="L55" s="460">
        <v>19</v>
      </c>
      <c r="M55" s="334">
        <v>16</v>
      </c>
      <c r="N55" s="460">
        <v>19</v>
      </c>
      <c r="O55" s="6" t="s">
        <v>108</v>
      </c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</row>
    <row r="56" spans="1:35" ht="15.75" customHeight="1" x14ac:dyDescent="0.3">
      <c r="B56" s="3"/>
      <c r="C56" s="3"/>
      <c r="D56" s="3"/>
      <c r="K56" s="347" t="s">
        <v>985</v>
      </c>
      <c r="L56" s="458">
        <f>SUM(L52:L55)</f>
        <v>51.9</v>
      </c>
      <c r="M56" s="458">
        <f>SUM(M52:M55)</f>
        <v>43</v>
      </c>
      <c r="N56" s="458">
        <f>SUM(N52:N55)</f>
        <v>51.300000000000004</v>
      </c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</row>
    <row r="57" spans="1:35" ht="15.75" customHeight="1" x14ac:dyDescent="0.3">
      <c r="A57" s="616" t="s">
        <v>100</v>
      </c>
      <c r="B57" s="616"/>
      <c r="C57" s="616"/>
      <c r="D57" s="616"/>
      <c r="E57" s="616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</row>
    <row r="58" spans="1:35" ht="15.75" customHeight="1" x14ac:dyDescent="0.3">
      <c r="A58" s="289" t="s">
        <v>69</v>
      </c>
      <c r="B58" s="293">
        <f t="shared" ref="B58:D58" si="5">+B48+(B44+B40)*B36+((B52^2)/(2*9.8))</f>
        <v>2.2617623692696354</v>
      </c>
      <c r="C58" s="293">
        <f>+C48+(C44+C40)*C36+((C52^2)/(2*9.8))</f>
        <v>2.3639735106033712</v>
      </c>
      <c r="D58" s="293">
        <f t="shared" si="5"/>
        <v>4.2625340038461772</v>
      </c>
      <c r="E58" s="297" t="s">
        <v>73</v>
      </c>
    </row>
    <row r="59" spans="1:35" ht="15.75" customHeight="1" x14ac:dyDescent="0.3">
      <c r="A59" s="289" t="s">
        <v>76</v>
      </c>
      <c r="B59" s="293">
        <f>+B49+(B45+B41)*B37+((B53^2)/(2*9.8))</f>
        <v>11.033714464732148</v>
      </c>
      <c r="C59" s="293">
        <f>+C49+(C45+C41)*C37+((C53^2)/(2*9.8))</f>
        <v>12.352378064952235</v>
      </c>
      <c r="D59" s="293">
        <f t="shared" ref="D59" si="6">+D49+(D45+D41)*D37+((D53^2)/(2*9.8))</f>
        <v>33.355268528081325</v>
      </c>
      <c r="E59" s="297" t="s">
        <v>73</v>
      </c>
    </row>
    <row r="60" spans="1:35" ht="15.75" customHeight="1" thickBot="1" x14ac:dyDescent="0.35">
      <c r="A60" s="289" t="s">
        <v>103</v>
      </c>
      <c r="B60" s="293">
        <f>+B59+B58+B55</f>
        <v>13.795476834001782</v>
      </c>
      <c r="C60" s="293">
        <f>+C59+C58+C55</f>
        <v>15.216351575555606</v>
      </c>
      <c r="D60" s="293">
        <f t="shared" ref="D60" si="7">+D59+D58+D55</f>
        <v>38.117802531927502</v>
      </c>
      <c r="E60" s="297" t="s">
        <v>73</v>
      </c>
    </row>
    <row r="61" spans="1:35" ht="15.75" customHeight="1" thickBot="1" x14ac:dyDescent="0.35">
      <c r="B61" s="3"/>
      <c r="C61" s="3"/>
      <c r="D61" s="3"/>
      <c r="M61" s="652" t="s">
        <v>982</v>
      </c>
      <c r="N61" s="653"/>
      <c r="O61" s="653"/>
      <c r="P61" s="653"/>
      <c r="Q61" s="653"/>
      <c r="R61" s="653"/>
      <c r="S61" s="653"/>
      <c r="T61" s="653"/>
      <c r="U61" s="653"/>
      <c r="V61" s="653"/>
      <c r="W61" s="653"/>
      <c r="X61" s="653"/>
      <c r="Y61" s="654"/>
    </row>
    <row r="62" spans="1:35" ht="15.75" customHeight="1" thickBot="1" x14ac:dyDescent="0.35">
      <c r="B62" s="3"/>
      <c r="C62" s="3"/>
      <c r="D62" s="3"/>
      <c r="M62" s="127" t="s">
        <v>578</v>
      </c>
      <c r="N62" s="123">
        <v>2.5</v>
      </c>
      <c r="O62" s="123">
        <v>5</v>
      </c>
      <c r="P62" s="123" t="s">
        <v>579</v>
      </c>
      <c r="Q62" s="123">
        <v>10</v>
      </c>
      <c r="R62" s="123">
        <v>15</v>
      </c>
      <c r="S62" s="123">
        <v>20</v>
      </c>
      <c r="T62" s="123">
        <v>25</v>
      </c>
      <c r="U62" s="123">
        <v>30</v>
      </c>
      <c r="V62" s="123">
        <v>40</v>
      </c>
      <c r="W62" s="123">
        <v>50</v>
      </c>
      <c r="X62" s="123">
        <v>100</v>
      </c>
      <c r="Y62" s="123">
        <v>200</v>
      </c>
    </row>
    <row r="63" spans="1:35" ht="15.75" customHeight="1" thickBot="1" x14ac:dyDescent="0.35">
      <c r="A63" s="616" t="s">
        <v>105</v>
      </c>
      <c r="B63" s="616"/>
      <c r="C63" s="616"/>
      <c r="D63" s="616"/>
      <c r="E63" s="616"/>
      <c r="M63" s="128" t="s">
        <v>580</v>
      </c>
      <c r="N63" s="123">
        <v>45</v>
      </c>
      <c r="O63" s="123">
        <v>52</v>
      </c>
      <c r="P63" s="123">
        <v>61</v>
      </c>
      <c r="Q63" s="123">
        <v>66</v>
      </c>
      <c r="R63" s="123">
        <v>68</v>
      </c>
      <c r="S63" s="123">
        <v>71</v>
      </c>
      <c r="T63" s="123">
        <v>75</v>
      </c>
      <c r="U63" s="123">
        <v>80</v>
      </c>
      <c r="V63" s="123">
        <v>84</v>
      </c>
      <c r="W63" s="123">
        <v>85</v>
      </c>
      <c r="X63" s="123">
        <v>87</v>
      </c>
      <c r="Y63" s="339">
        <v>88</v>
      </c>
    </row>
    <row r="64" spans="1:35" ht="15.75" customHeight="1" thickBot="1" x14ac:dyDescent="0.4">
      <c r="A64" s="289" t="s">
        <v>118</v>
      </c>
      <c r="B64" s="293">
        <f>1000*B60*B23/75/H65</f>
        <v>40.703554398722268</v>
      </c>
      <c r="C64" s="293">
        <f>1000*C60*B23/75/I65</f>
        <v>44.895845323676824</v>
      </c>
      <c r="D64" s="293">
        <f>1000*D60*B23/75/J65</f>
        <v>112.46657637045213</v>
      </c>
      <c r="E64" s="297" t="s">
        <v>113</v>
      </c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</row>
    <row r="65" spans="1:32" ht="23.25" customHeight="1" thickBot="1" x14ac:dyDescent="0.4">
      <c r="A65" s="289"/>
      <c r="B65" s="293">
        <f t="shared" ref="B65:D65" si="8">1.014*B64</f>
        <v>41.273404160304381</v>
      </c>
      <c r="C65" s="293">
        <f t="shared" ref="C65" si="9">1.014*C64</f>
        <v>45.524387158208299</v>
      </c>
      <c r="D65" s="293">
        <f t="shared" si="8"/>
        <v>114.04110843963846</v>
      </c>
      <c r="E65" s="341" t="s">
        <v>116</v>
      </c>
      <c r="F65" s="337">
        <f>D23</f>
        <v>194.73300000000003</v>
      </c>
      <c r="G65" s="297" t="s">
        <v>122</v>
      </c>
      <c r="H65" s="349">
        <v>0.88</v>
      </c>
      <c r="I65" s="338">
        <f>+H65</f>
        <v>0.88</v>
      </c>
      <c r="J65" s="338">
        <f>+I65</f>
        <v>0.88</v>
      </c>
      <c r="K65" s="617" t="s">
        <v>123</v>
      </c>
      <c r="L65" s="618"/>
      <c r="M65" s="655" t="s">
        <v>983</v>
      </c>
      <c r="N65" s="656"/>
      <c r="O65" s="656"/>
      <c r="P65" s="656"/>
      <c r="Q65" s="656"/>
      <c r="R65" s="656"/>
      <c r="S65" s="656"/>
      <c r="T65" s="656"/>
      <c r="U65" s="656"/>
      <c r="V65" s="656"/>
      <c r="W65" s="656"/>
      <c r="X65" s="656"/>
      <c r="Y65" s="656"/>
      <c r="Z65" s="656"/>
      <c r="AA65" s="656"/>
      <c r="AB65" s="656"/>
      <c r="AC65" s="656"/>
      <c r="AD65" s="656"/>
      <c r="AE65" s="656"/>
      <c r="AF65" s="657"/>
    </row>
    <row r="66" spans="1:32" ht="15.75" customHeight="1" thickBot="1" x14ac:dyDescent="0.4">
      <c r="A66" s="289" t="s">
        <v>125</v>
      </c>
      <c r="B66" s="293">
        <f>+B65/H66</f>
        <v>46.901595636709523</v>
      </c>
      <c r="C66" s="293">
        <f>+C65/I66</f>
        <v>51.732258134327616</v>
      </c>
      <c r="D66" s="293">
        <f>+D65/J66</f>
        <v>126.71234271070941</v>
      </c>
      <c r="E66" s="297" t="s">
        <v>116</v>
      </c>
      <c r="F66" s="141"/>
      <c r="G66" s="297" t="s">
        <v>128</v>
      </c>
      <c r="H66" s="349">
        <v>0.88</v>
      </c>
      <c r="I66" s="349">
        <v>0.88</v>
      </c>
      <c r="J66" s="349">
        <v>0.9</v>
      </c>
      <c r="M66" s="129" t="s">
        <v>116</v>
      </c>
      <c r="N66" s="130" t="s">
        <v>581</v>
      </c>
      <c r="O66" s="131"/>
      <c r="P66" s="130" t="s">
        <v>506</v>
      </c>
      <c r="Q66" s="130" t="s">
        <v>520</v>
      </c>
      <c r="R66" s="130">
        <v>1</v>
      </c>
      <c r="S66" s="130" t="s">
        <v>582</v>
      </c>
      <c r="T66" s="130">
        <v>2</v>
      </c>
      <c r="U66" s="130">
        <v>3</v>
      </c>
      <c r="V66" s="130">
        <v>4</v>
      </c>
      <c r="W66" s="130">
        <v>5</v>
      </c>
      <c r="X66" s="130">
        <v>6</v>
      </c>
      <c r="Y66" s="130" t="s">
        <v>583</v>
      </c>
      <c r="Z66" s="130">
        <v>10</v>
      </c>
      <c r="AA66" s="130">
        <v>12</v>
      </c>
      <c r="AB66" s="130">
        <v>15</v>
      </c>
      <c r="AC66" s="130">
        <v>20</v>
      </c>
      <c r="AD66" s="130">
        <v>30</v>
      </c>
      <c r="AE66" s="130">
        <v>50</v>
      </c>
      <c r="AF66" s="130">
        <v>100</v>
      </c>
    </row>
    <row r="67" spans="1:32" ht="15.75" customHeight="1" thickBot="1" x14ac:dyDescent="0.35">
      <c r="A67" s="298" t="s">
        <v>129</v>
      </c>
      <c r="B67" s="334">
        <v>10</v>
      </c>
      <c r="C67" s="334">
        <v>10</v>
      </c>
      <c r="D67" s="334">
        <v>10</v>
      </c>
      <c r="E67" s="342" t="s">
        <v>22</v>
      </c>
      <c r="M67" s="132" t="s">
        <v>584</v>
      </c>
      <c r="N67" s="130">
        <v>61</v>
      </c>
      <c r="O67" s="130">
        <v>63</v>
      </c>
      <c r="P67" s="130">
        <v>64</v>
      </c>
      <c r="Q67" s="130">
        <v>67</v>
      </c>
      <c r="R67" s="130">
        <v>72</v>
      </c>
      <c r="S67" s="130">
        <v>73</v>
      </c>
      <c r="T67" s="130">
        <v>75</v>
      </c>
      <c r="U67" s="130">
        <v>77</v>
      </c>
      <c r="V67" s="130">
        <v>79</v>
      </c>
      <c r="W67" s="130">
        <v>81</v>
      </c>
      <c r="X67" s="130">
        <v>82</v>
      </c>
      <c r="Y67" s="130">
        <v>82.4</v>
      </c>
      <c r="Z67" s="130">
        <v>83</v>
      </c>
      <c r="AA67" s="130">
        <v>84</v>
      </c>
      <c r="AB67" s="130">
        <v>85</v>
      </c>
      <c r="AC67" s="130">
        <v>86</v>
      </c>
      <c r="AD67" s="130">
        <v>87</v>
      </c>
      <c r="AE67" s="130">
        <v>88</v>
      </c>
      <c r="AF67" s="130">
        <v>90</v>
      </c>
    </row>
    <row r="68" spans="1:32" ht="15.75" customHeight="1" x14ac:dyDescent="0.35">
      <c r="A68" s="289" t="s">
        <v>131</v>
      </c>
      <c r="B68" s="293">
        <f>(1+B67/100)*B66</f>
        <v>51.591755200380476</v>
      </c>
      <c r="C68" s="293">
        <f t="shared" ref="C68" si="10">(1+C67/100)*C66</f>
        <v>56.905483947760381</v>
      </c>
      <c r="D68" s="293">
        <f t="shared" ref="D68" si="11">(1+D67/100)*D66</f>
        <v>139.38357698178035</v>
      </c>
      <c r="E68" s="297" t="s">
        <v>116</v>
      </c>
    </row>
    <row r="69" spans="1:32" ht="15.75" customHeight="1" thickBot="1" x14ac:dyDescent="0.35">
      <c r="A69" s="335" t="s">
        <v>130</v>
      </c>
      <c r="B69" s="336"/>
      <c r="C69" s="334">
        <v>60</v>
      </c>
      <c r="D69" s="340" t="s">
        <v>116</v>
      </c>
      <c r="E69" s="141"/>
      <c r="G69" s="619" t="s">
        <v>136</v>
      </c>
      <c r="H69" s="619"/>
      <c r="I69" s="619"/>
    </row>
    <row r="70" spans="1:32" ht="90" customHeight="1" x14ac:dyDescent="0.3">
      <c r="B70" s="3"/>
      <c r="C70" s="3"/>
      <c r="G70" s="649" t="s">
        <v>137</v>
      </c>
      <c r="H70" s="650"/>
      <c r="I70" s="650"/>
    </row>
    <row r="71" spans="1:32" ht="15.75" customHeight="1" x14ac:dyDescent="0.3">
      <c r="A71" s="620" t="s">
        <v>138</v>
      </c>
      <c r="B71" s="620"/>
      <c r="C71" s="620"/>
      <c r="D71" s="620"/>
      <c r="E71" s="620"/>
    </row>
    <row r="72" spans="1:32" ht="15.75" customHeight="1" x14ac:dyDescent="0.3">
      <c r="A72" s="289" t="s">
        <v>491</v>
      </c>
      <c r="B72" s="293"/>
      <c r="C72" s="293"/>
      <c r="D72" s="297"/>
      <c r="E72" s="297"/>
    </row>
    <row r="73" spans="1:32" ht="15.75" customHeight="1" x14ac:dyDescent="0.3">
      <c r="A73" s="343" t="s">
        <v>139</v>
      </c>
      <c r="B73" s="293">
        <f>+((B52^2)/(2*9.8))+0.2</f>
        <v>0.2342761880599375</v>
      </c>
      <c r="C73" s="293">
        <f t="shared" ref="C73:D73" si="12">+((C52^2)/(2*9.8))+0.2</f>
        <v>0.25018376693855454</v>
      </c>
      <c r="D73" s="293">
        <f t="shared" si="12"/>
        <v>0.40901194060205959</v>
      </c>
      <c r="E73" s="297" t="s">
        <v>41</v>
      </c>
    </row>
    <row r="74" spans="1:32" ht="15.75" customHeight="1" x14ac:dyDescent="0.3">
      <c r="A74" s="343" t="s">
        <v>140</v>
      </c>
      <c r="B74" s="293">
        <v>0.5</v>
      </c>
      <c r="C74" s="297"/>
      <c r="D74" s="297"/>
      <c r="E74" s="297" t="s">
        <v>41</v>
      </c>
    </row>
    <row r="75" spans="1:32" ht="15.75" customHeight="1" x14ac:dyDescent="0.3">
      <c r="A75" s="343" t="s">
        <v>141</v>
      </c>
      <c r="B75" s="333">
        <v>0.5</v>
      </c>
      <c r="C75" s="297"/>
      <c r="D75" s="297"/>
      <c r="E75" s="297" t="s">
        <v>41</v>
      </c>
    </row>
    <row r="76" spans="1:32" ht="15.75" customHeight="1" x14ac:dyDescent="0.3">
      <c r="B76" s="3"/>
      <c r="C76" s="3"/>
    </row>
    <row r="77" spans="1:32" ht="15.75" customHeight="1" x14ac:dyDescent="0.3">
      <c r="A77" s="620" t="s">
        <v>142</v>
      </c>
      <c r="B77" s="620"/>
      <c r="C77" s="620"/>
      <c r="D77" s="620"/>
      <c r="E77" s="620"/>
      <c r="F77" s="620"/>
    </row>
    <row r="78" spans="1:32" ht="15.75" customHeight="1" x14ac:dyDescent="0.3">
      <c r="A78" s="608" t="s">
        <v>585</v>
      </c>
      <c r="B78" s="609"/>
      <c r="C78" s="609"/>
      <c r="D78" s="609"/>
      <c r="E78" s="609"/>
      <c r="F78" s="610"/>
    </row>
    <row r="79" spans="1:32" ht="15.75" customHeight="1" x14ac:dyDescent="0.3">
      <c r="A79" s="297" t="s">
        <v>143</v>
      </c>
      <c r="B79" s="291"/>
      <c r="C79" s="291"/>
      <c r="D79" s="297"/>
      <c r="E79" s="297" t="s">
        <v>145</v>
      </c>
      <c r="F79" s="297"/>
    </row>
    <row r="80" spans="1:32" ht="15.75" customHeight="1" x14ac:dyDescent="0.3">
      <c r="A80" s="297" t="s">
        <v>146</v>
      </c>
      <c r="B80" s="291"/>
      <c r="C80" s="291"/>
      <c r="D80" s="297" t="s">
        <v>147</v>
      </c>
      <c r="E80" s="297" t="s">
        <v>148</v>
      </c>
      <c r="F80" s="297" t="s">
        <v>149</v>
      </c>
    </row>
    <row r="81" spans="1:6" ht="15.75" customHeight="1" x14ac:dyDescent="0.3">
      <c r="A81" s="297" t="s">
        <v>150</v>
      </c>
      <c r="B81" s="291"/>
      <c r="C81" s="291"/>
      <c r="D81" s="297" t="s">
        <v>151</v>
      </c>
      <c r="E81" s="297" t="s">
        <v>152</v>
      </c>
      <c r="F81" s="297" t="s">
        <v>153</v>
      </c>
    </row>
    <row r="82" spans="1:6" ht="15.75" customHeight="1" x14ac:dyDescent="0.3">
      <c r="A82" s="297" t="s">
        <v>154</v>
      </c>
      <c r="B82" s="291"/>
      <c r="C82" s="291"/>
      <c r="D82" s="342" t="s">
        <v>984</v>
      </c>
      <c r="E82" s="297" t="s">
        <v>155</v>
      </c>
      <c r="F82" s="297" t="s">
        <v>156</v>
      </c>
    </row>
    <row r="83" spans="1:6" ht="15.75" customHeight="1" x14ac:dyDescent="0.3">
      <c r="B83" s="2"/>
      <c r="C83" s="2"/>
    </row>
    <row r="84" spans="1:6" ht="15.75" customHeight="1" x14ac:dyDescent="0.3">
      <c r="B84" s="2"/>
      <c r="C84" s="2"/>
    </row>
    <row r="85" spans="1:6" ht="15.75" customHeight="1" x14ac:dyDescent="0.3">
      <c r="B85" s="2"/>
      <c r="C85" s="2"/>
    </row>
    <row r="86" spans="1:6" ht="15.75" customHeight="1" x14ac:dyDescent="0.3">
      <c r="B86" s="2"/>
      <c r="C86" s="2"/>
    </row>
    <row r="87" spans="1:6" ht="15.75" customHeight="1" x14ac:dyDescent="0.3">
      <c r="B87" s="2"/>
      <c r="C87" s="2"/>
    </row>
    <row r="88" spans="1:6" ht="15.75" customHeight="1" x14ac:dyDescent="0.3">
      <c r="B88" s="2"/>
      <c r="C88" s="2"/>
    </row>
    <row r="89" spans="1:6" ht="15.75" customHeight="1" x14ac:dyDescent="0.3">
      <c r="B89" s="2"/>
      <c r="C89" s="2"/>
    </row>
    <row r="90" spans="1:6" ht="15.75" customHeight="1" x14ac:dyDescent="0.3">
      <c r="B90" s="2"/>
      <c r="C90" s="2"/>
    </row>
    <row r="91" spans="1:6" ht="15.75" customHeight="1" x14ac:dyDescent="0.3">
      <c r="B91" s="2"/>
      <c r="C91" s="2"/>
    </row>
    <row r="92" spans="1:6" ht="15.75" customHeight="1" x14ac:dyDescent="0.3">
      <c r="B92" s="2"/>
      <c r="C92" s="2"/>
    </row>
    <row r="93" spans="1:6" ht="15.75" customHeight="1" x14ac:dyDescent="0.3">
      <c r="B93" s="2"/>
      <c r="C93" s="2"/>
    </row>
    <row r="94" spans="1:6" ht="15.75" customHeight="1" x14ac:dyDescent="0.3">
      <c r="B94" s="2"/>
      <c r="C94" s="2"/>
    </row>
    <row r="95" spans="1:6" ht="15.75" customHeight="1" x14ac:dyDescent="0.3">
      <c r="B95" s="2"/>
      <c r="C95" s="2"/>
    </row>
    <row r="96" spans="1:6" ht="15.75" customHeight="1" x14ac:dyDescent="0.3">
      <c r="B96" s="2"/>
      <c r="C96" s="2"/>
    </row>
    <row r="97" spans="2:3" ht="15.75" customHeight="1" x14ac:dyDescent="0.3">
      <c r="B97" s="2"/>
      <c r="C97" s="2"/>
    </row>
    <row r="98" spans="2:3" ht="15.75" customHeight="1" x14ac:dyDescent="0.3">
      <c r="B98" s="2"/>
      <c r="C98" s="2"/>
    </row>
    <row r="99" spans="2:3" ht="15.75" customHeight="1" x14ac:dyDescent="0.3">
      <c r="B99" s="2"/>
      <c r="C99" s="2"/>
    </row>
    <row r="100" spans="2:3" ht="15.75" customHeight="1" x14ac:dyDescent="0.3">
      <c r="B100" s="2"/>
      <c r="C100" s="2"/>
    </row>
    <row r="101" spans="2:3" ht="15.75" customHeight="1" x14ac:dyDescent="0.3">
      <c r="B101" s="2"/>
      <c r="C101" s="2"/>
    </row>
    <row r="102" spans="2:3" ht="15.75" customHeight="1" x14ac:dyDescent="0.3">
      <c r="B102" s="2"/>
      <c r="C102" s="2"/>
    </row>
    <row r="103" spans="2:3" ht="15.75" customHeight="1" x14ac:dyDescent="0.3">
      <c r="B103" s="2"/>
      <c r="C103" s="2"/>
    </row>
    <row r="104" spans="2:3" ht="15.75" customHeight="1" x14ac:dyDescent="0.3">
      <c r="B104" s="2"/>
      <c r="C104" s="2"/>
    </row>
    <row r="105" spans="2:3" ht="15.75" customHeight="1" x14ac:dyDescent="0.3">
      <c r="B105" s="2"/>
      <c r="C105" s="2"/>
    </row>
    <row r="106" spans="2:3" ht="15.75" customHeight="1" x14ac:dyDescent="0.3">
      <c r="B106" s="2"/>
      <c r="C106" s="2"/>
    </row>
    <row r="107" spans="2:3" ht="15.75" customHeight="1" x14ac:dyDescent="0.3">
      <c r="B107" s="2"/>
      <c r="C107" s="2"/>
    </row>
    <row r="108" spans="2:3" ht="15.75" customHeight="1" x14ac:dyDescent="0.3">
      <c r="B108" s="2"/>
      <c r="C108" s="2"/>
    </row>
    <row r="109" spans="2:3" ht="15.75" customHeight="1" x14ac:dyDescent="0.3">
      <c r="B109" s="2"/>
      <c r="C109" s="2"/>
    </row>
    <row r="110" spans="2:3" ht="15.75" customHeight="1" x14ac:dyDescent="0.3">
      <c r="B110" s="2"/>
      <c r="C110" s="2"/>
    </row>
    <row r="111" spans="2:3" ht="15.75" customHeight="1" x14ac:dyDescent="0.3">
      <c r="B111" s="2"/>
      <c r="C111" s="2"/>
    </row>
    <row r="112" spans="2:3" ht="15.75" customHeight="1" x14ac:dyDescent="0.3">
      <c r="B112" s="2"/>
      <c r="C112" s="2"/>
    </row>
    <row r="113" spans="2:3" ht="15.75" customHeight="1" x14ac:dyDescent="0.3">
      <c r="B113" s="2"/>
      <c r="C113" s="2"/>
    </row>
    <row r="114" spans="2:3" ht="15.75" customHeight="1" x14ac:dyDescent="0.3">
      <c r="B114" s="2"/>
      <c r="C114" s="2"/>
    </row>
    <row r="115" spans="2:3" ht="15.75" customHeight="1" x14ac:dyDescent="0.3">
      <c r="B115" s="2"/>
      <c r="C115" s="2"/>
    </row>
    <row r="116" spans="2:3" ht="15.75" customHeight="1" x14ac:dyDescent="0.3">
      <c r="B116" s="2"/>
      <c r="C116" s="2"/>
    </row>
    <row r="117" spans="2:3" ht="15.75" customHeight="1" x14ac:dyDescent="0.3">
      <c r="B117" s="2"/>
      <c r="C117" s="2"/>
    </row>
    <row r="118" spans="2:3" ht="15.75" customHeight="1" x14ac:dyDescent="0.3">
      <c r="B118" s="2"/>
      <c r="C118" s="2"/>
    </row>
    <row r="119" spans="2:3" ht="15.75" customHeight="1" x14ac:dyDescent="0.3">
      <c r="B119" s="2"/>
      <c r="C119" s="2"/>
    </row>
    <row r="120" spans="2:3" ht="15.75" customHeight="1" x14ac:dyDescent="0.3">
      <c r="B120" s="2"/>
      <c r="C120" s="2"/>
    </row>
    <row r="121" spans="2:3" ht="15.75" customHeight="1" x14ac:dyDescent="0.3">
      <c r="B121" s="2"/>
      <c r="C121" s="2"/>
    </row>
    <row r="122" spans="2:3" ht="15.75" customHeight="1" x14ac:dyDescent="0.3">
      <c r="B122" s="2"/>
      <c r="C122" s="2"/>
    </row>
    <row r="123" spans="2:3" ht="15.75" customHeight="1" x14ac:dyDescent="0.3">
      <c r="B123" s="2"/>
      <c r="C123" s="2"/>
    </row>
    <row r="124" spans="2:3" ht="15.75" customHeight="1" x14ac:dyDescent="0.3">
      <c r="B124" s="2"/>
      <c r="C124" s="2"/>
    </row>
    <row r="125" spans="2:3" ht="15.75" customHeight="1" x14ac:dyDescent="0.3">
      <c r="B125" s="2"/>
      <c r="C125" s="2"/>
    </row>
    <row r="126" spans="2:3" ht="15.75" customHeight="1" x14ac:dyDescent="0.3">
      <c r="B126" s="2"/>
      <c r="C126" s="2"/>
    </row>
    <row r="127" spans="2:3" ht="15.75" customHeight="1" x14ac:dyDescent="0.3">
      <c r="B127" s="2"/>
      <c r="C127" s="2"/>
    </row>
    <row r="128" spans="2:3" ht="15.75" customHeight="1" x14ac:dyDescent="0.3">
      <c r="B128" s="2"/>
      <c r="C128" s="2"/>
    </row>
    <row r="129" spans="2:3" ht="15.75" customHeight="1" x14ac:dyDescent="0.3">
      <c r="B129" s="2"/>
      <c r="C129" s="2"/>
    </row>
    <row r="130" spans="2:3" ht="15.75" customHeight="1" x14ac:dyDescent="0.3">
      <c r="B130" s="2"/>
      <c r="C130" s="2"/>
    </row>
    <row r="131" spans="2:3" ht="15.75" customHeight="1" x14ac:dyDescent="0.3">
      <c r="B131" s="2"/>
      <c r="C131" s="2"/>
    </row>
    <row r="132" spans="2:3" ht="15.75" customHeight="1" x14ac:dyDescent="0.3">
      <c r="B132" s="2"/>
      <c r="C132" s="2"/>
    </row>
    <row r="133" spans="2:3" ht="15.75" customHeight="1" x14ac:dyDescent="0.3">
      <c r="B133" s="2"/>
      <c r="C133" s="2"/>
    </row>
    <row r="134" spans="2:3" ht="15.75" customHeight="1" x14ac:dyDescent="0.3">
      <c r="B134" s="2"/>
      <c r="C134" s="2"/>
    </row>
    <row r="135" spans="2:3" ht="15.75" customHeight="1" x14ac:dyDescent="0.3">
      <c r="B135" s="2"/>
      <c r="C135" s="2"/>
    </row>
    <row r="136" spans="2:3" ht="15.75" customHeight="1" x14ac:dyDescent="0.3">
      <c r="B136" s="2"/>
      <c r="C136" s="2"/>
    </row>
    <row r="137" spans="2:3" ht="15.75" customHeight="1" x14ac:dyDescent="0.3">
      <c r="B137" s="2"/>
      <c r="C137" s="2"/>
    </row>
    <row r="138" spans="2:3" ht="15.75" customHeight="1" x14ac:dyDescent="0.3">
      <c r="B138" s="2"/>
      <c r="C138" s="2"/>
    </row>
    <row r="139" spans="2:3" ht="15.75" customHeight="1" x14ac:dyDescent="0.3">
      <c r="B139" s="2"/>
      <c r="C139" s="2"/>
    </row>
    <row r="140" spans="2:3" ht="15.75" customHeight="1" x14ac:dyDescent="0.3">
      <c r="B140" s="2"/>
      <c r="C140" s="2"/>
    </row>
    <row r="141" spans="2:3" ht="15.75" customHeight="1" x14ac:dyDescent="0.3">
      <c r="B141" s="2"/>
      <c r="C141" s="2"/>
    </row>
    <row r="142" spans="2:3" ht="15.75" customHeight="1" x14ac:dyDescent="0.3">
      <c r="B142" s="2"/>
      <c r="C142" s="2"/>
    </row>
    <row r="143" spans="2:3" ht="15.75" customHeight="1" x14ac:dyDescent="0.3">
      <c r="B143" s="2"/>
      <c r="C143" s="2"/>
    </row>
    <row r="144" spans="2:3" ht="15.75" customHeight="1" x14ac:dyDescent="0.3">
      <c r="B144" s="2"/>
      <c r="C144" s="2"/>
    </row>
    <row r="145" spans="2:3" ht="15.75" customHeight="1" x14ac:dyDescent="0.3">
      <c r="B145" s="2"/>
      <c r="C145" s="2"/>
    </row>
    <row r="146" spans="2:3" ht="15.75" customHeight="1" x14ac:dyDescent="0.3">
      <c r="B146" s="2"/>
      <c r="C146" s="2"/>
    </row>
    <row r="147" spans="2:3" ht="15.75" customHeight="1" x14ac:dyDescent="0.3">
      <c r="B147" s="2"/>
      <c r="C147" s="2"/>
    </row>
    <row r="148" spans="2:3" ht="15.75" customHeight="1" x14ac:dyDescent="0.3">
      <c r="B148" s="2"/>
      <c r="C148" s="2"/>
    </row>
    <row r="149" spans="2:3" ht="15.75" customHeight="1" x14ac:dyDescent="0.3">
      <c r="B149" s="2"/>
      <c r="C149" s="2"/>
    </row>
    <row r="150" spans="2:3" ht="15.75" customHeight="1" x14ac:dyDescent="0.3">
      <c r="B150" s="2"/>
      <c r="C150" s="2"/>
    </row>
    <row r="151" spans="2:3" ht="15.75" customHeight="1" x14ac:dyDescent="0.3">
      <c r="B151" s="2"/>
      <c r="C151" s="2"/>
    </row>
    <row r="152" spans="2:3" ht="15.75" customHeight="1" x14ac:dyDescent="0.3">
      <c r="B152" s="2"/>
      <c r="C152" s="2"/>
    </row>
    <row r="153" spans="2:3" ht="15.75" customHeight="1" x14ac:dyDescent="0.3">
      <c r="B153" s="2"/>
      <c r="C153" s="2"/>
    </row>
    <row r="154" spans="2:3" ht="15.75" customHeight="1" x14ac:dyDescent="0.3">
      <c r="B154" s="2"/>
      <c r="C154" s="2"/>
    </row>
    <row r="155" spans="2:3" ht="15.75" customHeight="1" x14ac:dyDescent="0.3">
      <c r="B155" s="2"/>
      <c r="C155" s="2"/>
    </row>
    <row r="156" spans="2:3" ht="15.75" customHeight="1" x14ac:dyDescent="0.3">
      <c r="B156" s="2"/>
      <c r="C156" s="2"/>
    </row>
    <row r="157" spans="2:3" ht="15.75" customHeight="1" x14ac:dyDescent="0.3">
      <c r="B157" s="2"/>
      <c r="C157" s="2"/>
    </row>
    <row r="158" spans="2:3" ht="15.75" customHeight="1" x14ac:dyDescent="0.3">
      <c r="B158" s="2"/>
      <c r="C158" s="2"/>
    </row>
    <row r="159" spans="2:3" ht="15.75" customHeight="1" x14ac:dyDescent="0.3">
      <c r="B159" s="2"/>
      <c r="C159" s="2"/>
    </row>
    <row r="160" spans="2:3" ht="15.75" customHeight="1" x14ac:dyDescent="0.3">
      <c r="B160" s="2"/>
      <c r="C160" s="2"/>
    </row>
    <row r="161" spans="2:3" ht="15.75" customHeight="1" x14ac:dyDescent="0.3">
      <c r="B161" s="2"/>
      <c r="C161" s="2"/>
    </row>
    <row r="162" spans="2:3" ht="15.75" customHeight="1" x14ac:dyDescent="0.3">
      <c r="B162" s="2"/>
      <c r="C162" s="2"/>
    </row>
    <row r="163" spans="2:3" ht="15.75" customHeight="1" x14ac:dyDescent="0.3">
      <c r="B163" s="2"/>
      <c r="C163" s="2"/>
    </row>
    <row r="164" spans="2:3" ht="15.75" customHeight="1" x14ac:dyDescent="0.3">
      <c r="B164" s="2"/>
      <c r="C164" s="2"/>
    </row>
    <row r="165" spans="2:3" ht="15.75" customHeight="1" x14ac:dyDescent="0.3">
      <c r="B165" s="2"/>
      <c r="C165" s="2"/>
    </row>
    <row r="166" spans="2:3" ht="15.75" customHeight="1" x14ac:dyDescent="0.3">
      <c r="B166" s="2"/>
      <c r="C166" s="2"/>
    </row>
    <row r="167" spans="2:3" ht="15.75" customHeight="1" x14ac:dyDescent="0.3">
      <c r="B167" s="2"/>
      <c r="C167" s="2"/>
    </row>
    <row r="168" spans="2:3" ht="15.75" customHeight="1" x14ac:dyDescent="0.3">
      <c r="B168" s="2"/>
      <c r="C168" s="2"/>
    </row>
    <row r="169" spans="2:3" ht="15.75" customHeight="1" x14ac:dyDescent="0.3">
      <c r="B169" s="2"/>
      <c r="C169" s="2"/>
    </row>
    <row r="170" spans="2:3" ht="15.75" customHeight="1" x14ac:dyDescent="0.3">
      <c r="B170" s="2"/>
      <c r="C170" s="2"/>
    </row>
    <row r="171" spans="2:3" ht="15.75" customHeight="1" x14ac:dyDescent="0.3">
      <c r="B171" s="2"/>
      <c r="C171" s="2"/>
    </row>
    <row r="172" spans="2:3" ht="15.75" customHeight="1" x14ac:dyDescent="0.3">
      <c r="B172" s="2"/>
      <c r="C172" s="2"/>
    </row>
    <row r="173" spans="2:3" ht="15.75" customHeight="1" x14ac:dyDescent="0.3">
      <c r="B173" s="2"/>
      <c r="C173" s="2"/>
    </row>
    <row r="174" spans="2:3" ht="15.75" customHeight="1" x14ac:dyDescent="0.3">
      <c r="B174" s="2"/>
      <c r="C174" s="2"/>
    </row>
    <row r="175" spans="2:3" ht="15.75" customHeight="1" x14ac:dyDescent="0.3">
      <c r="B175" s="2"/>
      <c r="C175" s="2"/>
    </row>
    <row r="176" spans="2:3" ht="15.75" customHeight="1" x14ac:dyDescent="0.3">
      <c r="B176" s="2"/>
      <c r="C176" s="2"/>
    </row>
    <row r="177" spans="2:3" ht="15.75" customHeight="1" x14ac:dyDescent="0.3">
      <c r="B177" s="2"/>
      <c r="C177" s="2"/>
    </row>
    <row r="178" spans="2:3" ht="15.75" customHeight="1" x14ac:dyDescent="0.3">
      <c r="B178" s="2"/>
      <c r="C178" s="2"/>
    </row>
    <row r="179" spans="2:3" ht="15.75" customHeight="1" x14ac:dyDescent="0.3">
      <c r="B179" s="2"/>
      <c r="C179" s="2"/>
    </row>
    <row r="180" spans="2:3" ht="15.75" customHeight="1" x14ac:dyDescent="0.3">
      <c r="B180" s="2"/>
      <c r="C180" s="2"/>
    </row>
    <row r="181" spans="2:3" ht="15.75" customHeight="1" x14ac:dyDescent="0.3">
      <c r="B181" s="2"/>
      <c r="C181" s="2"/>
    </row>
    <row r="182" spans="2:3" ht="15.75" customHeight="1" x14ac:dyDescent="0.3">
      <c r="B182" s="2"/>
      <c r="C182" s="2"/>
    </row>
    <row r="183" spans="2:3" ht="15.75" customHeight="1" x14ac:dyDescent="0.3">
      <c r="B183" s="2"/>
      <c r="C183" s="2"/>
    </row>
    <row r="184" spans="2:3" ht="15.75" customHeight="1" x14ac:dyDescent="0.3">
      <c r="B184" s="2"/>
      <c r="C184" s="2"/>
    </row>
    <row r="185" spans="2:3" ht="15.75" customHeight="1" x14ac:dyDescent="0.3">
      <c r="B185" s="2"/>
      <c r="C185" s="2"/>
    </row>
    <row r="186" spans="2:3" ht="15.75" customHeight="1" x14ac:dyDescent="0.3">
      <c r="B186" s="2"/>
      <c r="C186" s="2"/>
    </row>
    <row r="187" spans="2:3" ht="15.75" customHeight="1" x14ac:dyDescent="0.3">
      <c r="B187" s="2"/>
      <c r="C187" s="2"/>
    </row>
    <row r="188" spans="2:3" ht="15.75" customHeight="1" x14ac:dyDescent="0.3">
      <c r="B188" s="2"/>
      <c r="C188" s="2"/>
    </row>
    <row r="189" spans="2:3" ht="15.75" customHeight="1" x14ac:dyDescent="0.3">
      <c r="B189" s="2"/>
      <c r="C189" s="2"/>
    </row>
    <row r="190" spans="2:3" ht="15.75" customHeight="1" x14ac:dyDescent="0.3">
      <c r="B190" s="2"/>
      <c r="C190" s="2"/>
    </row>
    <row r="191" spans="2:3" ht="15.75" customHeight="1" x14ac:dyDescent="0.3">
      <c r="B191" s="2"/>
      <c r="C191" s="2"/>
    </row>
    <row r="192" spans="2:3" ht="15.75" customHeight="1" x14ac:dyDescent="0.3">
      <c r="B192" s="2"/>
      <c r="C192" s="2"/>
    </row>
    <row r="193" spans="2:3" ht="15.75" customHeight="1" x14ac:dyDescent="0.3">
      <c r="B193" s="2"/>
      <c r="C193" s="2"/>
    </row>
    <row r="194" spans="2:3" ht="15.75" customHeight="1" x14ac:dyDescent="0.3">
      <c r="B194" s="2"/>
      <c r="C194" s="2"/>
    </row>
    <row r="195" spans="2:3" ht="15.75" customHeight="1" x14ac:dyDescent="0.3">
      <c r="B195" s="2"/>
      <c r="C195" s="2"/>
    </row>
    <row r="196" spans="2:3" ht="15.75" customHeight="1" x14ac:dyDescent="0.3">
      <c r="B196" s="2"/>
      <c r="C196" s="2"/>
    </row>
    <row r="197" spans="2:3" ht="15.75" customHeight="1" x14ac:dyDescent="0.3">
      <c r="B197" s="2"/>
      <c r="C197" s="2"/>
    </row>
    <row r="198" spans="2:3" ht="15.75" customHeight="1" x14ac:dyDescent="0.3">
      <c r="B198" s="2"/>
      <c r="C198" s="2"/>
    </row>
    <row r="199" spans="2:3" ht="15.75" customHeight="1" x14ac:dyDescent="0.3">
      <c r="B199" s="2"/>
      <c r="C199" s="2"/>
    </row>
    <row r="200" spans="2:3" ht="15.75" customHeight="1" x14ac:dyDescent="0.3">
      <c r="B200" s="2"/>
      <c r="C200" s="2"/>
    </row>
    <row r="201" spans="2:3" ht="15.75" customHeight="1" x14ac:dyDescent="0.3">
      <c r="B201" s="2"/>
      <c r="C201" s="2"/>
    </row>
    <row r="202" spans="2:3" ht="15.75" customHeight="1" x14ac:dyDescent="0.3">
      <c r="B202" s="2"/>
      <c r="C202" s="2"/>
    </row>
    <row r="203" spans="2:3" ht="15.75" customHeight="1" x14ac:dyDescent="0.3">
      <c r="B203" s="2"/>
      <c r="C203" s="2"/>
    </row>
    <row r="204" spans="2:3" ht="15.75" customHeight="1" x14ac:dyDescent="0.3">
      <c r="B204" s="2"/>
      <c r="C204" s="2"/>
    </row>
    <row r="205" spans="2:3" ht="15.75" customHeight="1" x14ac:dyDescent="0.3">
      <c r="B205" s="2"/>
      <c r="C205" s="2"/>
    </row>
    <row r="206" spans="2:3" ht="15.75" customHeight="1" x14ac:dyDescent="0.3">
      <c r="B206" s="2"/>
      <c r="C206" s="2"/>
    </row>
    <row r="207" spans="2:3" ht="15.75" customHeight="1" x14ac:dyDescent="0.3">
      <c r="B207" s="2"/>
      <c r="C207" s="2"/>
    </row>
    <row r="208" spans="2:3" ht="15.75" customHeight="1" x14ac:dyDescent="0.3">
      <c r="B208" s="2"/>
      <c r="C208" s="2"/>
    </row>
    <row r="209" spans="2:3" ht="15.75" customHeight="1" x14ac:dyDescent="0.3">
      <c r="B209" s="2"/>
      <c r="C209" s="2"/>
    </row>
    <row r="210" spans="2:3" ht="15.75" customHeight="1" x14ac:dyDescent="0.3">
      <c r="B210" s="2"/>
      <c r="C210" s="2"/>
    </row>
    <row r="211" spans="2:3" ht="15.75" customHeight="1" x14ac:dyDescent="0.3">
      <c r="B211" s="2"/>
      <c r="C211" s="2"/>
    </row>
    <row r="212" spans="2:3" ht="15.75" customHeight="1" x14ac:dyDescent="0.3">
      <c r="B212" s="2"/>
      <c r="C212" s="2"/>
    </row>
    <row r="213" spans="2:3" ht="15.75" customHeight="1" x14ac:dyDescent="0.3">
      <c r="B213" s="2"/>
      <c r="C213" s="2"/>
    </row>
    <row r="214" spans="2:3" ht="15.75" customHeight="1" x14ac:dyDescent="0.3">
      <c r="B214" s="2"/>
      <c r="C214" s="2"/>
    </row>
    <row r="215" spans="2:3" ht="15.75" customHeight="1" x14ac:dyDescent="0.3">
      <c r="B215" s="2"/>
      <c r="C215" s="2"/>
    </row>
    <row r="216" spans="2:3" ht="15.75" customHeight="1" x14ac:dyDescent="0.3">
      <c r="B216" s="2"/>
      <c r="C216" s="2"/>
    </row>
    <row r="217" spans="2:3" ht="15.75" customHeight="1" x14ac:dyDescent="0.3">
      <c r="B217" s="2"/>
      <c r="C217" s="2"/>
    </row>
    <row r="218" spans="2:3" ht="15.75" customHeight="1" x14ac:dyDescent="0.3">
      <c r="B218" s="2"/>
      <c r="C218" s="2"/>
    </row>
    <row r="219" spans="2:3" ht="15.75" customHeight="1" x14ac:dyDescent="0.3">
      <c r="B219" s="2"/>
      <c r="C219" s="2"/>
    </row>
    <row r="220" spans="2:3" ht="15.75" customHeight="1" x14ac:dyDescent="0.3">
      <c r="B220" s="2"/>
      <c r="C220" s="2"/>
    </row>
    <row r="221" spans="2:3" ht="15.75" customHeight="1" x14ac:dyDescent="0.3">
      <c r="B221" s="2"/>
      <c r="C221" s="2"/>
    </row>
    <row r="222" spans="2:3" ht="15.75" customHeight="1" x14ac:dyDescent="0.3">
      <c r="B222" s="2"/>
      <c r="C222" s="2"/>
    </row>
    <row r="223" spans="2:3" ht="15.75" customHeight="1" x14ac:dyDescent="0.3">
      <c r="B223" s="2"/>
      <c r="C223" s="2"/>
    </row>
    <row r="224" spans="2:3" ht="15.75" customHeight="1" x14ac:dyDescent="0.3">
      <c r="B224" s="2"/>
      <c r="C224" s="2"/>
    </row>
    <row r="225" spans="2:3" ht="15.75" customHeight="1" x14ac:dyDescent="0.3">
      <c r="B225" s="2"/>
      <c r="C225" s="2"/>
    </row>
    <row r="226" spans="2:3" ht="15.75" customHeight="1" x14ac:dyDescent="0.3">
      <c r="B226" s="2"/>
      <c r="C226" s="2"/>
    </row>
    <row r="227" spans="2:3" ht="15.75" customHeight="1" x14ac:dyDescent="0.3">
      <c r="B227" s="2"/>
      <c r="C227" s="2"/>
    </row>
    <row r="228" spans="2:3" ht="15.75" customHeight="1" x14ac:dyDescent="0.3">
      <c r="B228" s="2"/>
      <c r="C228" s="2"/>
    </row>
    <row r="229" spans="2:3" ht="15.75" customHeight="1" x14ac:dyDescent="0.3">
      <c r="B229" s="2"/>
      <c r="C229" s="2"/>
    </row>
    <row r="230" spans="2:3" ht="15.75" customHeight="1" x14ac:dyDescent="0.3">
      <c r="B230" s="2"/>
      <c r="C230" s="2"/>
    </row>
    <row r="231" spans="2:3" ht="15.75" customHeight="1" x14ac:dyDescent="0.3">
      <c r="B231" s="2"/>
      <c r="C231" s="2"/>
    </row>
    <row r="232" spans="2:3" ht="15.75" customHeight="1" x14ac:dyDescent="0.3">
      <c r="B232" s="2"/>
      <c r="C232" s="2"/>
    </row>
    <row r="233" spans="2:3" ht="15.75" customHeight="1" x14ac:dyDescent="0.3">
      <c r="B233" s="2"/>
      <c r="C233" s="2"/>
    </row>
    <row r="234" spans="2:3" ht="15.75" customHeight="1" x14ac:dyDescent="0.3">
      <c r="B234" s="2"/>
      <c r="C234" s="2"/>
    </row>
    <row r="235" spans="2:3" ht="15.75" customHeight="1" x14ac:dyDescent="0.3">
      <c r="B235" s="2"/>
      <c r="C235" s="2"/>
    </row>
    <row r="236" spans="2:3" ht="15.75" customHeight="1" x14ac:dyDescent="0.3">
      <c r="B236" s="2"/>
      <c r="C236" s="2"/>
    </row>
    <row r="237" spans="2:3" ht="15.75" customHeight="1" x14ac:dyDescent="0.3">
      <c r="B237" s="2"/>
      <c r="C237" s="2"/>
    </row>
    <row r="238" spans="2:3" ht="15.75" customHeight="1" x14ac:dyDescent="0.3">
      <c r="B238" s="2"/>
      <c r="C238" s="2"/>
    </row>
    <row r="239" spans="2:3" ht="15.75" customHeight="1" x14ac:dyDescent="0.3">
      <c r="B239" s="2"/>
      <c r="C239" s="2"/>
    </row>
    <row r="240" spans="2:3" ht="15.75" customHeight="1" x14ac:dyDescent="0.3">
      <c r="B240" s="2"/>
      <c r="C240" s="2"/>
    </row>
    <row r="241" spans="2:3" ht="15.75" customHeight="1" x14ac:dyDescent="0.3">
      <c r="B241" s="2"/>
      <c r="C241" s="2"/>
    </row>
    <row r="242" spans="2:3" ht="15.75" customHeight="1" x14ac:dyDescent="0.3">
      <c r="B242" s="2"/>
      <c r="C242" s="2"/>
    </row>
    <row r="243" spans="2:3" ht="15.75" customHeight="1" x14ac:dyDescent="0.3">
      <c r="B243" s="2"/>
      <c r="C243" s="2"/>
    </row>
    <row r="244" spans="2:3" ht="15.75" customHeight="1" x14ac:dyDescent="0.3">
      <c r="B244" s="2"/>
      <c r="C244" s="2"/>
    </row>
    <row r="245" spans="2:3" ht="15.75" customHeight="1" x14ac:dyDescent="0.3">
      <c r="B245" s="2"/>
      <c r="C245" s="2"/>
    </row>
    <row r="246" spans="2:3" ht="15.75" customHeight="1" x14ac:dyDescent="0.3">
      <c r="B246" s="2"/>
      <c r="C246" s="2"/>
    </row>
    <row r="247" spans="2:3" ht="15.75" customHeight="1" x14ac:dyDescent="0.3">
      <c r="B247" s="2"/>
      <c r="C247" s="2"/>
    </row>
    <row r="248" spans="2:3" ht="15.75" customHeight="1" x14ac:dyDescent="0.3">
      <c r="B248" s="2"/>
      <c r="C248" s="2"/>
    </row>
    <row r="249" spans="2:3" ht="15.75" customHeight="1" x14ac:dyDescent="0.3">
      <c r="B249" s="2"/>
      <c r="C249" s="2"/>
    </row>
    <row r="250" spans="2:3" ht="15.75" customHeight="1" x14ac:dyDescent="0.3">
      <c r="B250" s="2"/>
      <c r="C250" s="2"/>
    </row>
    <row r="251" spans="2:3" ht="15.75" customHeight="1" x14ac:dyDescent="0.3">
      <c r="B251" s="2"/>
      <c r="C251" s="2"/>
    </row>
    <row r="252" spans="2:3" ht="15.75" customHeight="1" x14ac:dyDescent="0.3">
      <c r="B252" s="2"/>
      <c r="C252" s="2"/>
    </row>
    <row r="253" spans="2:3" ht="15.75" customHeight="1" x14ac:dyDescent="0.3">
      <c r="B253" s="2"/>
      <c r="C253" s="2"/>
    </row>
    <row r="254" spans="2:3" ht="15.75" customHeight="1" x14ac:dyDescent="0.3">
      <c r="B254" s="2"/>
      <c r="C254" s="2"/>
    </row>
    <row r="255" spans="2:3" ht="15.75" customHeight="1" x14ac:dyDescent="0.3">
      <c r="B255" s="2"/>
      <c r="C255" s="2"/>
    </row>
    <row r="256" spans="2:3" ht="15.75" customHeight="1" x14ac:dyDescent="0.3">
      <c r="B256" s="2"/>
      <c r="C256" s="2"/>
    </row>
    <row r="257" spans="2:3" ht="15.75" customHeight="1" x14ac:dyDescent="0.3">
      <c r="B257" s="2"/>
      <c r="C257" s="2"/>
    </row>
    <row r="258" spans="2:3" ht="15.75" customHeight="1" x14ac:dyDescent="0.3">
      <c r="B258" s="2"/>
      <c r="C258" s="2"/>
    </row>
    <row r="259" spans="2:3" ht="15.75" customHeight="1" x14ac:dyDescent="0.3">
      <c r="B259" s="2"/>
      <c r="C259" s="2"/>
    </row>
    <row r="260" spans="2:3" ht="15.75" customHeight="1" x14ac:dyDescent="0.3">
      <c r="B260" s="2"/>
      <c r="C260" s="2"/>
    </row>
    <row r="261" spans="2:3" ht="15.75" customHeight="1" x14ac:dyDescent="0.3">
      <c r="B261" s="2"/>
      <c r="C261" s="2"/>
    </row>
    <row r="262" spans="2:3" ht="15.75" customHeight="1" x14ac:dyDescent="0.3">
      <c r="B262" s="2"/>
      <c r="C262" s="2"/>
    </row>
    <row r="263" spans="2:3" ht="15.75" customHeight="1" x14ac:dyDescent="0.3">
      <c r="B263" s="2"/>
      <c r="C263" s="2"/>
    </row>
    <row r="264" spans="2:3" ht="15.75" customHeight="1" x14ac:dyDescent="0.3">
      <c r="B264" s="2"/>
      <c r="C264" s="2"/>
    </row>
    <row r="265" spans="2:3" ht="15.75" customHeight="1" x14ac:dyDescent="0.3">
      <c r="B265" s="2"/>
      <c r="C265" s="2"/>
    </row>
    <row r="266" spans="2:3" ht="15.75" customHeight="1" x14ac:dyDescent="0.3">
      <c r="B266" s="2"/>
      <c r="C266" s="2"/>
    </row>
    <row r="267" spans="2:3" ht="15.75" customHeight="1" x14ac:dyDescent="0.3">
      <c r="B267" s="2"/>
      <c r="C267" s="2"/>
    </row>
    <row r="268" spans="2:3" ht="15.75" customHeight="1" x14ac:dyDescent="0.3">
      <c r="B268" s="2"/>
      <c r="C268" s="2"/>
    </row>
    <row r="269" spans="2:3" ht="15.75" customHeight="1" x14ac:dyDescent="0.3">
      <c r="B269" s="2"/>
      <c r="C269" s="2"/>
    </row>
    <row r="270" spans="2:3" ht="15.75" customHeight="1" x14ac:dyDescent="0.3">
      <c r="B270" s="2"/>
      <c r="C270" s="2"/>
    </row>
    <row r="271" spans="2:3" ht="15.75" customHeight="1" x14ac:dyDescent="0.3">
      <c r="B271" s="2"/>
      <c r="C271" s="2"/>
    </row>
    <row r="272" spans="2:3" ht="15.75" customHeight="1" x14ac:dyDescent="0.3">
      <c r="B272" s="2"/>
      <c r="C272" s="2"/>
    </row>
    <row r="273" spans="2:3" ht="15.75" customHeight="1" x14ac:dyDescent="0.3">
      <c r="B273" s="2"/>
      <c r="C273" s="2"/>
    </row>
    <row r="274" spans="2:3" ht="15.75" customHeight="1" x14ac:dyDescent="0.3">
      <c r="B274" s="2"/>
      <c r="C274" s="2"/>
    </row>
    <row r="275" spans="2:3" ht="15.75" customHeight="1" x14ac:dyDescent="0.3">
      <c r="B275" s="2"/>
      <c r="C275" s="2"/>
    </row>
    <row r="276" spans="2:3" ht="15.75" customHeight="1" x14ac:dyDescent="0.3">
      <c r="B276" s="2"/>
      <c r="C276" s="2"/>
    </row>
    <row r="277" spans="2:3" ht="15.75" customHeight="1" x14ac:dyDescent="0.3">
      <c r="B277" s="2"/>
      <c r="C277" s="2"/>
    </row>
    <row r="278" spans="2:3" ht="15.75" customHeight="1" x14ac:dyDescent="0.3">
      <c r="B278" s="2"/>
      <c r="C278" s="2"/>
    </row>
    <row r="279" spans="2:3" ht="15.75" customHeight="1" x14ac:dyDescent="0.3">
      <c r="B279" s="2"/>
      <c r="C279" s="2"/>
    </row>
    <row r="280" spans="2:3" ht="15.75" customHeight="1" x14ac:dyDescent="0.3">
      <c r="B280" s="2"/>
      <c r="C280" s="2"/>
    </row>
    <row r="281" spans="2:3" ht="15.75" customHeight="1" x14ac:dyDescent="0.3">
      <c r="B281" s="2"/>
      <c r="C281" s="2"/>
    </row>
    <row r="282" spans="2:3" ht="15.75" customHeight="1" x14ac:dyDescent="0.3">
      <c r="B282" s="2"/>
      <c r="C282" s="2"/>
    </row>
    <row r="283" spans="2:3" ht="15.75" customHeight="1" x14ac:dyDescent="0.3">
      <c r="B283" s="2"/>
      <c r="C283" s="2"/>
    </row>
    <row r="284" spans="2:3" ht="15.75" customHeight="1" x14ac:dyDescent="0.3">
      <c r="B284" s="2"/>
      <c r="C284" s="2"/>
    </row>
    <row r="285" spans="2:3" ht="15.75" customHeight="1" x14ac:dyDescent="0.3">
      <c r="B285" s="2"/>
      <c r="C285" s="2"/>
    </row>
    <row r="286" spans="2:3" ht="15.75" customHeight="1" x14ac:dyDescent="0.3">
      <c r="B286" s="2"/>
      <c r="C286" s="2"/>
    </row>
    <row r="287" spans="2:3" ht="15.75" customHeight="1" x14ac:dyDescent="0.3">
      <c r="B287" s="2"/>
      <c r="C287" s="2"/>
    </row>
    <row r="288" spans="2:3" ht="15.75" customHeight="1" x14ac:dyDescent="0.3">
      <c r="B288" s="2"/>
      <c r="C288" s="2"/>
    </row>
    <row r="289" spans="2:3" ht="15.75" customHeight="1" x14ac:dyDescent="0.3">
      <c r="B289" s="2"/>
      <c r="C289" s="2"/>
    </row>
    <row r="290" spans="2:3" ht="15.75" customHeight="1" x14ac:dyDescent="0.3">
      <c r="B290" s="2"/>
      <c r="C290" s="2"/>
    </row>
    <row r="291" spans="2:3" ht="15.75" customHeight="1" x14ac:dyDescent="0.3">
      <c r="B291" s="2"/>
      <c r="C291" s="2"/>
    </row>
    <row r="292" spans="2:3" ht="15.75" customHeight="1" x14ac:dyDescent="0.3">
      <c r="B292" s="2"/>
      <c r="C292" s="2"/>
    </row>
    <row r="293" spans="2:3" ht="15.75" customHeight="1" x14ac:dyDescent="0.3">
      <c r="B293" s="2"/>
      <c r="C293" s="2"/>
    </row>
    <row r="294" spans="2:3" ht="15.75" customHeight="1" x14ac:dyDescent="0.3">
      <c r="B294" s="2"/>
      <c r="C294" s="2"/>
    </row>
    <row r="295" spans="2:3" ht="15.75" customHeight="1" x14ac:dyDescent="0.3">
      <c r="B295" s="2"/>
      <c r="C295" s="2"/>
    </row>
    <row r="296" spans="2:3" ht="15.75" customHeight="1" x14ac:dyDescent="0.3">
      <c r="B296" s="2"/>
      <c r="C296" s="2"/>
    </row>
    <row r="297" spans="2:3" ht="15.75" customHeight="1" x14ac:dyDescent="0.3">
      <c r="B297" s="2"/>
      <c r="C297" s="2"/>
    </row>
    <row r="298" spans="2:3" ht="15.75" customHeight="1" x14ac:dyDescent="0.3">
      <c r="B298" s="2"/>
      <c r="C298" s="2"/>
    </row>
    <row r="299" spans="2:3" ht="15.75" customHeight="1" x14ac:dyDescent="0.3">
      <c r="B299" s="2"/>
      <c r="C299" s="2"/>
    </row>
    <row r="300" spans="2:3" ht="15.75" customHeight="1" x14ac:dyDescent="0.3">
      <c r="B300" s="2"/>
      <c r="C300" s="2"/>
    </row>
    <row r="301" spans="2:3" ht="15.75" customHeight="1" x14ac:dyDescent="0.3">
      <c r="B301" s="2"/>
      <c r="C301" s="2"/>
    </row>
    <row r="302" spans="2:3" ht="15.75" customHeight="1" x14ac:dyDescent="0.3">
      <c r="B302" s="2"/>
      <c r="C302" s="2"/>
    </row>
    <row r="303" spans="2:3" ht="15.75" customHeight="1" x14ac:dyDescent="0.3">
      <c r="B303" s="2"/>
      <c r="C303" s="2"/>
    </row>
    <row r="304" spans="2:3" ht="15.75" customHeight="1" x14ac:dyDescent="0.3">
      <c r="B304" s="2"/>
      <c r="C304" s="2"/>
    </row>
    <row r="305" spans="2:3" ht="15.75" customHeight="1" x14ac:dyDescent="0.3">
      <c r="B305" s="2"/>
      <c r="C305" s="2"/>
    </row>
    <row r="306" spans="2:3" ht="15.75" customHeight="1" x14ac:dyDescent="0.3">
      <c r="B306" s="2"/>
      <c r="C306" s="2"/>
    </row>
    <row r="307" spans="2:3" ht="15.75" customHeight="1" x14ac:dyDescent="0.3">
      <c r="B307" s="2"/>
      <c r="C307" s="2"/>
    </row>
    <row r="308" spans="2:3" ht="15.75" customHeight="1" x14ac:dyDescent="0.3">
      <c r="B308" s="2"/>
      <c r="C308" s="2"/>
    </row>
    <row r="309" spans="2:3" ht="15.75" customHeight="1" x14ac:dyDescent="0.3">
      <c r="B309" s="2"/>
      <c r="C309" s="2"/>
    </row>
    <row r="310" spans="2:3" ht="15.75" customHeight="1" x14ac:dyDescent="0.3">
      <c r="B310" s="2"/>
      <c r="C310" s="2"/>
    </row>
    <row r="311" spans="2:3" ht="15.75" customHeight="1" x14ac:dyDescent="0.3">
      <c r="B311" s="2"/>
      <c r="C311" s="2"/>
    </row>
    <row r="312" spans="2:3" ht="15.75" customHeight="1" x14ac:dyDescent="0.3">
      <c r="B312" s="2"/>
      <c r="C312" s="2"/>
    </row>
    <row r="313" spans="2:3" ht="15.75" customHeight="1" x14ac:dyDescent="0.3">
      <c r="B313" s="2"/>
      <c r="C313" s="2"/>
    </row>
    <row r="314" spans="2:3" ht="15.75" customHeight="1" x14ac:dyDescent="0.3">
      <c r="B314" s="2"/>
      <c r="C314" s="2"/>
    </row>
    <row r="315" spans="2:3" ht="15.75" customHeight="1" x14ac:dyDescent="0.3">
      <c r="B315" s="2"/>
      <c r="C315" s="2"/>
    </row>
    <row r="316" spans="2:3" ht="15.75" customHeight="1" x14ac:dyDescent="0.3">
      <c r="B316" s="2"/>
      <c r="C316" s="2"/>
    </row>
    <row r="317" spans="2:3" ht="15.75" customHeight="1" x14ac:dyDescent="0.3">
      <c r="B317" s="2"/>
      <c r="C317" s="2"/>
    </row>
    <row r="318" spans="2:3" ht="15.75" customHeight="1" x14ac:dyDescent="0.3">
      <c r="B318" s="2"/>
      <c r="C318" s="2"/>
    </row>
    <row r="319" spans="2:3" ht="15.75" customHeight="1" x14ac:dyDescent="0.3">
      <c r="B319" s="2"/>
      <c r="C319" s="2"/>
    </row>
    <row r="320" spans="2:3" ht="15.75" customHeight="1" x14ac:dyDescent="0.3">
      <c r="B320" s="2"/>
      <c r="C320" s="2"/>
    </row>
    <row r="321" spans="2:3" ht="15.75" customHeight="1" x14ac:dyDescent="0.3">
      <c r="B321" s="2"/>
      <c r="C321" s="2"/>
    </row>
    <row r="322" spans="2:3" ht="15.75" customHeight="1" x14ac:dyDescent="0.3">
      <c r="B322" s="2"/>
      <c r="C322" s="2"/>
    </row>
    <row r="323" spans="2:3" ht="15.75" customHeight="1" x14ac:dyDescent="0.3">
      <c r="B323" s="2"/>
      <c r="C323" s="2"/>
    </row>
    <row r="324" spans="2:3" ht="15.75" customHeight="1" x14ac:dyDescent="0.3">
      <c r="B324" s="2"/>
      <c r="C324" s="2"/>
    </row>
    <row r="325" spans="2:3" ht="15.75" customHeight="1" x14ac:dyDescent="0.3">
      <c r="B325" s="2"/>
      <c r="C325" s="2"/>
    </row>
    <row r="326" spans="2:3" ht="15.75" customHeight="1" x14ac:dyDescent="0.3">
      <c r="B326" s="2"/>
      <c r="C326" s="2"/>
    </row>
    <row r="327" spans="2:3" ht="15.75" customHeight="1" x14ac:dyDescent="0.3">
      <c r="B327" s="2"/>
      <c r="C327" s="2"/>
    </row>
    <row r="328" spans="2:3" ht="15.75" customHeight="1" x14ac:dyDescent="0.3">
      <c r="B328" s="2"/>
      <c r="C328" s="2"/>
    </row>
    <row r="329" spans="2:3" ht="15.75" customHeight="1" x14ac:dyDescent="0.3">
      <c r="B329" s="2"/>
      <c r="C329" s="2"/>
    </row>
    <row r="330" spans="2:3" ht="15.75" customHeight="1" x14ac:dyDescent="0.3">
      <c r="B330" s="2"/>
      <c r="C330" s="2"/>
    </row>
    <row r="331" spans="2:3" ht="15.75" customHeight="1" x14ac:dyDescent="0.3">
      <c r="B331" s="2"/>
      <c r="C331" s="2"/>
    </row>
    <row r="332" spans="2:3" ht="15.75" customHeight="1" x14ac:dyDescent="0.3">
      <c r="B332" s="2"/>
      <c r="C332" s="2"/>
    </row>
    <row r="333" spans="2:3" ht="15.75" customHeight="1" x14ac:dyDescent="0.3">
      <c r="B333" s="2"/>
      <c r="C333" s="2"/>
    </row>
    <row r="334" spans="2:3" ht="15.75" customHeight="1" x14ac:dyDescent="0.3">
      <c r="B334" s="2"/>
      <c r="C334" s="2"/>
    </row>
    <row r="335" spans="2:3" ht="15.75" customHeight="1" x14ac:dyDescent="0.3">
      <c r="B335" s="2"/>
      <c r="C335" s="2"/>
    </row>
    <row r="336" spans="2:3" ht="15.75" customHeight="1" x14ac:dyDescent="0.3">
      <c r="B336" s="2"/>
      <c r="C336" s="2"/>
    </row>
    <row r="337" spans="2:3" ht="15.75" customHeight="1" x14ac:dyDescent="0.3">
      <c r="B337" s="2"/>
      <c r="C337" s="2"/>
    </row>
    <row r="338" spans="2:3" ht="15.75" customHeight="1" x14ac:dyDescent="0.3">
      <c r="B338" s="2"/>
      <c r="C338" s="2"/>
    </row>
    <row r="339" spans="2:3" ht="15.75" customHeight="1" x14ac:dyDescent="0.3">
      <c r="B339" s="2"/>
      <c r="C339" s="2"/>
    </row>
    <row r="340" spans="2:3" ht="15.75" customHeight="1" x14ac:dyDescent="0.3">
      <c r="B340" s="2"/>
      <c r="C340" s="2"/>
    </row>
    <row r="341" spans="2:3" ht="15.75" customHeight="1" x14ac:dyDescent="0.3">
      <c r="B341" s="2"/>
      <c r="C341" s="2"/>
    </row>
    <row r="342" spans="2:3" ht="15.75" customHeight="1" x14ac:dyDescent="0.3">
      <c r="B342" s="2"/>
      <c r="C342" s="2"/>
    </row>
    <row r="343" spans="2:3" ht="15.75" customHeight="1" x14ac:dyDescent="0.3">
      <c r="B343" s="2"/>
      <c r="C343" s="2"/>
    </row>
    <row r="344" spans="2:3" ht="15.75" customHeight="1" x14ac:dyDescent="0.3">
      <c r="B344" s="2"/>
      <c r="C344" s="2"/>
    </row>
    <row r="345" spans="2:3" ht="15.75" customHeight="1" x14ac:dyDescent="0.3">
      <c r="B345" s="2"/>
      <c r="C345" s="2"/>
    </row>
    <row r="346" spans="2:3" ht="15.75" customHeight="1" x14ac:dyDescent="0.3">
      <c r="B346" s="2"/>
      <c r="C346" s="2"/>
    </row>
    <row r="347" spans="2:3" ht="15.75" customHeight="1" x14ac:dyDescent="0.3">
      <c r="B347" s="2"/>
      <c r="C347" s="2"/>
    </row>
    <row r="348" spans="2:3" ht="15.75" customHeight="1" x14ac:dyDescent="0.3">
      <c r="B348" s="2"/>
      <c r="C348" s="2"/>
    </row>
    <row r="349" spans="2:3" ht="15.75" customHeight="1" x14ac:dyDescent="0.3">
      <c r="B349" s="2"/>
      <c r="C349" s="2"/>
    </row>
    <row r="350" spans="2:3" ht="15.75" customHeight="1" x14ac:dyDescent="0.3">
      <c r="B350" s="2"/>
      <c r="C350" s="2"/>
    </row>
    <row r="351" spans="2:3" ht="15.75" customHeight="1" x14ac:dyDescent="0.3">
      <c r="B351" s="2"/>
      <c r="C351" s="2"/>
    </row>
    <row r="352" spans="2:3" ht="15.75" customHeight="1" x14ac:dyDescent="0.3">
      <c r="B352" s="2"/>
      <c r="C352" s="2"/>
    </row>
    <row r="353" spans="2:3" ht="15.75" customHeight="1" x14ac:dyDescent="0.3">
      <c r="B353" s="2"/>
      <c r="C353" s="2"/>
    </row>
    <row r="354" spans="2:3" ht="15.75" customHeight="1" x14ac:dyDescent="0.3">
      <c r="B354" s="2"/>
      <c r="C354" s="2"/>
    </row>
    <row r="355" spans="2:3" ht="15.75" customHeight="1" x14ac:dyDescent="0.3">
      <c r="B355" s="2"/>
      <c r="C355" s="2"/>
    </row>
    <row r="356" spans="2:3" ht="15.75" customHeight="1" x14ac:dyDescent="0.3">
      <c r="B356" s="2"/>
      <c r="C356" s="2"/>
    </row>
    <row r="357" spans="2:3" ht="15.75" customHeight="1" x14ac:dyDescent="0.3">
      <c r="B357" s="2"/>
      <c r="C357" s="2"/>
    </row>
    <row r="358" spans="2:3" ht="15.75" customHeight="1" x14ac:dyDescent="0.3">
      <c r="B358" s="2"/>
      <c r="C358" s="2"/>
    </row>
    <row r="359" spans="2:3" ht="15.75" customHeight="1" x14ac:dyDescent="0.3">
      <c r="B359" s="2"/>
      <c r="C359" s="2"/>
    </row>
    <row r="360" spans="2:3" ht="15.75" customHeight="1" x14ac:dyDescent="0.3">
      <c r="B360" s="2"/>
      <c r="C360" s="2"/>
    </row>
    <row r="361" spans="2:3" ht="15.75" customHeight="1" x14ac:dyDescent="0.3">
      <c r="B361" s="2"/>
      <c r="C361" s="2"/>
    </row>
    <row r="362" spans="2:3" ht="15.75" customHeight="1" x14ac:dyDescent="0.3">
      <c r="B362" s="2"/>
      <c r="C362" s="2"/>
    </row>
    <row r="363" spans="2:3" ht="15.75" customHeight="1" x14ac:dyDescent="0.3">
      <c r="B363" s="2"/>
      <c r="C363" s="2"/>
    </row>
    <row r="364" spans="2:3" ht="15.75" customHeight="1" x14ac:dyDescent="0.3">
      <c r="B364" s="2"/>
      <c r="C364" s="2"/>
    </row>
    <row r="365" spans="2:3" ht="15.75" customHeight="1" x14ac:dyDescent="0.3">
      <c r="B365" s="2"/>
      <c r="C365" s="2"/>
    </row>
    <row r="366" spans="2:3" ht="15.75" customHeight="1" x14ac:dyDescent="0.3">
      <c r="B366" s="2"/>
      <c r="C366" s="2"/>
    </row>
    <row r="367" spans="2:3" ht="15.75" customHeight="1" x14ac:dyDescent="0.3">
      <c r="B367" s="2"/>
      <c r="C367" s="2"/>
    </row>
    <row r="368" spans="2:3" ht="15.75" customHeight="1" x14ac:dyDescent="0.3">
      <c r="B368" s="2"/>
      <c r="C368" s="2"/>
    </row>
    <row r="369" spans="2:3" ht="15.75" customHeight="1" x14ac:dyDescent="0.3">
      <c r="B369" s="2"/>
      <c r="C369" s="2"/>
    </row>
    <row r="370" spans="2:3" ht="15.75" customHeight="1" x14ac:dyDescent="0.3">
      <c r="B370" s="2"/>
      <c r="C370" s="2"/>
    </row>
    <row r="371" spans="2:3" ht="15.75" customHeight="1" x14ac:dyDescent="0.3">
      <c r="B371" s="2"/>
      <c r="C371" s="2"/>
    </row>
    <row r="372" spans="2:3" ht="15.75" customHeight="1" x14ac:dyDescent="0.3">
      <c r="B372" s="2"/>
      <c r="C372" s="2"/>
    </row>
    <row r="373" spans="2:3" ht="15.75" customHeight="1" x14ac:dyDescent="0.3">
      <c r="B373" s="2"/>
      <c r="C373" s="2"/>
    </row>
    <row r="374" spans="2:3" ht="15.75" customHeight="1" x14ac:dyDescent="0.3">
      <c r="B374" s="2"/>
      <c r="C374" s="2"/>
    </row>
    <row r="375" spans="2:3" ht="15.75" customHeight="1" x14ac:dyDescent="0.3">
      <c r="B375" s="2"/>
      <c r="C375" s="2"/>
    </row>
    <row r="376" spans="2:3" ht="15.75" customHeight="1" x14ac:dyDescent="0.3">
      <c r="B376" s="2"/>
      <c r="C376" s="2"/>
    </row>
    <row r="377" spans="2:3" ht="15.75" customHeight="1" x14ac:dyDescent="0.3">
      <c r="B377" s="2"/>
      <c r="C377" s="2"/>
    </row>
    <row r="378" spans="2:3" ht="15.75" customHeight="1" x14ac:dyDescent="0.3">
      <c r="B378" s="2"/>
      <c r="C378" s="2"/>
    </row>
    <row r="379" spans="2:3" ht="15.75" customHeight="1" x14ac:dyDescent="0.3">
      <c r="B379" s="2"/>
      <c r="C379" s="2"/>
    </row>
    <row r="380" spans="2:3" ht="15.75" customHeight="1" x14ac:dyDescent="0.3">
      <c r="B380" s="2"/>
      <c r="C380" s="2"/>
    </row>
    <row r="381" spans="2:3" ht="15.75" customHeight="1" x14ac:dyDescent="0.3">
      <c r="B381" s="2"/>
      <c r="C381" s="2"/>
    </row>
    <row r="382" spans="2:3" ht="15.75" customHeight="1" x14ac:dyDescent="0.3">
      <c r="B382" s="2"/>
      <c r="C382" s="2"/>
    </row>
    <row r="383" spans="2:3" ht="15.75" customHeight="1" x14ac:dyDescent="0.3">
      <c r="B383" s="2"/>
      <c r="C383" s="2"/>
    </row>
    <row r="384" spans="2:3" ht="15.75" customHeight="1" x14ac:dyDescent="0.3">
      <c r="B384" s="2"/>
      <c r="C384" s="2"/>
    </row>
    <row r="385" spans="2:3" ht="15.75" customHeight="1" x14ac:dyDescent="0.3">
      <c r="B385" s="2"/>
      <c r="C385" s="2"/>
    </row>
    <row r="386" spans="2:3" ht="15.75" customHeight="1" x14ac:dyDescent="0.3">
      <c r="B386" s="2"/>
      <c r="C386" s="2"/>
    </row>
    <row r="387" spans="2:3" ht="15.75" customHeight="1" x14ac:dyDescent="0.3">
      <c r="B387" s="2"/>
      <c r="C387" s="2"/>
    </row>
    <row r="388" spans="2:3" ht="15.75" customHeight="1" x14ac:dyDescent="0.3">
      <c r="B388" s="2"/>
      <c r="C388" s="2"/>
    </row>
    <row r="389" spans="2:3" ht="15.75" customHeight="1" x14ac:dyDescent="0.3">
      <c r="B389" s="2"/>
      <c r="C389" s="2"/>
    </row>
    <row r="390" spans="2:3" ht="15.75" customHeight="1" x14ac:dyDescent="0.3">
      <c r="B390" s="2"/>
      <c r="C390" s="2"/>
    </row>
    <row r="391" spans="2:3" ht="15.75" customHeight="1" x14ac:dyDescent="0.3">
      <c r="B391" s="2"/>
      <c r="C391" s="2"/>
    </row>
    <row r="392" spans="2:3" ht="15.75" customHeight="1" x14ac:dyDescent="0.3">
      <c r="B392" s="2"/>
      <c r="C392" s="2"/>
    </row>
    <row r="393" spans="2:3" ht="15.75" customHeight="1" x14ac:dyDescent="0.3">
      <c r="B393" s="2"/>
      <c r="C393" s="2"/>
    </row>
    <row r="394" spans="2:3" ht="15.75" customHeight="1" x14ac:dyDescent="0.3">
      <c r="B394" s="2"/>
      <c r="C394" s="2"/>
    </row>
    <row r="395" spans="2:3" ht="15.75" customHeight="1" x14ac:dyDescent="0.3">
      <c r="B395" s="2"/>
      <c r="C395" s="2"/>
    </row>
    <row r="396" spans="2:3" ht="15.75" customHeight="1" x14ac:dyDescent="0.3">
      <c r="B396" s="2"/>
      <c r="C396" s="2"/>
    </row>
    <row r="397" spans="2:3" ht="15.75" customHeight="1" x14ac:dyDescent="0.3">
      <c r="B397" s="2"/>
      <c r="C397" s="2"/>
    </row>
    <row r="398" spans="2:3" ht="15.75" customHeight="1" x14ac:dyDescent="0.3">
      <c r="B398" s="2"/>
      <c r="C398" s="2"/>
    </row>
    <row r="399" spans="2:3" ht="15.75" customHeight="1" x14ac:dyDescent="0.3">
      <c r="B399" s="2"/>
      <c r="C399" s="2"/>
    </row>
    <row r="400" spans="2:3" ht="15.75" customHeight="1" x14ac:dyDescent="0.3">
      <c r="B400" s="2"/>
      <c r="C400" s="2"/>
    </row>
    <row r="401" spans="2:3" ht="15.75" customHeight="1" x14ac:dyDescent="0.3">
      <c r="B401" s="2"/>
      <c r="C401" s="2"/>
    </row>
    <row r="402" spans="2:3" ht="15.75" customHeight="1" x14ac:dyDescent="0.3">
      <c r="B402" s="2"/>
      <c r="C402" s="2"/>
    </row>
    <row r="403" spans="2:3" ht="15.75" customHeight="1" x14ac:dyDescent="0.3">
      <c r="B403" s="2"/>
      <c r="C403" s="2"/>
    </row>
    <row r="404" spans="2:3" ht="15.75" customHeight="1" x14ac:dyDescent="0.3">
      <c r="B404" s="2"/>
      <c r="C404" s="2"/>
    </row>
    <row r="405" spans="2:3" ht="15.75" customHeight="1" x14ac:dyDescent="0.3">
      <c r="B405" s="2"/>
      <c r="C405" s="2"/>
    </row>
    <row r="406" spans="2:3" ht="15.75" customHeight="1" x14ac:dyDescent="0.3">
      <c r="B406" s="2"/>
      <c r="C406" s="2"/>
    </row>
    <row r="407" spans="2:3" ht="15.75" customHeight="1" x14ac:dyDescent="0.3">
      <c r="B407" s="2"/>
      <c r="C407" s="2"/>
    </row>
    <row r="408" spans="2:3" ht="15.75" customHeight="1" x14ac:dyDescent="0.3">
      <c r="B408" s="2"/>
      <c r="C408" s="2"/>
    </row>
    <row r="409" spans="2:3" ht="15.75" customHeight="1" x14ac:dyDescent="0.3">
      <c r="B409" s="2"/>
      <c r="C409" s="2"/>
    </row>
    <row r="410" spans="2:3" ht="15.75" customHeight="1" x14ac:dyDescent="0.3">
      <c r="B410" s="2"/>
      <c r="C410" s="2"/>
    </row>
    <row r="411" spans="2:3" ht="15.75" customHeight="1" x14ac:dyDescent="0.3">
      <c r="B411" s="2"/>
      <c r="C411" s="2"/>
    </row>
    <row r="412" spans="2:3" ht="15.75" customHeight="1" x14ac:dyDescent="0.3">
      <c r="B412" s="2"/>
      <c r="C412" s="2"/>
    </row>
    <row r="413" spans="2:3" ht="15.75" customHeight="1" x14ac:dyDescent="0.3">
      <c r="B413" s="2"/>
      <c r="C413" s="2"/>
    </row>
    <row r="414" spans="2:3" ht="15.75" customHeight="1" x14ac:dyDescent="0.3">
      <c r="B414" s="2"/>
      <c r="C414" s="2"/>
    </row>
    <row r="415" spans="2:3" ht="15.75" customHeight="1" x14ac:dyDescent="0.3">
      <c r="B415" s="2"/>
      <c r="C415" s="2"/>
    </row>
    <row r="416" spans="2:3" ht="15.75" customHeight="1" x14ac:dyDescent="0.3">
      <c r="B416" s="2"/>
      <c r="C416" s="2"/>
    </row>
    <row r="417" spans="2:3" ht="15.75" customHeight="1" x14ac:dyDescent="0.3">
      <c r="B417" s="2"/>
      <c r="C417" s="2"/>
    </row>
    <row r="418" spans="2:3" ht="15.75" customHeight="1" x14ac:dyDescent="0.3">
      <c r="B418" s="2"/>
      <c r="C418" s="2"/>
    </row>
    <row r="419" spans="2:3" ht="15.75" customHeight="1" x14ac:dyDescent="0.3">
      <c r="B419" s="2"/>
      <c r="C419" s="2"/>
    </row>
    <row r="420" spans="2:3" ht="15.75" customHeight="1" x14ac:dyDescent="0.3">
      <c r="B420" s="2"/>
      <c r="C420" s="2"/>
    </row>
    <row r="421" spans="2:3" ht="15.75" customHeight="1" x14ac:dyDescent="0.3">
      <c r="B421" s="2"/>
      <c r="C421" s="2"/>
    </row>
    <row r="422" spans="2:3" ht="15.75" customHeight="1" x14ac:dyDescent="0.3">
      <c r="B422" s="2"/>
      <c r="C422" s="2"/>
    </row>
    <row r="423" spans="2:3" ht="15.75" customHeight="1" x14ac:dyDescent="0.3">
      <c r="B423" s="2"/>
      <c r="C423" s="2"/>
    </row>
    <row r="424" spans="2:3" ht="15.75" customHeight="1" x14ac:dyDescent="0.3">
      <c r="B424" s="2"/>
      <c r="C424" s="2"/>
    </row>
    <row r="425" spans="2:3" ht="15.75" customHeight="1" x14ac:dyDescent="0.3">
      <c r="B425" s="2"/>
      <c r="C425" s="2"/>
    </row>
    <row r="426" spans="2:3" ht="15.75" customHeight="1" x14ac:dyDescent="0.3">
      <c r="B426" s="2"/>
      <c r="C426" s="2"/>
    </row>
    <row r="427" spans="2:3" ht="15.75" customHeight="1" x14ac:dyDescent="0.3">
      <c r="B427" s="2"/>
      <c r="C427" s="2"/>
    </row>
    <row r="428" spans="2:3" ht="15.75" customHeight="1" x14ac:dyDescent="0.3">
      <c r="B428" s="2"/>
      <c r="C428" s="2"/>
    </row>
    <row r="429" spans="2:3" ht="15.75" customHeight="1" x14ac:dyDescent="0.3">
      <c r="B429" s="2"/>
      <c r="C429" s="2"/>
    </row>
    <row r="430" spans="2:3" ht="15.75" customHeight="1" x14ac:dyDescent="0.3">
      <c r="B430" s="2"/>
      <c r="C430" s="2"/>
    </row>
    <row r="431" spans="2:3" ht="15.75" customHeight="1" x14ac:dyDescent="0.3">
      <c r="B431" s="2"/>
      <c r="C431" s="2"/>
    </row>
    <row r="432" spans="2:3" ht="15.75" customHeight="1" x14ac:dyDescent="0.3">
      <c r="B432" s="2"/>
      <c r="C432" s="2"/>
    </row>
    <row r="433" spans="2:3" ht="15.75" customHeight="1" x14ac:dyDescent="0.3">
      <c r="B433" s="2"/>
      <c r="C433" s="2"/>
    </row>
    <row r="434" spans="2:3" ht="15.75" customHeight="1" x14ac:dyDescent="0.3">
      <c r="B434" s="2"/>
      <c r="C434" s="2"/>
    </row>
    <row r="435" spans="2:3" ht="15.75" customHeight="1" x14ac:dyDescent="0.3">
      <c r="B435" s="2"/>
      <c r="C435" s="2"/>
    </row>
    <row r="436" spans="2:3" ht="15.75" customHeight="1" x14ac:dyDescent="0.3">
      <c r="B436" s="2"/>
      <c r="C436" s="2"/>
    </row>
    <row r="437" spans="2:3" ht="15.75" customHeight="1" x14ac:dyDescent="0.3">
      <c r="B437" s="2"/>
      <c r="C437" s="2"/>
    </row>
    <row r="438" spans="2:3" ht="15.75" customHeight="1" x14ac:dyDescent="0.3">
      <c r="B438" s="2"/>
      <c r="C438" s="2"/>
    </row>
    <row r="439" spans="2:3" ht="15.75" customHeight="1" x14ac:dyDescent="0.3">
      <c r="B439" s="2"/>
      <c r="C439" s="2"/>
    </row>
    <row r="440" spans="2:3" ht="15.75" customHeight="1" x14ac:dyDescent="0.3">
      <c r="B440" s="2"/>
      <c r="C440" s="2"/>
    </row>
    <row r="441" spans="2:3" ht="15.75" customHeight="1" x14ac:dyDescent="0.3">
      <c r="B441" s="2"/>
      <c r="C441" s="2"/>
    </row>
    <row r="442" spans="2:3" ht="15.75" customHeight="1" x14ac:dyDescent="0.3">
      <c r="B442" s="2"/>
      <c r="C442" s="2"/>
    </row>
    <row r="443" spans="2:3" ht="15.75" customHeight="1" x14ac:dyDescent="0.3">
      <c r="B443" s="2"/>
      <c r="C443" s="2"/>
    </row>
    <row r="444" spans="2:3" ht="15.75" customHeight="1" x14ac:dyDescent="0.3">
      <c r="B444" s="2"/>
      <c r="C444" s="2"/>
    </row>
    <row r="445" spans="2:3" ht="15.75" customHeight="1" x14ac:dyDescent="0.3">
      <c r="B445" s="2"/>
      <c r="C445" s="2"/>
    </row>
    <row r="446" spans="2:3" ht="15.75" customHeight="1" x14ac:dyDescent="0.3">
      <c r="B446" s="2"/>
      <c r="C446" s="2"/>
    </row>
    <row r="447" spans="2:3" ht="15.75" customHeight="1" x14ac:dyDescent="0.3">
      <c r="B447" s="2"/>
      <c r="C447" s="2"/>
    </row>
    <row r="448" spans="2:3" ht="15.75" customHeight="1" x14ac:dyDescent="0.3">
      <c r="B448" s="2"/>
      <c r="C448" s="2"/>
    </row>
    <row r="449" spans="2:3" ht="15.75" customHeight="1" x14ac:dyDescent="0.3">
      <c r="B449" s="2"/>
      <c r="C449" s="2"/>
    </row>
    <row r="450" spans="2:3" ht="15.75" customHeight="1" x14ac:dyDescent="0.3">
      <c r="B450" s="2"/>
      <c r="C450" s="2"/>
    </row>
    <row r="451" spans="2:3" ht="15.75" customHeight="1" x14ac:dyDescent="0.3">
      <c r="B451" s="2"/>
      <c r="C451" s="2"/>
    </row>
    <row r="452" spans="2:3" ht="15.75" customHeight="1" x14ac:dyDescent="0.3">
      <c r="B452" s="2"/>
      <c r="C452" s="2"/>
    </row>
    <row r="453" spans="2:3" ht="15.75" customHeight="1" x14ac:dyDescent="0.3">
      <c r="B453" s="2"/>
      <c r="C453" s="2"/>
    </row>
    <row r="454" spans="2:3" ht="15.75" customHeight="1" x14ac:dyDescent="0.3">
      <c r="B454" s="2"/>
      <c r="C454" s="2"/>
    </row>
    <row r="455" spans="2:3" ht="15.75" customHeight="1" x14ac:dyDescent="0.3">
      <c r="B455" s="2"/>
      <c r="C455" s="2"/>
    </row>
    <row r="456" spans="2:3" ht="15.75" customHeight="1" x14ac:dyDescent="0.3">
      <c r="B456" s="2"/>
      <c r="C456" s="2"/>
    </row>
    <row r="457" spans="2:3" ht="15.75" customHeight="1" x14ac:dyDescent="0.3">
      <c r="B457" s="2"/>
      <c r="C457" s="2"/>
    </row>
    <row r="458" spans="2:3" ht="15.75" customHeight="1" x14ac:dyDescent="0.3">
      <c r="B458" s="2"/>
      <c r="C458" s="2"/>
    </row>
    <row r="459" spans="2:3" ht="15.75" customHeight="1" x14ac:dyDescent="0.3">
      <c r="B459" s="2"/>
      <c r="C459" s="2"/>
    </row>
    <row r="460" spans="2:3" ht="15.75" customHeight="1" x14ac:dyDescent="0.3">
      <c r="B460" s="2"/>
      <c r="C460" s="2"/>
    </row>
    <row r="461" spans="2:3" ht="15.75" customHeight="1" x14ac:dyDescent="0.3">
      <c r="B461" s="2"/>
      <c r="C461" s="2"/>
    </row>
    <row r="462" spans="2:3" ht="15.75" customHeight="1" x14ac:dyDescent="0.3">
      <c r="B462" s="2"/>
      <c r="C462" s="2"/>
    </row>
    <row r="463" spans="2:3" ht="15.75" customHeight="1" x14ac:dyDescent="0.3">
      <c r="B463" s="2"/>
      <c r="C463" s="2"/>
    </row>
    <row r="464" spans="2:3" ht="15.75" customHeight="1" x14ac:dyDescent="0.3">
      <c r="B464" s="2"/>
      <c r="C464" s="2"/>
    </row>
    <row r="465" spans="2:3" ht="15.75" customHeight="1" x14ac:dyDescent="0.3">
      <c r="B465" s="2"/>
      <c r="C465" s="2"/>
    </row>
    <row r="466" spans="2:3" ht="15.75" customHeight="1" x14ac:dyDescent="0.3">
      <c r="B466" s="2"/>
      <c r="C466" s="2"/>
    </row>
    <row r="467" spans="2:3" ht="15.75" customHeight="1" x14ac:dyDescent="0.3">
      <c r="B467" s="2"/>
      <c r="C467" s="2"/>
    </row>
    <row r="468" spans="2:3" ht="15.75" customHeight="1" x14ac:dyDescent="0.3">
      <c r="B468" s="2"/>
      <c r="C468" s="2"/>
    </row>
    <row r="469" spans="2:3" ht="15.75" customHeight="1" x14ac:dyDescent="0.3">
      <c r="B469" s="2"/>
      <c r="C469" s="2"/>
    </row>
    <row r="470" spans="2:3" ht="15.75" customHeight="1" x14ac:dyDescent="0.3">
      <c r="B470" s="2"/>
      <c r="C470" s="2"/>
    </row>
    <row r="471" spans="2:3" ht="15.75" customHeight="1" x14ac:dyDescent="0.3">
      <c r="B471" s="2"/>
      <c r="C471" s="2"/>
    </row>
    <row r="472" spans="2:3" ht="15.75" customHeight="1" x14ac:dyDescent="0.3">
      <c r="B472" s="2"/>
      <c r="C472" s="2"/>
    </row>
    <row r="473" spans="2:3" ht="15.75" customHeight="1" x14ac:dyDescent="0.3">
      <c r="B473" s="2"/>
      <c r="C473" s="2"/>
    </row>
    <row r="474" spans="2:3" ht="15.75" customHeight="1" x14ac:dyDescent="0.3">
      <c r="B474" s="2"/>
      <c r="C474" s="2"/>
    </row>
    <row r="475" spans="2:3" ht="15.75" customHeight="1" x14ac:dyDescent="0.3">
      <c r="B475" s="2"/>
      <c r="C475" s="2"/>
    </row>
    <row r="476" spans="2:3" ht="15.75" customHeight="1" x14ac:dyDescent="0.3">
      <c r="B476" s="2"/>
      <c r="C476" s="2"/>
    </row>
    <row r="477" spans="2:3" ht="15.75" customHeight="1" x14ac:dyDescent="0.3">
      <c r="B477" s="2"/>
      <c r="C477" s="2"/>
    </row>
    <row r="478" spans="2:3" ht="15.75" customHeight="1" x14ac:dyDescent="0.3">
      <c r="B478" s="2"/>
      <c r="C478" s="2"/>
    </row>
    <row r="479" spans="2:3" ht="15.75" customHeight="1" x14ac:dyDescent="0.3">
      <c r="B479" s="2"/>
      <c r="C479" s="2"/>
    </row>
    <row r="480" spans="2:3" ht="15.75" customHeight="1" x14ac:dyDescent="0.3">
      <c r="B480" s="2"/>
      <c r="C480" s="2"/>
    </row>
    <row r="481" spans="2:3" ht="15.75" customHeight="1" x14ac:dyDescent="0.3">
      <c r="B481" s="2"/>
      <c r="C481" s="2"/>
    </row>
    <row r="482" spans="2:3" ht="15.75" customHeight="1" x14ac:dyDescent="0.3">
      <c r="B482" s="2"/>
      <c r="C482" s="2"/>
    </row>
    <row r="483" spans="2:3" ht="15.75" customHeight="1" x14ac:dyDescent="0.3">
      <c r="B483" s="2"/>
      <c r="C483" s="2"/>
    </row>
    <row r="484" spans="2:3" ht="15.75" customHeight="1" x14ac:dyDescent="0.3">
      <c r="B484" s="2"/>
      <c r="C484" s="2"/>
    </row>
    <row r="485" spans="2:3" ht="15.75" customHeight="1" x14ac:dyDescent="0.3">
      <c r="B485" s="2"/>
      <c r="C485" s="2"/>
    </row>
    <row r="486" spans="2:3" ht="15.75" customHeight="1" x14ac:dyDescent="0.3">
      <c r="B486" s="2"/>
      <c r="C486" s="2"/>
    </row>
    <row r="487" spans="2:3" ht="15.75" customHeight="1" x14ac:dyDescent="0.3">
      <c r="B487" s="2"/>
      <c r="C487" s="2"/>
    </row>
    <row r="488" spans="2:3" ht="15.75" customHeight="1" x14ac:dyDescent="0.3">
      <c r="B488" s="2"/>
      <c r="C488" s="2"/>
    </row>
    <row r="489" spans="2:3" ht="15.75" customHeight="1" x14ac:dyDescent="0.3">
      <c r="B489" s="2"/>
      <c r="C489" s="2"/>
    </row>
    <row r="490" spans="2:3" ht="15.75" customHeight="1" x14ac:dyDescent="0.3">
      <c r="B490" s="2"/>
      <c r="C490" s="2"/>
    </row>
    <row r="491" spans="2:3" ht="15.75" customHeight="1" x14ac:dyDescent="0.3">
      <c r="B491" s="2"/>
      <c r="C491" s="2"/>
    </row>
    <row r="492" spans="2:3" ht="15.75" customHeight="1" x14ac:dyDescent="0.3">
      <c r="B492" s="2"/>
      <c r="C492" s="2"/>
    </row>
    <row r="493" spans="2:3" ht="15.75" customHeight="1" x14ac:dyDescent="0.3">
      <c r="B493" s="2"/>
      <c r="C493" s="2"/>
    </row>
    <row r="494" spans="2:3" ht="15.75" customHeight="1" x14ac:dyDescent="0.3">
      <c r="B494" s="2"/>
      <c r="C494" s="2"/>
    </row>
    <row r="495" spans="2:3" ht="15.75" customHeight="1" x14ac:dyDescent="0.3">
      <c r="B495" s="2"/>
      <c r="C495" s="2"/>
    </row>
    <row r="496" spans="2:3" ht="15.75" customHeight="1" x14ac:dyDescent="0.3">
      <c r="B496" s="2"/>
      <c r="C496" s="2"/>
    </row>
    <row r="497" spans="2:3" ht="15.75" customHeight="1" x14ac:dyDescent="0.3">
      <c r="B497" s="2"/>
      <c r="C497" s="2"/>
    </row>
    <row r="498" spans="2:3" ht="15.75" customHeight="1" x14ac:dyDescent="0.3">
      <c r="B498" s="2"/>
      <c r="C498" s="2"/>
    </row>
    <row r="499" spans="2:3" ht="15.75" customHeight="1" x14ac:dyDescent="0.3">
      <c r="B499" s="2"/>
      <c r="C499" s="2"/>
    </row>
    <row r="500" spans="2:3" ht="15.75" customHeight="1" x14ac:dyDescent="0.3">
      <c r="B500" s="2"/>
      <c r="C500" s="2"/>
    </row>
    <row r="501" spans="2:3" ht="15.75" customHeight="1" x14ac:dyDescent="0.3">
      <c r="B501" s="2"/>
      <c r="C501" s="2"/>
    </row>
    <row r="502" spans="2:3" ht="15.75" customHeight="1" x14ac:dyDescent="0.3">
      <c r="B502" s="2"/>
      <c r="C502" s="2"/>
    </row>
    <row r="503" spans="2:3" ht="15.75" customHeight="1" x14ac:dyDescent="0.3">
      <c r="B503" s="2"/>
      <c r="C503" s="2"/>
    </row>
    <row r="504" spans="2:3" ht="15.75" customHeight="1" x14ac:dyDescent="0.3">
      <c r="B504" s="2"/>
      <c r="C504" s="2"/>
    </row>
    <row r="505" spans="2:3" ht="15.75" customHeight="1" x14ac:dyDescent="0.3">
      <c r="B505" s="2"/>
      <c r="C505" s="2"/>
    </row>
    <row r="506" spans="2:3" ht="15.75" customHeight="1" x14ac:dyDescent="0.3">
      <c r="B506" s="2"/>
      <c r="C506" s="2"/>
    </row>
    <row r="507" spans="2:3" ht="15.75" customHeight="1" x14ac:dyDescent="0.3">
      <c r="B507" s="2"/>
      <c r="C507" s="2"/>
    </row>
    <row r="508" spans="2:3" ht="15.75" customHeight="1" x14ac:dyDescent="0.3">
      <c r="B508" s="2"/>
      <c r="C508" s="2"/>
    </row>
    <row r="509" spans="2:3" ht="15.75" customHeight="1" x14ac:dyDescent="0.3">
      <c r="B509" s="2"/>
      <c r="C509" s="2"/>
    </row>
    <row r="510" spans="2:3" ht="15.75" customHeight="1" x14ac:dyDescent="0.3">
      <c r="B510" s="2"/>
      <c r="C510" s="2"/>
    </row>
    <row r="511" spans="2:3" ht="15.75" customHeight="1" x14ac:dyDescent="0.3">
      <c r="B511" s="2"/>
      <c r="C511" s="2"/>
    </row>
    <row r="512" spans="2:3" ht="15.75" customHeight="1" x14ac:dyDescent="0.3">
      <c r="B512" s="2"/>
      <c r="C512" s="2"/>
    </row>
    <row r="513" spans="2:3" ht="15.75" customHeight="1" x14ac:dyDescent="0.3">
      <c r="B513" s="2"/>
      <c r="C513" s="2"/>
    </row>
    <row r="514" spans="2:3" ht="15.75" customHeight="1" x14ac:dyDescent="0.3">
      <c r="B514" s="2"/>
      <c r="C514" s="2"/>
    </row>
    <row r="515" spans="2:3" ht="15.75" customHeight="1" x14ac:dyDescent="0.3">
      <c r="B515" s="2"/>
      <c r="C515" s="2"/>
    </row>
    <row r="516" spans="2:3" ht="15.75" customHeight="1" x14ac:dyDescent="0.3">
      <c r="B516" s="2"/>
      <c r="C516" s="2"/>
    </row>
    <row r="517" spans="2:3" ht="15.75" customHeight="1" x14ac:dyDescent="0.3">
      <c r="B517" s="2"/>
      <c r="C517" s="2"/>
    </row>
    <row r="518" spans="2:3" ht="15.75" customHeight="1" x14ac:dyDescent="0.3">
      <c r="B518" s="2"/>
      <c r="C518" s="2"/>
    </row>
    <row r="519" spans="2:3" ht="15.75" customHeight="1" x14ac:dyDescent="0.3">
      <c r="B519" s="2"/>
      <c r="C519" s="2"/>
    </row>
    <row r="520" spans="2:3" ht="15.75" customHeight="1" x14ac:dyDescent="0.3">
      <c r="B520" s="2"/>
      <c r="C520" s="2"/>
    </row>
    <row r="521" spans="2:3" ht="15.75" customHeight="1" x14ac:dyDescent="0.3">
      <c r="B521" s="2"/>
      <c r="C521" s="2"/>
    </row>
    <row r="522" spans="2:3" ht="15.75" customHeight="1" x14ac:dyDescent="0.3">
      <c r="B522" s="2"/>
      <c r="C522" s="2"/>
    </row>
    <row r="523" spans="2:3" ht="15.75" customHeight="1" x14ac:dyDescent="0.3">
      <c r="B523" s="2"/>
      <c r="C523" s="2"/>
    </row>
    <row r="524" spans="2:3" ht="15.75" customHeight="1" x14ac:dyDescent="0.3">
      <c r="B524" s="2"/>
      <c r="C524" s="2"/>
    </row>
    <row r="525" spans="2:3" ht="15.75" customHeight="1" x14ac:dyDescent="0.3">
      <c r="B525" s="2"/>
      <c r="C525" s="2"/>
    </row>
    <row r="526" spans="2:3" ht="15.75" customHeight="1" x14ac:dyDescent="0.3">
      <c r="B526" s="2"/>
      <c r="C526" s="2"/>
    </row>
    <row r="527" spans="2:3" ht="15.75" customHeight="1" x14ac:dyDescent="0.3">
      <c r="B527" s="2"/>
      <c r="C527" s="2"/>
    </row>
    <row r="528" spans="2:3" ht="15.75" customHeight="1" x14ac:dyDescent="0.3">
      <c r="B528" s="2"/>
      <c r="C528" s="2"/>
    </row>
    <row r="529" spans="2:3" ht="15.75" customHeight="1" x14ac:dyDescent="0.3">
      <c r="B529" s="2"/>
      <c r="C529" s="2"/>
    </row>
    <row r="530" spans="2:3" ht="15.75" customHeight="1" x14ac:dyDescent="0.3">
      <c r="B530" s="2"/>
      <c r="C530" s="2"/>
    </row>
    <row r="531" spans="2:3" ht="15.75" customHeight="1" x14ac:dyDescent="0.3">
      <c r="B531" s="2"/>
      <c r="C531" s="2"/>
    </row>
    <row r="532" spans="2:3" ht="15.75" customHeight="1" x14ac:dyDescent="0.3">
      <c r="B532" s="2"/>
      <c r="C532" s="2"/>
    </row>
    <row r="533" spans="2:3" ht="15.75" customHeight="1" x14ac:dyDescent="0.3">
      <c r="B533" s="2"/>
      <c r="C533" s="2"/>
    </row>
    <row r="534" spans="2:3" ht="15.75" customHeight="1" x14ac:dyDescent="0.3">
      <c r="B534" s="2"/>
      <c r="C534" s="2"/>
    </row>
    <row r="535" spans="2:3" ht="15.75" customHeight="1" x14ac:dyDescent="0.3">
      <c r="B535" s="2"/>
      <c r="C535" s="2"/>
    </row>
    <row r="536" spans="2:3" ht="15.75" customHeight="1" x14ac:dyDescent="0.3">
      <c r="B536" s="2"/>
      <c r="C536" s="2"/>
    </row>
    <row r="537" spans="2:3" ht="15.75" customHeight="1" x14ac:dyDescent="0.3">
      <c r="B537" s="2"/>
      <c r="C537" s="2"/>
    </row>
    <row r="538" spans="2:3" ht="15.75" customHeight="1" x14ac:dyDescent="0.3">
      <c r="B538" s="2"/>
      <c r="C538" s="2"/>
    </row>
    <row r="539" spans="2:3" ht="15.75" customHeight="1" x14ac:dyDescent="0.3">
      <c r="B539" s="2"/>
      <c r="C539" s="2"/>
    </row>
    <row r="540" spans="2:3" ht="15.75" customHeight="1" x14ac:dyDescent="0.3">
      <c r="B540" s="2"/>
      <c r="C540" s="2"/>
    </row>
    <row r="541" spans="2:3" ht="15.75" customHeight="1" x14ac:dyDescent="0.3">
      <c r="B541" s="2"/>
      <c r="C541" s="2"/>
    </row>
    <row r="542" spans="2:3" ht="15.75" customHeight="1" x14ac:dyDescent="0.3">
      <c r="B542" s="2"/>
      <c r="C542" s="2"/>
    </row>
    <row r="543" spans="2:3" ht="15.75" customHeight="1" x14ac:dyDescent="0.3">
      <c r="B543" s="2"/>
      <c r="C543" s="2"/>
    </row>
    <row r="544" spans="2:3" ht="15.75" customHeight="1" x14ac:dyDescent="0.3">
      <c r="B544" s="2"/>
      <c r="C544" s="2"/>
    </row>
    <row r="545" spans="2:3" ht="15.75" customHeight="1" x14ac:dyDescent="0.3">
      <c r="B545" s="2"/>
      <c r="C545" s="2"/>
    </row>
    <row r="546" spans="2:3" ht="15.75" customHeight="1" x14ac:dyDescent="0.3">
      <c r="B546" s="2"/>
      <c r="C546" s="2"/>
    </row>
    <row r="547" spans="2:3" ht="15.75" customHeight="1" x14ac:dyDescent="0.3">
      <c r="B547" s="2"/>
      <c r="C547" s="2"/>
    </row>
    <row r="548" spans="2:3" ht="15.75" customHeight="1" x14ac:dyDescent="0.3">
      <c r="B548" s="2"/>
      <c r="C548" s="2"/>
    </row>
    <row r="549" spans="2:3" ht="15.75" customHeight="1" x14ac:dyDescent="0.3">
      <c r="B549" s="2"/>
      <c r="C549" s="2"/>
    </row>
    <row r="550" spans="2:3" ht="15.75" customHeight="1" x14ac:dyDescent="0.3">
      <c r="B550" s="2"/>
      <c r="C550" s="2"/>
    </row>
    <row r="551" spans="2:3" ht="15.75" customHeight="1" x14ac:dyDescent="0.3">
      <c r="B551" s="2"/>
      <c r="C551" s="2"/>
    </row>
    <row r="552" spans="2:3" ht="15.75" customHeight="1" x14ac:dyDescent="0.3">
      <c r="B552" s="2"/>
      <c r="C552" s="2"/>
    </row>
    <row r="553" spans="2:3" ht="15.75" customHeight="1" x14ac:dyDescent="0.3">
      <c r="B553" s="2"/>
      <c r="C553" s="2"/>
    </row>
    <row r="554" spans="2:3" ht="15.75" customHeight="1" x14ac:dyDescent="0.3">
      <c r="B554" s="2"/>
      <c r="C554" s="2"/>
    </row>
    <row r="555" spans="2:3" ht="15.75" customHeight="1" x14ac:dyDescent="0.3">
      <c r="B555" s="2"/>
      <c r="C555" s="2"/>
    </row>
    <row r="556" spans="2:3" ht="15.75" customHeight="1" x14ac:dyDescent="0.3">
      <c r="B556" s="2"/>
      <c r="C556" s="2"/>
    </row>
    <row r="557" spans="2:3" ht="15.75" customHeight="1" x14ac:dyDescent="0.3">
      <c r="B557" s="2"/>
      <c r="C557" s="2"/>
    </row>
    <row r="558" spans="2:3" ht="15.75" customHeight="1" x14ac:dyDescent="0.3">
      <c r="B558" s="2"/>
      <c r="C558" s="2"/>
    </row>
    <row r="559" spans="2:3" ht="15.75" customHeight="1" x14ac:dyDescent="0.3">
      <c r="B559" s="2"/>
      <c r="C559" s="2"/>
    </row>
    <row r="560" spans="2:3" ht="15.75" customHeight="1" x14ac:dyDescent="0.3">
      <c r="B560" s="2"/>
      <c r="C560" s="2"/>
    </row>
    <row r="561" spans="2:3" ht="15.75" customHeight="1" x14ac:dyDescent="0.3">
      <c r="B561" s="2"/>
      <c r="C561" s="2"/>
    </row>
    <row r="562" spans="2:3" ht="15.75" customHeight="1" x14ac:dyDescent="0.3">
      <c r="B562" s="2"/>
      <c r="C562" s="2"/>
    </row>
    <row r="563" spans="2:3" ht="15.75" customHeight="1" x14ac:dyDescent="0.3">
      <c r="B563" s="2"/>
      <c r="C563" s="2"/>
    </row>
    <row r="564" spans="2:3" ht="15.75" customHeight="1" x14ac:dyDescent="0.3">
      <c r="B564" s="2"/>
      <c r="C564" s="2"/>
    </row>
    <row r="565" spans="2:3" ht="15.75" customHeight="1" x14ac:dyDescent="0.3">
      <c r="B565" s="2"/>
      <c r="C565" s="2"/>
    </row>
    <row r="566" spans="2:3" ht="15.75" customHeight="1" x14ac:dyDescent="0.3">
      <c r="B566" s="2"/>
      <c r="C566" s="2"/>
    </row>
    <row r="567" spans="2:3" ht="15.75" customHeight="1" x14ac:dyDescent="0.3">
      <c r="B567" s="2"/>
      <c r="C567" s="2"/>
    </row>
    <row r="568" spans="2:3" ht="15.75" customHeight="1" x14ac:dyDescent="0.3">
      <c r="B568" s="2"/>
      <c r="C568" s="2"/>
    </row>
    <row r="569" spans="2:3" ht="15.75" customHeight="1" x14ac:dyDescent="0.3">
      <c r="B569" s="2"/>
      <c r="C569" s="2"/>
    </row>
    <row r="570" spans="2:3" ht="15.75" customHeight="1" x14ac:dyDescent="0.3">
      <c r="B570" s="2"/>
      <c r="C570" s="2"/>
    </row>
    <row r="571" spans="2:3" ht="15.75" customHeight="1" x14ac:dyDescent="0.3">
      <c r="B571" s="2"/>
      <c r="C571" s="2"/>
    </row>
    <row r="572" spans="2:3" ht="15.75" customHeight="1" x14ac:dyDescent="0.3">
      <c r="B572" s="2"/>
      <c r="C572" s="2"/>
    </row>
    <row r="573" spans="2:3" ht="15.75" customHeight="1" x14ac:dyDescent="0.3">
      <c r="B573" s="2"/>
      <c r="C573" s="2"/>
    </row>
    <row r="574" spans="2:3" ht="15.75" customHeight="1" x14ac:dyDescent="0.3">
      <c r="B574" s="2"/>
      <c r="C574" s="2"/>
    </row>
    <row r="575" spans="2:3" ht="15.75" customHeight="1" x14ac:dyDescent="0.3">
      <c r="B575" s="2"/>
      <c r="C575" s="2"/>
    </row>
    <row r="576" spans="2:3" ht="15.75" customHeight="1" x14ac:dyDescent="0.3">
      <c r="B576" s="2"/>
      <c r="C576" s="2"/>
    </row>
    <row r="577" spans="2:3" ht="15.75" customHeight="1" x14ac:dyDescent="0.3">
      <c r="B577" s="2"/>
      <c r="C577" s="2"/>
    </row>
    <row r="578" spans="2:3" ht="15.75" customHeight="1" x14ac:dyDescent="0.3">
      <c r="B578" s="2"/>
      <c r="C578" s="2"/>
    </row>
    <row r="579" spans="2:3" ht="15.75" customHeight="1" x14ac:dyDescent="0.3">
      <c r="B579" s="2"/>
      <c r="C579" s="2"/>
    </row>
    <row r="580" spans="2:3" ht="15.75" customHeight="1" x14ac:dyDescent="0.3">
      <c r="B580" s="2"/>
      <c r="C580" s="2"/>
    </row>
    <row r="581" spans="2:3" ht="15.75" customHeight="1" x14ac:dyDescent="0.3">
      <c r="B581" s="2"/>
      <c r="C581" s="2"/>
    </row>
    <row r="582" spans="2:3" ht="15.75" customHeight="1" x14ac:dyDescent="0.3">
      <c r="B582" s="2"/>
      <c r="C582" s="2"/>
    </row>
    <row r="583" spans="2:3" ht="15.75" customHeight="1" x14ac:dyDescent="0.3">
      <c r="B583" s="2"/>
      <c r="C583" s="2"/>
    </row>
    <row r="584" spans="2:3" ht="15.75" customHeight="1" x14ac:dyDescent="0.3">
      <c r="B584" s="2"/>
      <c r="C584" s="2"/>
    </row>
    <row r="585" spans="2:3" ht="15.75" customHeight="1" x14ac:dyDescent="0.3">
      <c r="B585" s="2"/>
      <c r="C585" s="2"/>
    </row>
    <row r="586" spans="2:3" ht="15.75" customHeight="1" x14ac:dyDescent="0.3">
      <c r="B586" s="2"/>
      <c r="C586" s="2"/>
    </row>
    <row r="587" spans="2:3" ht="15.75" customHeight="1" x14ac:dyDescent="0.3">
      <c r="B587" s="2"/>
      <c r="C587" s="2"/>
    </row>
    <row r="588" spans="2:3" ht="15.75" customHeight="1" x14ac:dyDescent="0.3">
      <c r="B588" s="2"/>
      <c r="C588" s="2"/>
    </row>
    <row r="589" spans="2:3" ht="15.75" customHeight="1" x14ac:dyDescent="0.3">
      <c r="B589" s="2"/>
      <c r="C589" s="2"/>
    </row>
    <row r="590" spans="2:3" ht="15.75" customHeight="1" x14ac:dyDescent="0.3">
      <c r="B590" s="2"/>
      <c r="C590" s="2"/>
    </row>
    <row r="591" spans="2:3" ht="15.75" customHeight="1" x14ac:dyDescent="0.3">
      <c r="B591" s="2"/>
      <c r="C591" s="2"/>
    </row>
    <row r="592" spans="2:3" ht="15.75" customHeight="1" x14ac:dyDescent="0.3">
      <c r="B592" s="2"/>
      <c r="C592" s="2"/>
    </row>
    <row r="593" spans="2:3" ht="15.75" customHeight="1" x14ac:dyDescent="0.3">
      <c r="B593" s="2"/>
      <c r="C593" s="2"/>
    </row>
    <row r="594" spans="2:3" ht="15.75" customHeight="1" x14ac:dyDescent="0.3">
      <c r="B594" s="2"/>
      <c r="C594" s="2"/>
    </row>
    <row r="595" spans="2:3" ht="15.75" customHeight="1" x14ac:dyDescent="0.3">
      <c r="B595" s="2"/>
      <c r="C595" s="2"/>
    </row>
    <row r="596" spans="2:3" ht="15.75" customHeight="1" x14ac:dyDescent="0.3">
      <c r="B596" s="2"/>
      <c r="C596" s="2"/>
    </row>
    <row r="597" spans="2:3" ht="15.75" customHeight="1" x14ac:dyDescent="0.3">
      <c r="B597" s="2"/>
      <c r="C597" s="2"/>
    </row>
    <row r="598" spans="2:3" ht="15.75" customHeight="1" x14ac:dyDescent="0.3">
      <c r="B598" s="2"/>
      <c r="C598" s="2"/>
    </row>
    <row r="599" spans="2:3" ht="15.75" customHeight="1" x14ac:dyDescent="0.3">
      <c r="B599" s="2"/>
      <c r="C599" s="2"/>
    </row>
    <row r="600" spans="2:3" ht="15.75" customHeight="1" x14ac:dyDescent="0.3">
      <c r="B600" s="2"/>
      <c r="C600" s="2"/>
    </row>
    <row r="601" spans="2:3" ht="15.75" customHeight="1" x14ac:dyDescent="0.3">
      <c r="B601" s="2"/>
      <c r="C601" s="2"/>
    </row>
    <row r="602" spans="2:3" ht="15.75" customHeight="1" x14ac:dyDescent="0.3">
      <c r="B602" s="2"/>
      <c r="C602" s="2"/>
    </row>
    <row r="603" spans="2:3" ht="15.75" customHeight="1" x14ac:dyDescent="0.3">
      <c r="B603" s="2"/>
      <c r="C603" s="2"/>
    </row>
    <row r="604" spans="2:3" ht="15.75" customHeight="1" x14ac:dyDescent="0.3">
      <c r="B604" s="2"/>
      <c r="C604" s="2"/>
    </row>
    <row r="605" spans="2:3" ht="15.75" customHeight="1" x14ac:dyDescent="0.3">
      <c r="B605" s="2"/>
      <c r="C605" s="2"/>
    </row>
    <row r="606" spans="2:3" ht="15.75" customHeight="1" x14ac:dyDescent="0.3">
      <c r="B606" s="2"/>
      <c r="C606" s="2"/>
    </row>
    <row r="607" spans="2:3" ht="15.75" customHeight="1" x14ac:dyDescent="0.3">
      <c r="B607" s="2"/>
      <c r="C607" s="2"/>
    </row>
    <row r="608" spans="2:3" ht="15.75" customHeight="1" x14ac:dyDescent="0.3">
      <c r="B608" s="2"/>
      <c r="C608" s="2"/>
    </row>
    <row r="609" spans="2:3" ht="15.75" customHeight="1" x14ac:dyDescent="0.3">
      <c r="B609" s="2"/>
      <c r="C609" s="2"/>
    </row>
    <row r="610" spans="2:3" ht="15.75" customHeight="1" x14ac:dyDescent="0.3">
      <c r="B610" s="2"/>
      <c r="C610" s="2"/>
    </row>
    <row r="611" spans="2:3" ht="15.75" customHeight="1" x14ac:dyDescent="0.3">
      <c r="B611" s="2"/>
      <c r="C611" s="2"/>
    </row>
    <row r="612" spans="2:3" ht="15.75" customHeight="1" x14ac:dyDescent="0.3">
      <c r="B612" s="2"/>
      <c r="C612" s="2"/>
    </row>
    <row r="613" spans="2:3" ht="15.75" customHeight="1" x14ac:dyDescent="0.3">
      <c r="B613" s="2"/>
      <c r="C613" s="2"/>
    </row>
    <row r="614" spans="2:3" ht="15.75" customHeight="1" x14ac:dyDescent="0.3">
      <c r="B614" s="2"/>
      <c r="C614" s="2"/>
    </row>
    <row r="615" spans="2:3" ht="15.75" customHeight="1" x14ac:dyDescent="0.3">
      <c r="B615" s="2"/>
      <c r="C615" s="2"/>
    </row>
    <row r="616" spans="2:3" ht="15.75" customHeight="1" x14ac:dyDescent="0.3">
      <c r="B616" s="2"/>
      <c r="C616" s="2"/>
    </row>
    <row r="617" spans="2:3" ht="15.75" customHeight="1" x14ac:dyDescent="0.3">
      <c r="B617" s="2"/>
      <c r="C617" s="2"/>
    </row>
    <row r="618" spans="2:3" ht="15.75" customHeight="1" x14ac:dyDescent="0.3">
      <c r="B618" s="2"/>
      <c r="C618" s="2"/>
    </row>
    <row r="619" spans="2:3" ht="15.75" customHeight="1" x14ac:dyDescent="0.3">
      <c r="B619" s="2"/>
      <c r="C619" s="2"/>
    </row>
    <row r="620" spans="2:3" ht="15.75" customHeight="1" x14ac:dyDescent="0.3">
      <c r="B620" s="2"/>
      <c r="C620" s="2"/>
    </row>
    <row r="621" spans="2:3" ht="15.75" customHeight="1" x14ac:dyDescent="0.3">
      <c r="B621" s="2"/>
      <c r="C621" s="2"/>
    </row>
    <row r="622" spans="2:3" ht="15.75" customHeight="1" x14ac:dyDescent="0.3">
      <c r="B622" s="2"/>
      <c r="C622" s="2"/>
    </row>
    <row r="623" spans="2:3" ht="15.75" customHeight="1" x14ac:dyDescent="0.3">
      <c r="B623" s="2"/>
      <c r="C623" s="2"/>
    </row>
    <row r="624" spans="2:3" ht="15.75" customHeight="1" x14ac:dyDescent="0.3">
      <c r="B624" s="2"/>
      <c r="C624" s="2"/>
    </row>
    <row r="625" spans="2:3" ht="15.75" customHeight="1" x14ac:dyDescent="0.3">
      <c r="B625" s="2"/>
      <c r="C625" s="2"/>
    </row>
    <row r="626" spans="2:3" ht="15.75" customHeight="1" x14ac:dyDescent="0.3">
      <c r="B626" s="2"/>
      <c r="C626" s="2"/>
    </row>
    <row r="627" spans="2:3" ht="15.75" customHeight="1" x14ac:dyDescent="0.3">
      <c r="B627" s="2"/>
      <c r="C627" s="2"/>
    </row>
    <row r="628" spans="2:3" ht="15.75" customHeight="1" x14ac:dyDescent="0.3">
      <c r="B628" s="2"/>
      <c r="C628" s="2"/>
    </row>
    <row r="629" spans="2:3" ht="15.75" customHeight="1" x14ac:dyDescent="0.3">
      <c r="B629" s="2"/>
      <c r="C629" s="2"/>
    </row>
    <row r="630" spans="2:3" ht="15.75" customHeight="1" x14ac:dyDescent="0.3">
      <c r="B630" s="2"/>
      <c r="C630" s="2"/>
    </row>
    <row r="631" spans="2:3" ht="15.75" customHeight="1" x14ac:dyDescent="0.3">
      <c r="B631" s="2"/>
      <c r="C631" s="2"/>
    </row>
    <row r="632" spans="2:3" ht="15.75" customHeight="1" x14ac:dyDescent="0.3">
      <c r="B632" s="2"/>
      <c r="C632" s="2"/>
    </row>
    <row r="633" spans="2:3" ht="15.75" customHeight="1" x14ac:dyDescent="0.3">
      <c r="B633" s="2"/>
      <c r="C633" s="2"/>
    </row>
    <row r="634" spans="2:3" ht="15.75" customHeight="1" x14ac:dyDescent="0.3">
      <c r="B634" s="2"/>
      <c r="C634" s="2"/>
    </row>
    <row r="635" spans="2:3" ht="15.75" customHeight="1" x14ac:dyDescent="0.3">
      <c r="B635" s="2"/>
      <c r="C635" s="2"/>
    </row>
    <row r="636" spans="2:3" ht="15.75" customHeight="1" x14ac:dyDescent="0.3">
      <c r="B636" s="2"/>
      <c r="C636" s="2"/>
    </row>
    <row r="637" spans="2:3" ht="15.75" customHeight="1" x14ac:dyDescent="0.3">
      <c r="B637" s="2"/>
      <c r="C637" s="2"/>
    </row>
    <row r="638" spans="2:3" ht="15.75" customHeight="1" x14ac:dyDescent="0.3">
      <c r="B638" s="2"/>
      <c r="C638" s="2"/>
    </row>
    <row r="639" spans="2:3" ht="15.75" customHeight="1" x14ac:dyDescent="0.3">
      <c r="B639" s="2"/>
      <c r="C639" s="2"/>
    </row>
    <row r="640" spans="2:3" ht="15.75" customHeight="1" x14ac:dyDescent="0.3">
      <c r="B640" s="2"/>
      <c r="C640" s="2"/>
    </row>
    <row r="641" spans="2:3" ht="15.75" customHeight="1" x14ac:dyDescent="0.3">
      <c r="B641" s="2"/>
      <c r="C641" s="2"/>
    </row>
    <row r="642" spans="2:3" ht="15.75" customHeight="1" x14ac:dyDescent="0.3">
      <c r="B642" s="2"/>
      <c r="C642" s="2"/>
    </row>
    <row r="643" spans="2:3" ht="15.75" customHeight="1" x14ac:dyDescent="0.3">
      <c r="B643" s="2"/>
      <c r="C643" s="2"/>
    </row>
    <row r="644" spans="2:3" ht="15.75" customHeight="1" x14ac:dyDescent="0.3">
      <c r="B644" s="2"/>
      <c r="C644" s="2"/>
    </row>
    <row r="645" spans="2:3" ht="15.75" customHeight="1" x14ac:dyDescent="0.3">
      <c r="B645" s="2"/>
      <c r="C645" s="2"/>
    </row>
    <row r="646" spans="2:3" ht="15.75" customHeight="1" x14ac:dyDescent="0.3">
      <c r="B646" s="2"/>
      <c r="C646" s="2"/>
    </row>
    <row r="647" spans="2:3" ht="15.75" customHeight="1" x14ac:dyDescent="0.3">
      <c r="B647" s="2"/>
      <c r="C647" s="2"/>
    </row>
    <row r="648" spans="2:3" ht="15.75" customHeight="1" x14ac:dyDescent="0.3">
      <c r="B648" s="2"/>
      <c r="C648" s="2"/>
    </row>
    <row r="649" spans="2:3" ht="15.75" customHeight="1" x14ac:dyDescent="0.3">
      <c r="B649" s="2"/>
      <c r="C649" s="2"/>
    </row>
    <row r="650" spans="2:3" ht="15.75" customHeight="1" x14ac:dyDescent="0.3">
      <c r="B650" s="2"/>
      <c r="C650" s="2"/>
    </row>
    <row r="651" spans="2:3" ht="15.75" customHeight="1" x14ac:dyDescent="0.3">
      <c r="B651" s="2"/>
      <c r="C651" s="2"/>
    </row>
    <row r="652" spans="2:3" ht="15.75" customHeight="1" x14ac:dyDescent="0.3">
      <c r="B652" s="2"/>
      <c r="C652" s="2"/>
    </row>
    <row r="653" spans="2:3" ht="15.75" customHeight="1" x14ac:dyDescent="0.3">
      <c r="B653" s="2"/>
      <c r="C653" s="2"/>
    </row>
    <row r="654" spans="2:3" ht="15.75" customHeight="1" x14ac:dyDescent="0.3">
      <c r="B654" s="2"/>
      <c r="C654" s="2"/>
    </row>
    <row r="655" spans="2:3" ht="15.75" customHeight="1" x14ac:dyDescent="0.3">
      <c r="B655" s="2"/>
      <c r="C655" s="2"/>
    </row>
    <row r="656" spans="2:3" ht="15.75" customHeight="1" x14ac:dyDescent="0.3">
      <c r="B656" s="2"/>
      <c r="C656" s="2"/>
    </row>
    <row r="657" spans="2:3" ht="15.75" customHeight="1" x14ac:dyDescent="0.3">
      <c r="B657" s="2"/>
      <c r="C657" s="2"/>
    </row>
    <row r="658" spans="2:3" ht="15.75" customHeight="1" x14ac:dyDescent="0.3">
      <c r="B658" s="2"/>
      <c r="C658" s="2"/>
    </row>
    <row r="659" spans="2:3" ht="15.75" customHeight="1" x14ac:dyDescent="0.3">
      <c r="B659" s="2"/>
      <c r="C659" s="2"/>
    </row>
    <row r="660" spans="2:3" ht="15.75" customHeight="1" x14ac:dyDescent="0.3">
      <c r="B660" s="2"/>
      <c r="C660" s="2"/>
    </row>
    <row r="661" spans="2:3" ht="15.75" customHeight="1" x14ac:dyDescent="0.3">
      <c r="B661" s="2"/>
      <c r="C661" s="2"/>
    </row>
    <row r="662" spans="2:3" ht="15.75" customHeight="1" x14ac:dyDescent="0.3">
      <c r="B662" s="2"/>
      <c r="C662" s="2"/>
    </row>
    <row r="663" spans="2:3" ht="15.75" customHeight="1" x14ac:dyDescent="0.3">
      <c r="B663" s="2"/>
      <c r="C663" s="2"/>
    </row>
    <row r="664" spans="2:3" ht="15.75" customHeight="1" x14ac:dyDescent="0.3">
      <c r="B664" s="2"/>
      <c r="C664" s="2"/>
    </row>
    <row r="665" spans="2:3" ht="15.75" customHeight="1" x14ac:dyDescent="0.3">
      <c r="B665" s="2"/>
      <c r="C665" s="2"/>
    </row>
    <row r="666" spans="2:3" ht="15.75" customHeight="1" x14ac:dyDescent="0.3">
      <c r="B666" s="2"/>
      <c r="C666" s="2"/>
    </row>
    <row r="667" spans="2:3" ht="15.75" customHeight="1" x14ac:dyDescent="0.3">
      <c r="B667" s="2"/>
      <c r="C667" s="2"/>
    </row>
    <row r="668" spans="2:3" ht="15.75" customHeight="1" x14ac:dyDescent="0.3">
      <c r="B668" s="2"/>
      <c r="C668" s="2"/>
    </row>
    <row r="669" spans="2:3" ht="15.75" customHeight="1" x14ac:dyDescent="0.3">
      <c r="B669" s="2"/>
      <c r="C669" s="2"/>
    </row>
    <row r="670" spans="2:3" ht="15.75" customHeight="1" x14ac:dyDescent="0.3">
      <c r="B670" s="2"/>
      <c r="C670" s="2"/>
    </row>
    <row r="671" spans="2:3" ht="15.75" customHeight="1" x14ac:dyDescent="0.3">
      <c r="B671" s="2"/>
      <c r="C671" s="2"/>
    </row>
    <row r="672" spans="2:3" ht="15.75" customHeight="1" x14ac:dyDescent="0.3">
      <c r="B672" s="2"/>
      <c r="C672" s="2"/>
    </row>
    <row r="673" spans="2:3" ht="15.75" customHeight="1" x14ac:dyDescent="0.3">
      <c r="B673" s="2"/>
      <c r="C673" s="2"/>
    </row>
    <row r="674" spans="2:3" ht="15.75" customHeight="1" x14ac:dyDescent="0.3">
      <c r="B674" s="2"/>
      <c r="C674" s="2"/>
    </row>
    <row r="675" spans="2:3" ht="15.75" customHeight="1" x14ac:dyDescent="0.3">
      <c r="B675" s="2"/>
      <c r="C675" s="2"/>
    </row>
    <row r="676" spans="2:3" ht="15.75" customHeight="1" x14ac:dyDescent="0.3">
      <c r="B676" s="2"/>
      <c r="C676" s="2"/>
    </row>
    <row r="677" spans="2:3" ht="15.75" customHeight="1" x14ac:dyDescent="0.3">
      <c r="B677" s="2"/>
      <c r="C677" s="2"/>
    </row>
    <row r="678" spans="2:3" ht="15.75" customHeight="1" x14ac:dyDescent="0.3">
      <c r="B678" s="2"/>
      <c r="C678" s="2"/>
    </row>
    <row r="679" spans="2:3" ht="15.75" customHeight="1" x14ac:dyDescent="0.3">
      <c r="B679" s="2"/>
      <c r="C679" s="2"/>
    </row>
    <row r="680" spans="2:3" ht="15.75" customHeight="1" x14ac:dyDescent="0.3">
      <c r="B680" s="2"/>
      <c r="C680" s="2"/>
    </row>
    <row r="681" spans="2:3" ht="15.75" customHeight="1" x14ac:dyDescent="0.3">
      <c r="B681" s="2"/>
      <c r="C681" s="2"/>
    </row>
    <row r="682" spans="2:3" ht="15.75" customHeight="1" x14ac:dyDescent="0.3">
      <c r="B682" s="2"/>
      <c r="C682" s="2"/>
    </row>
    <row r="683" spans="2:3" ht="15.75" customHeight="1" x14ac:dyDescent="0.3">
      <c r="B683" s="2"/>
      <c r="C683" s="2"/>
    </row>
    <row r="684" spans="2:3" ht="15.75" customHeight="1" x14ac:dyDescent="0.3">
      <c r="B684" s="2"/>
      <c r="C684" s="2"/>
    </row>
    <row r="685" spans="2:3" ht="15.75" customHeight="1" x14ac:dyDescent="0.3">
      <c r="B685" s="2"/>
      <c r="C685" s="2"/>
    </row>
    <row r="686" spans="2:3" ht="15.75" customHeight="1" x14ac:dyDescent="0.3">
      <c r="B686" s="2"/>
      <c r="C686" s="2"/>
    </row>
    <row r="687" spans="2:3" ht="15.75" customHeight="1" x14ac:dyDescent="0.3">
      <c r="B687" s="2"/>
      <c r="C687" s="2"/>
    </row>
    <row r="688" spans="2:3" ht="15.75" customHeight="1" x14ac:dyDescent="0.3">
      <c r="B688" s="2"/>
      <c r="C688" s="2"/>
    </row>
    <row r="689" spans="2:3" ht="15.75" customHeight="1" x14ac:dyDescent="0.3">
      <c r="B689" s="2"/>
      <c r="C689" s="2"/>
    </row>
    <row r="690" spans="2:3" ht="15.75" customHeight="1" x14ac:dyDescent="0.3">
      <c r="B690" s="2"/>
      <c r="C690" s="2"/>
    </row>
    <row r="691" spans="2:3" ht="15.75" customHeight="1" x14ac:dyDescent="0.3">
      <c r="B691" s="2"/>
      <c r="C691" s="2"/>
    </row>
    <row r="692" spans="2:3" ht="15.75" customHeight="1" x14ac:dyDescent="0.3">
      <c r="B692" s="2"/>
      <c r="C692" s="2"/>
    </row>
    <row r="693" spans="2:3" ht="15.75" customHeight="1" x14ac:dyDescent="0.3">
      <c r="B693" s="2"/>
      <c r="C693" s="2"/>
    </row>
    <row r="694" spans="2:3" ht="15.75" customHeight="1" x14ac:dyDescent="0.3">
      <c r="B694" s="2"/>
      <c r="C694" s="2"/>
    </row>
    <row r="695" spans="2:3" ht="15.75" customHeight="1" x14ac:dyDescent="0.3">
      <c r="B695" s="2"/>
      <c r="C695" s="2"/>
    </row>
    <row r="696" spans="2:3" ht="15.75" customHeight="1" x14ac:dyDescent="0.3">
      <c r="B696" s="2"/>
      <c r="C696" s="2"/>
    </row>
    <row r="697" spans="2:3" ht="15.75" customHeight="1" x14ac:dyDescent="0.3">
      <c r="B697" s="2"/>
      <c r="C697" s="2"/>
    </row>
    <row r="698" spans="2:3" ht="15.75" customHeight="1" x14ac:dyDescent="0.3">
      <c r="B698" s="2"/>
      <c r="C698" s="2"/>
    </row>
    <row r="699" spans="2:3" ht="15.75" customHeight="1" x14ac:dyDescent="0.3">
      <c r="B699" s="2"/>
      <c r="C699" s="2"/>
    </row>
    <row r="700" spans="2:3" ht="15.75" customHeight="1" x14ac:dyDescent="0.3">
      <c r="B700" s="2"/>
      <c r="C700" s="2"/>
    </row>
    <row r="701" spans="2:3" ht="15.75" customHeight="1" x14ac:dyDescent="0.3">
      <c r="B701" s="2"/>
      <c r="C701" s="2"/>
    </row>
    <row r="702" spans="2:3" ht="15.75" customHeight="1" x14ac:dyDescent="0.3">
      <c r="B702" s="2"/>
      <c r="C702" s="2"/>
    </row>
    <row r="703" spans="2:3" ht="15.75" customHeight="1" x14ac:dyDescent="0.3">
      <c r="B703" s="2"/>
      <c r="C703" s="2"/>
    </row>
    <row r="704" spans="2:3" ht="15.75" customHeight="1" x14ac:dyDescent="0.3">
      <c r="B704" s="2"/>
      <c r="C704" s="2"/>
    </row>
    <row r="705" spans="2:3" ht="15.75" customHeight="1" x14ac:dyDescent="0.3">
      <c r="B705" s="2"/>
      <c r="C705" s="2"/>
    </row>
    <row r="706" spans="2:3" ht="15.75" customHeight="1" x14ac:dyDescent="0.3">
      <c r="B706" s="2"/>
      <c r="C706" s="2"/>
    </row>
    <row r="707" spans="2:3" ht="15.75" customHeight="1" x14ac:dyDescent="0.3">
      <c r="B707" s="2"/>
      <c r="C707" s="2"/>
    </row>
    <row r="708" spans="2:3" ht="15.75" customHeight="1" x14ac:dyDescent="0.3">
      <c r="B708" s="2"/>
      <c r="C708" s="2"/>
    </row>
    <row r="709" spans="2:3" ht="15.75" customHeight="1" x14ac:dyDescent="0.3">
      <c r="B709" s="2"/>
      <c r="C709" s="2"/>
    </row>
    <row r="710" spans="2:3" ht="15.75" customHeight="1" x14ac:dyDescent="0.3">
      <c r="B710" s="2"/>
      <c r="C710" s="2"/>
    </row>
    <row r="711" spans="2:3" ht="15.75" customHeight="1" x14ac:dyDescent="0.3">
      <c r="B711" s="2"/>
      <c r="C711" s="2"/>
    </row>
    <row r="712" spans="2:3" ht="15.75" customHeight="1" x14ac:dyDescent="0.3">
      <c r="B712" s="2"/>
      <c r="C712" s="2"/>
    </row>
    <row r="713" spans="2:3" ht="15.75" customHeight="1" x14ac:dyDescent="0.3">
      <c r="B713" s="2"/>
      <c r="C713" s="2"/>
    </row>
    <row r="714" spans="2:3" ht="15.75" customHeight="1" x14ac:dyDescent="0.3">
      <c r="B714" s="2"/>
      <c r="C714" s="2"/>
    </row>
    <row r="715" spans="2:3" ht="15.75" customHeight="1" x14ac:dyDescent="0.3">
      <c r="B715" s="2"/>
      <c r="C715" s="2"/>
    </row>
    <row r="716" spans="2:3" ht="15.75" customHeight="1" x14ac:dyDescent="0.3">
      <c r="B716" s="2"/>
      <c r="C716" s="2"/>
    </row>
    <row r="717" spans="2:3" ht="15.75" customHeight="1" x14ac:dyDescent="0.3">
      <c r="B717" s="2"/>
      <c r="C717" s="2"/>
    </row>
    <row r="718" spans="2:3" ht="15.75" customHeight="1" x14ac:dyDescent="0.3">
      <c r="B718" s="2"/>
      <c r="C718" s="2"/>
    </row>
    <row r="719" spans="2:3" ht="15.75" customHeight="1" x14ac:dyDescent="0.3">
      <c r="B719" s="2"/>
      <c r="C719" s="2"/>
    </row>
    <row r="720" spans="2:3" ht="15.75" customHeight="1" x14ac:dyDescent="0.3">
      <c r="B720" s="2"/>
      <c r="C720" s="2"/>
    </row>
    <row r="721" spans="2:3" ht="15.75" customHeight="1" x14ac:dyDescent="0.3">
      <c r="B721" s="2"/>
      <c r="C721" s="2"/>
    </row>
    <row r="722" spans="2:3" ht="15.75" customHeight="1" x14ac:dyDescent="0.3">
      <c r="B722" s="2"/>
      <c r="C722" s="2"/>
    </row>
    <row r="723" spans="2:3" ht="15.75" customHeight="1" x14ac:dyDescent="0.3">
      <c r="B723" s="2"/>
      <c r="C723" s="2"/>
    </row>
    <row r="724" spans="2:3" ht="15.75" customHeight="1" x14ac:dyDescent="0.3">
      <c r="B724" s="2"/>
      <c r="C724" s="2"/>
    </row>
    <row r="725" spans="2:3" ht="15.75" customHeight="1" x14ac:dyDescent="0.3">
      <c r="B725" s="2"/>
      <c r="C725" s="2"/>
    </row>
    <row r="726" spans="2:3" ht="15.75" customHeight="1" x14ac:dyDescent="0.3">
      <c r="B726" s="2"/>
      <c r="C726" s="2"/>
    </row>
    <row r="727" spans="2:3" ht="15.75" customHeight="1" x14ac:dyDescent="0.3">
      <c r="B727" s="2"/>
      <c r="C727" s="2"/>
    </row>
    <row r="728" spans="2:3" ht="15.75" customHeight="1" x14ac:dyDescent="0.3">
      <c r="B728" s="2"/>
      <c r="C728" s="2"/>
    </row>
    <row r="729" spans="2:3" ht="15.75" customHeight="1" x14ac:dyDescent="0.3">
      <c r="B729" s="2"/>
      <c r="C729" s="2"/>
    </row>
    <row r="730" spans="2:3" ht="15.75" customHeight="1" x14ac:dyDescent="0.3">
      <c r="B730" s="2"/>
      <c r="C730" s="2"/>
    </row>
    <row r="731" spans="2:3" ht="15.75" customHeight="1" x14ac:dyDescent="0.3">
      <c r="B731" s="2"/>
      <c r="C731" s="2"/>
    </row>
    <row r="732" spans="2:3" ht="15.75" customHeight="1" x14ac:dyDescent="0.3">
      <c r="B732" s="2"/>
      <c r="C732" s="2"/>
    </row>
    <row r="733" spans="2:3" ht="15.75" customHeight="1" x14ac:dyDescent="0.3">
      <c r="B733" s="2"/>
      <c r="C733" s="2"/>
    </row>
    <row r="734" spans="2:3" ht="15.75" customHeight="1" x14ac:dyDescent="0.3">
      <c r="B734" s="2"/>
      <c r="C734" s="2"/>
    </row>
    <row r="735" spans="2:3" ht="15.75" customHeight="1" x14ac:dyDescent="0.3">
      <c r="B735" s="2"/>
      <c r="C735" s="2"/>
    </row>
    <row r="736" spans="2:3" ht="15.75" customHeight="1" x14ac:dyDescent="0.3">
      <c r="B736" s="2"/>
      <c r="C736" s="2"/>
    </row>
    <row r="737" spans="2:3" ht="15.75" customHeight="1" x14ac:dyDescent="0.3">
      <c r="B737" s="2"/>
      <c r="C737" s="2"/>
    </row>
    <row r="738" spans="2:3" ht="15.75" customHeight="1" x14ac:dyDescent="0.3">
      <c r="B738" s="2"/>
      <c r="C738" s="2"/>
    </row>
    <row r="739" spans="2:3" ht="15.75" customHeight="1" x14ac:dyDescent="0.3">
      <c r="B739" s="2"/>
      <c r="C739" s="2"/>
    </row>
    <row r="740" spans="2:3" ht="15.75" customHeight="1" x14ac:dyDescent="0.3">
      <c r="B740" s="2"/>
      <c r="C740" s="2"/>
    </row>
    <row r="741" spans="2:3" ht="15.75" customHeight="1" x14ac:dyDescent="0.3">
      <c r="B741" s="2"/>
      <c r="C741" s="2"/>
    </row>
    <row r="742" spans="2:3" ht="15.75" customHeight="1" x14ac:dyDescent="0.3">
      <c r="B742" s="2"/>
      <c r="C742" s="2"/>
    </row>
    <row r="743" spans="2:3" ht="15.75" customHeight="1" x14ac:dyDescent="0.3">
      <c r="B743" s="2"/>
      <c r="C743" s="2"/>
    </row>
    <row r="744" spans="2:3" ht="15.75" customHeight="1" x14ac:dyDescent="0.3">
      <c r="B744" s="2"/>
      <c r="C744" s="2"/>
    </row>
    <row r="745" spans="2:3" ht="15.75" customHeight="1" x14ac:dyDescent="0.3">
      <c r="B745" s="2"/>
      <c r="C745" s="2"/>
    </row>
    <row r="746" spans="2:3" ht="15.75" customHeight="1" x14ac:dyDescent="0.3">
      <c r="B746" s="2"/>
      <c r="C746" s="2"/>
    </row>
    <row r="747" spans="2:3" ht="15.75" customHeight="1" x14ac:dyDescent="0.3">
      <c r="B747" s="2"/>
      <c r="C747" s="2"/>
    </row>
    <row r="748" spans="2:3" ht="15.75" customHeight="1" x14ac:dyDescent="0.3">
      <c r="B748" s="2"/>
      <c r="C748" s="2"/>
    </row>
    <row r="749" spans="2:3" ht="15.75" customHeight="1" x14ac:dyDescent="0.3">
      <c r="B749" s="2"/>
      <c r="C749" s="2"/>
    </row>
    <row r="750" spans="2:3" ht="15.75" customHeight="1" x14ac:dyDescent="0.3">
      <c r="B750" s="2"/>
      <c r="C750" s="2"/>
    </row>
    <row r="751" spans="2:3" ht="15.75" customHeight="1" x14ac:dyDescent="0.3">
      <c r="B751" s="2"/>
      <c r="C751" s="2"/>
    </row>
    <row r="752" spans="2:3" ht="15.75" customHeight="1" x14ac:dyDescent="0.3">
      <c r="B752" s="2"/>
      <c r="C752" s="2"/>
    </row>
    <row r="753" spans="2:3" ht="15.75" customHeight="1" x14ac:dyDescent="0.3">
      <c r="B753" s="2"/>
      <c r="C753" s="2"/>
    </row>
    <row r="754" spans="2:3" ht="15.75" customHeight="1" x14ac:dyDescent="0.3">
      <c r="B754" s="2"/>
      <c r="C754" s="2"/>
    </row>
    <row r="755" spans="2:3" ht="15.75" customHeight="1" x14ac:dyDescent="0.3">
      <c r="B755" s="2"/>
      <c r="C755" s="2"/>
    </row>
    <row r="756" spans="2:3" ht="15.75" customHeight="1" x14ac:dyDescent="0.3">
      <c r="B756" s="2"/>
      <c r="C756" s="2"/>
    </row>
    <row r="757" spans="2:3" ht="15.75" customHeight="1" x14ac:dyDescent="0.3">
      <c r="B757" s="2"/>
      <c r="C757" s="2"/>
    </row>
    <row r="758" spans="2:3" ht="15.75" customHeight="1" x14ac:dyDescent="0.3">
      <c r="B758" s="2"/>
      <c r="C758" s="2"/>
    </row>
    <row r="759" spans="2:3" ht="15.75" customHeight="1" x14ac:dyDescent="0.3">
      <c r="B759" s="2"/>
      <c r="C759" s="2"/>
    </row>
    <row r="760" spans="2:3" ht="15.75" customHeight="1" x14ac:dyDescent="0.3">
      <c r="B760" s="2"/>
      <c r="C760" s="2"/>
    </row>
    <row r="761" spans="2:3" ht="15.75" customHeight="1" x14ac:dyDescent="0.3">
      <c r="B761" s="2"/>
      <c r="C761" s="2"/>
    </row>
    <row r="762" spans="2:3" ht="15.75" customHeight="1" x14ac:dyDescent="0.3">
      <c r="B762" s="2"/>
      <c r="C762" s="2"/>
    </row>
    <row r="763" spans="2:3" ht="15.75" customHeight="1" x14ac:dyDescent="0.3">
      <c r="B763" s="2"/>
      <c r="C763" s="2"/>
    </row>
    <row r="764" spans="2:3" ht="15.75" customHeight="1" x14ac:dyDescent="0.3">
      <c r="B764" s="2"/>
      <c r="C764" s="2"/>
    </row>
    <row r="765" spans="2:3" ht="15.75" customHeight="1" x14ac:dyDescent="0.3">
      <c r="B765" s="2"/>
      <c r="C765" s="2"/>
    </row>
    <row r="766" spans="2:3" ht="15.75" customHeight="1" x14ac:dyDescent="0.3">
      <c r="B766" s="2"/>
      <c r="C766" s="2"/>
    </row>
    <row r="767" spans="2:3" ht="15.75" customHeight="1" x14ac:dyDescent="0.3">
      <c r="B767" s="2"/>
      <c r="C767" s="2"/>
    </row>
    <row r="768" spans="2:3" ht="15.75" customHeight="1" x14ac:dyDescent="0.3">
      <c r="B768" s="2"/>
      <c r="C768" s="2"/>
    </row>
    <row r="769" spans="2:3" ht="15.75" customHeight="1" x14ac:dyDescent="0.3">
      <c r="B769" s="2"/>
      <c r="C769" s="2"/>
    </row>
    <row r="770" spans="2:3" ht="15.75" customHeight="1" x14ac:dyDescent="0.3">
      <c r="B770" s="2"/>
      <c r="C770" s="2"/>
    </row>
    <row r="771" spans="2:3" ht="15.75" customHeight="1" x14ac:dyDescent="0.3">
      <c r="B771" s="2"/>
      <c r="C771" s="2"/>
    </row>
    <row r="772" spans="2:3" ht="15.75" customHeight="1" x14ac:dyDescent="0.3">
      <c r="B772" s="2"/>
      <c r="C772" s="2"/>
    </row>
    <row r="773" spans="2:3" ht="15.75" customHeight="1" x14ac:dyDescent="0.3">
      <c r="B773" s="2"/>
      <c r="C773" s="2"/>
    </row>
    <row r="774" spans="2:3" ht="15.75" customHeight="1" x14ac:dyDescent="0.3">
      <c r="B774" s="2"/>
      <c r="C774" s="2"/>
    </row>
    <row r="775" spans="2:3" ht="15.75" customHeight="1" x14ac:dyDescent="0.3">
      <c r="B775" s="2"/>
      <c r="C775" s="2"/>
    </row>
    <row r="776" spans="2:3" ht="15.75" customHeight="1" x14ac:dyDescent="0.3">
      <c r="B776" s="2"/>
      <c r="C776" s="2"/>
    </row>
    <row r="777" spans="2:3" ht="15.75" customHeight="1" x14ac:dyDescent="0.3">
      <c r="B777" s="2"/>
      <c r="C777" s="2"/>
    </row>
    <row r="778" spans="2:3" ht="15.75" customHeight="1" x14ac:dyDescent="0.3">
      <c r="B778" s="2"/>
      <c r="C778" s="2"/>
    </row>
    <row r="779" spans="2:3" ht="15.75" customHeight="1" x14ac:dyDescent="0.3">
      <c r="B779" s="2"/>
      <c r="C779" s="2"/>
    </row>
    <row r="780" spans="2:3" ht="15.75" customHeight="1" x14ac:dyDescent="0.3">
      <c r="B780" s="2"/>
      <c r="C780" s="2"/>
    </row>
    <row r="781" spans="2:3" ht="15.75" customHeight="1" x14ac:dyDescent="0.3">
      <c r="B781" s="2"/>
      <c r="C781" s="2"/>
    </row>
    <row r="782" spans="2:3" ht="15.75" customHeight="1" x14ac:dyDescent="0.3">
      <c r="B782" s="2"/>
      <c r="C782" s="2"/>
    </row>
    <row r="783" spans="2:3" ht="15.75" customHeight="1" x14ac:dyDescent="0.3">
      <c r="B783" s="2"/>
      <c r="C783" s="2"/>
    </row>
    <row r="784" spans="2:3" ht="15.75" customHeight="1" x14ac:dyDescent="0.3">
      <c r="B784" s="2"/>
      <c r="C784" s="2"/>
    </row>
    <row r="785" spans="2:3" ht="15.75" customHeight="1" x14ac:dyDescent="0.3">
      <c r="B785" s="2"/>
      <c r="C785" s="2"/>
    </row>
    <row r="786" spans="2:3" ht="15.75" customHeight="1" x14ac:dyDescent="0.3">
      <c r="B786" s="2"/>
      <c r="C786" s="2"/>
    </row>
    <row r="787" spans="2:3" ht="15.75" customHeight="1" x14ac:dyDescent="0.3">
      <c r="B787" s="2"/>
      <c r="C787" s="2"/>
    </row>
    <row r="788" spans="2:3" ht="15.75" customHeight="1" x14ac:dyDescent="0.3">
      <c r="B788" s="2"/>
      <c r="C788" s="2"/>
    </row>
    <row r="789" spans="2:3" ht="15.75" customHeight="1" x14ac:dyDescent="0.3">
      <c r="B789" s="2"/>
      <c r="C789" s="2"/>
    </row>
    <row r="790" spans="2:3" ht="15.75" customHeight="1" x14ac:dyDescent="0.3">
      <c r="B790" s="2"/>
      <c r="C790" s="2"/>
    </row>
    <row r="791" spans="2:3" ht="15.75" customHeight="1" x14ac:dyDescent="0.3">
      <c r="B791" s="2"/>
      <c r="C791" s="2"/>
    </row>
    <row r="792" spans="2:3" ht="15.75" customHeight="1" x14ac:dyDescent="0.3">
      <c r="B792" s="2"/>
      <c r="C792" s="2"/>
    </row>
    <row r="793" spans="2:3" ht="15.75" customHeight="1" x14ac:dyDescent="0.3">
      <c r="B793" s="2"/>
      <c r="C793" s="2"/>
    </row>
    <row r="794" spans="2:3" ht="15.75" customHeight="1" x14ac:dyDescent="0.3">
      <c r="B794" s="2"/>
      <c r="C794" s="2"/>
    </row>
    <row r="795" spans="2:3" ht="15.75" customHeight="1" x14ac:dyDescent="0.3">
      <c r="B795" s="2"/>
      <c r="C795" s="2"/>
    </row>
    <row r="796" spans="2:3" ht="15.75" customHeight="1" x14ac:dyDescent="0.3">
      <c r="B796" s="2"/>
      <c r="C796" s="2"/>
    </row>
    <row r="797" spans="2:3" ht="15.75" customHeight="1" x14ac:dyDescent="0.3">
      <c r="B797" s="2"/>
      <c r="C797" s="2"/>
    </row>
    <row r="798" spans="2:3" ht="15.75" customHeight="1" x14ac:dyDescent="0.3">
      <c r="B798" s="2"/>
      <c r="C798" s="2"/>
    </row>
    <row r="799" spans="2:3" ht="15.75" customHeight="1" x14ac:dyDescent="0.3">
      <c r="B799" s="2"/>
      <c r="C799" s="2"/>
    </row>
    <row r="800" spans="2:3" ht="15.75" customHeight="1" x14ac:dyDescent="0.3">
      <c r="B800" s="2"/>
      <c r="C800" s="2"/>
    </row>
    <row r="801" spans="2:3" ht="15.75" customHeight="1" x14ac:dyDescent="0.3">
      <c r="B801" s="2"/>
      <c r="C801" s="2"/>
    </row>
    <row r="802" spans="2:3" ht="15.75" customHeight="1" x14ac:dyDescent="0.3">
      <c r="B802" s="2"/>
      <c r="C802" s="2"/>
    </row>
    <row r="803" spans="2:3" ht="15.75" customHeight="1" x14ac:dyDescent="0.3">
      <c r="B803" s="2"/>
      <c r="C803" s="2"/>
    </row>
    <row r="804" spans="2:3" ht="15.75" customHeight="1" x14ac:dyDescent="0.3">
      <c r="B804" s="2"/>
      <c r="C804" s="2"/>
    </row>
    <row r="805" spans="2:3" ht="15.75" customHeight="1" x14ac:dyDescent="0.3">
      <c r="B805" s="2"/>
      <c r="C805" s="2"/>
    </row>
    <row r="806" spans="2:3" ht="15.75" customHeight="1" x14ac:dyDescent="0.3">
      <c r="B806" s="2"/>
      <c r="C806" s="2"/>
    </row>
    <row r="807" spans="2:3" ht="15.75" customHeight="1" x14ac:dyDescent="0.3">
      <c r="B807" s="2"/>
      <c r="C807" s="2"/>
    </row>
    <row r="808" spans="2:3" ht="15.75" customHeight="1" x14ac:dyDescent="0.3">
      <c r="B808" s="2"/>
      <c r="C808" s="2"/>
    </row>
    <row r="809" spans="2:3" ht="15.75" customHeight="1" x14ac:dyDescent="0.3">
      <c r="B809" s="2"/>
      <c r="C809" s="2"/>
    </row>
    <row r="810" spans="2:3" ht="15.75" customHeight="1" x14ac:dyDescent="0.3">
      <c r="B810" s="2"/>
      <c r="C810" s="2"/>
    </row>
    <row r="811" spans="2:3" ht="15.75" customHeight="1" x14ac:dyDescent="0.3">
      <c r="B811" s="2"/>
      <c r="C811" s="2"/>
    </row>
    <row r="812" spans="2:3" ht="15.75" customHeight="1" x14ac:dyDescent="0.3">
      <c r="B812" s="2"/>
      <c r="C812" s="2"/>
    </row>
    <row r="813" spans="2:3" ht="15.75" customHeight="1" x14ac:dyDescent="0.3">
      <c r="B813" s="2"/>
      <c r="C813" s="2"/>
    </row>
    <row r="814" spans="2:3" ht="15.75" customHeight="1" x14ac:dyDescent="0.3">
      <c r="B814" s="2"/>
      <c r="C814" s="2"/>
    </row>
    <row r="815" spans="2:3" ht="15.75" customHeight="1" x14ac:dyDescent="0.3">
      <c r="B815" s="2"/>
      <c r="C815" s="2"/>
    </row>
    <row r="816" spans="2:3" ht="15.75" customHeight="1" x14ac:dyDescent="0.3">
      <c r="B816" s="2"/>
      <c r="C816" s="2"/>
    </row>
    <row r="817" spans="2:3" ht="15.75" customHeight="1" x14ac:dyDescent="0.3">
      <c r="B817" s="2"/>
      <c r="C817" s="2"/>
    </row>
    <row r="818" spans="2:3" ht="15.75" customHeight="1" x14ac:dyDescent="0.3">
      <c r="B818" s="2"/>
      <c r="C818" s="2"/>
    </row>
    <row r="819" spans="2:3" ht="15.75" customHeight="1" x14ac:dyDescent="0.3">
      <c r="B819" s="2"/>
      <c r="C819" s="2"/>
    </row>
    <row r="820" spans="2:3" ht="15.75" customHeight="1" x14ac:dyDescent="0.3">
      <c r="B820" s="2"/>
      <c r="C820" s="2"/>
    </row>
    <row r="821" spans="2:3" ht="15.75" customHeight="1" x14ac:dyDescent="0.3">
      <c r="B821" s="2"/>
      <c r="C821" s="2"/>
    </row>
    <row r="822" spans="2:3" ht="15.75" customHeight="1" x14ac:dyDescent="0.3">
      <c r="B822" s="2"/>
      <c r="C822" s="2"/>
    </row>
    <row r="823" spans="2:3" ht="15.75" customHeight="1" x14ac:dyDescent="0.3">
      <c r="B823" s="2"/>
      <c r="C823" s="2"/>
    </row>
    <row r="824" spans="2:3" ht="15.75" customHeight="1" x14ac:dyDescent="0.3">
      <c r="B824" s="2"/>
      <c r="C824" s="2"/>
    </row>
    <row r="825" spans="2:3" ht="15.75" customHeight="1" x14ac:dyDescent="0.3">
      <c r="B825" s="2"/>
      <c r="C825" s="2"/>
    </row>
    <row r="826" spans="2:3" ht="15.75" customHeight="1" x14ac:dyDescent="0.3">
      <c r="B826" s="2"/>
      <c r="C826" s="2"/>
    </row>
    <row r="827" spans="2:3" ht="15.75" customHeight="1" x14ac:dyDescent="0.3">
      <c r="B827" s="2"/>
      <c r="C827" s="2"/>
    </row>
    <row r="828" spans="2:3" ht="15.75" customHeight="1" x14ac:dyDescent="0.3">
      <c r="B828" s="2"/>
      <c r="C828" s="2"/>
    </row>
    <row r="829" spans="2:3" ht="15.75" customHeight="1" x14ac:dyDescent="0.3">
      <c r="B829" s="2"/>
      <c r="C829" s="2"/>
    </row>
    <row r="830" spans="2:3" ht="15.75" customHeight="1" x14ac:dyDescent="0.3">
      <c r="B830" s="2"/>
      <c r="C830" s="2"/>
    </row>
    <row r="831" spans="2:3" ht="15.75" customHeight="1" x14ac:dyDescent="0.3">
      <c r="B831" s="2"/>
      <c r="C831" s="2"/>
    </row>
    <row r="832" spans="2:3" ht="15.75" customHeight="1" x14ac:dyDescent="0.3">
      <c r="B832" s="2"/>
      <c r="C832" s="2"/>
    </row>
    <row r="833" spans="2:3" ht="15.75" customHeight="1" x14ac:dyDescent="0.3">
      <c r="B833" s="2"/>
      <c r="C833" s="2"/>
    </row>
    <row r="834" spans="2:3" ht="15.75" customHeight="1" x14ac:dyDescent="0.3">
      <c r="B834" s="2"/>
      <c r="C834" s="2"/>
    </row>
    <row r="835" spans="2:3" ht="15.75" customHeight="1" x14ac:dyDescent="0.3">
      <c r="B835" s="2"/>
      <c r="C835" s="2"/>
    </row>
    <row r="836" spans="2:3" ht="15.75" customHeight="1" x14ac:dyDescent="0.3">
      <c r="B836" s="2"/>
      <c r="C836" s="2"/>
    </row>
    <row r="837" spans="2:3" ht="15.75" customHeight="1" x14ac:dyDescent="0.3">
      <c r="B837" s="2"/>
      <c r="C837" s="2"/>
    </row>
    <row r="838" spans="2:3" ht="15.75" customHeight="1" x14ac:dyDescent="0.3">
      <c r="B838" s="2"/>
      <c r="C838" s="2"/>
    </row>
    <row r="839" spans="2:3" ht="15.75" customHeight="1" x14ac:dyDescent="0.3">
      <c r="B839" s="2"/>
      <c r="C839" s="2"/>
    </row>
    <row r="840" spans="2:3" ht="15.75" customHeight="1" x14ac:dyDescent="0.3">
      <c r="B840" s="2"/>
      <c r="C840" s="2"/>
    </row>
    <row r="841" spans="2:3" ht="15.75" customHeight="1" x14ac:dyDescent="0.3">
      <c r="B841" s="2"/>
      <c r="C841" s="2"/>
    </row>
    <row r="842" spans="2:3" ht="15.75" customHeight="1" x14ac:dyDescent="0.3">
      <c r="B842" s="2"/>
      <c r="C842" s="2"/>
    </row>
    <row r="843" spans="2:3" ht="15.75" customHeight="1" x14ac:dyDescent="0.3">
      <c r="B843" s="2"/>
      <c r="C843" s="2"/>
    </row>
    <row r="844" spans="2:3" ht="15.75" customHeight="1" x14ac:dyDescent="0.3">
      <c r="B844" s="2"/>
      <c r="C844" s="2"/>
    </row>
    <row r="845" spans="2:3" ht="15.75" customHeight="1" x14ac:dyDescent="0.3">
      <c r="B845" s="2"/>
      <c r="C845" s="2"/>
    </row>
    <row r="846" spans="2:3" ht="15.75" customHeight="1" x14ac:dyDescent="0.3">
      <c r="B846" s="2"/>
      <c r="C846" s="2"/>
    </row>
    <row r="847" spans="2:3" ht="15.75" customHeight="1" x14ac:dyDescent="0.3">
      <c r="B847" s="2"/>
      <c r="C847" s="2"/>
    </row>
    <row r="848" spans="2:3" ht="15.75" customHeight="1" x14ac:dyDescent="0.3">
      <c r="B848" s="2"/>
      <c r="C848" s="2"/>
    </row>
    <row r="849" spans="2:3" ht="15.75" customHeight="1" x14ac:dyDescent="0.3">
      <c r="B849" s="2"/>
      <c r="C849" s="2"/>
    </row>
    <row r="850" spans="2:3" ht="15.75" customHeight="1" x14ac:dyDescent="0.3">
      <c r="B850" s="2"/>
      <c r="C850" s="2"/>
    </row>
    <row r="851" spans="2:3" ht="15.75" customHeight="1" x14ac:dyDescent="0.3">
      <c r="B851" s="2"/>
      <c r="C851" s="2"/>
    </row>
    <row r="852" spans="2:3" ht="15.75" customHeight="1" x14ac:dyDescent="0.3">
      <c r="B852" s="2"/>
      <c r="C852" s="2"/>
    </row>
    <row r="853" spans="2:3" ht="15.75" customHeight="1" x14ac:dyDescent="0.3">
      <c r="B853" s="2"/>
      <c r="C853" s="2"/>
    </row>
    <row r="854" spans="2:3" ht="15.75" customHeight="1" x14ac:dyDescent="0.3">
      <c r="B854" s="2"/>
      <c r="C854" s="2"/>
    </row>
    <row r="855" spans="2:3" ht="15.75" customHeight="1" x14ac:dyDescent="0.3">
      <c r="B855" s="2"/>
      <c r="C855" s="2"/>
    </row>
    <row r="856" spans="2:3" ht="15.75" customHeight="1" x14ac:dyDescent="0.3">
      <c r="B856" s="2"/>
      <c r="C856" s="2"/>
    </row>
    <row r="857" spans="2:3" ht="15.75" customHeight="1" x14ac:dyDescent="0.3">
      <c r="B857" s="2"/>
      <c r="C857" s="2"/>
    </row>
    <row r="858" spans="2:3" ht="15.75" customHeight="1" x14ac:dyDescent="0.3">
      <c r="B858" s="2"/>
      <c r="C858" s="2"/>
    </row>
    <row r="859" spans="2:3" ht="15.75" customHeight="1" x14ac:dyDescent="0.3">
      <c r="B859" s="2"/>
      <c r="C859" s="2"/>
    </row>
    <row r="860" spans="2:3" ht="15.75" customHeight="1" x14ac:dyDescent="0.3">
      <c r="B860" s="2"/>
      <c r="C860" s="2"/>
    </row>
    <row r="861" spans="2:3" ht="15.75" customHeight="1" x14ac:dyDescent="0.3">
      <c r="B861" s="2"/>
      <c r="C861" s="2"/>
    </row>
    <row r="862" spans="2:3" ht="15.75" customHeight="1" x14ac:dyDescent="0.3">
      <c r="B862" s="2"/>
      <c r="C862" s="2"/>
    </row>
    <row r="863" spans="2:3" ht="15.75" customHeight="1" x14ac:dyDescent="0.3">
      <c r="B863" s="2"/>
      <c r="C863" s="2"/>
    </row>
    <row r="864" spans="2:3" ht="15.75" customHeight="1" x14ac:dyDescent="0.3">
      <c r="B864" s="2"/>
      <c r="C864" s="2"/>
    </row>
    <row r="865" spans="2:3" ht="15.75" customHeight="1" x14ac:dyDescent="0.3">
      <c r="B865" s="2"/>
      <c r="C865" s="2"/>
    </row>
    <row r="866" spans="2:3" ht="15.75" customHeight="1" x14ac:dyDescent="0.3">
      <c r="B866" s="2"/>
      <c r="C866" s="2"/>
    </row>
    <row r="867" spans="2:3" ht="15.75" customHeight="1" x14ac:dyDescent="0.3">
      <c r="B867" s="2"/>
      <c r="C867" s="2"/>
    </row>
    <row r="868" spans="2:3" ht="15.75" customHeight="1" x14ac:dyDescent="0.3">
      <c r="B868" s="2"/>
      <c r="C868" s="2"/>
    </row>
    <row r="869" spans="2:3" ht="15.75" customHeight="1" x14ac:dyDescent="0.3">
      <c r="B869" s="2"/>
      <c r="C869" s="2"/>
    </row>
    <row r="870" spans="2:3" ht="15.75" customHeight="1" x14ac:dyDescent="0.3">
      <c r="B870" s="2"/>
      <c r="C870" s="2"/>
    </row>
    <row r="871" spans="2:3" ht="15.75" customHeight="1" x14ac:dyDescent="0.3">
      <c r="B871" s="2"/>
      <c r="C871" s="2"/>
    </row>
    <row r="872" spans="2:3" ht="15.75" customHeight="1" x14ac:dyDescent="0.3">
      <c r="B872" s="2"/>
      <c r="C872" s="2"/>
    </row>
    <row r="873" spans="2:3" ht="15.75" customHeight="1" x14ac:dyDescent="0.3">
      <c r="B873" s="2"/>
      <c r="C873" s="2"/>
    </row>
    <row r="874" spans="2:3" ht="15.75" customHeight="1" x14ac:dyDescent="0.3">
      <c r="B874" s="2"/>
      <c r="C874" s="2"/>
    </row>
    <row r="875" spans="2:3" ht="15.75" customHeight="1" x14ac:dyDescent="0.3">
      <c r="B875" s="2"/>
      <c r="C875" s="2"/>
    </row>
    <row r="876" spans="2:3" ht="15.75" customHeight="1" x14ac:dyDescent="0.3">
      <c r="B876" s="2"/>
      <c r="C876" s="2"/>
    </row>
    <row r="877" spans="2:3" ht="15.75" customHeight="1" x14ac:dyDescent="0.3">
      <c r="B877" s="2"/>
      <c r="C877" s="2"/>
    </row>
    <row r="878" spans="2:3" ht="15.75" customHeight="1" x14ac:dyDescent="0.3">
      <c r="B878" s="2"/>
      <c r="C878" s="2"/>
    </row>
    <row r="879" spans="2:3" ht="15.75" customHeight="1" x14ac:dyDescent="0.3">
      <c r="B879" s="2"/>
      <c r="C879" s="2"/>
    </row>
    <row r="880" spans="2:3" ht="15.75" customHeight="1" x14ac:dyDescent="0.3">
      <c r="B880" s="2"/>
      <c r="C880" s="2"/>
    </row>
    <row r="881" spans="2:3" ht="15.75" customHeight="1" x14ac:dyDescent="0.3">
      <c r="B881" s="2"/>
      <c r="C881" s="2"/>
    </row>
    <row r="882" spans="2:3" ht="15.75" customHeight="1" x14ac:dyDescent="0.3">
      <c r="B882" s="2"/>
      <c r="C882" s="2"/>
    </row>
    <row r="883" spans="2:3" ht="15.75" customHeight="1" x14ac:dyDescent="0.3">
      <c r="B883" s="2"/>
      <c r="C883" s="2"/>
    </row>
    <row r="884" spans="2:3" ht="15.75" customHeight="1" x14ac:dyDescent="0.3">
      <c r="B884" s="2"/>
      <c r="C884" s="2"/>
    </row>
    <row r="885" spans="2:3" ht="15.75" customHeight="1" x14ac:dyDescent="0.3">
      <c r="B885" s="2"/>
      <c r="C885" s="2"/>
    </row>
    <row r="886" spans="2:3" ht="15.75" customHeight="1" x14ac:dyDescent="0.3">
      <c r="B886" s="2"/>
      <c r="C886" s="2"/>
    </row>
    <row r="887" spans="2:3" ht="15.75" customHeight="1" x14ac:dyDescent="0.3">
      <c r="B887" s="2"/>
      <c r="C887" s="2"/>
    </row>
    <row r="888" spans="2:3" ht="15.75" customHeight="1" x14ac:dyDescent="0.3">
      <c r="B888" s="2"/>
      <c r="C888" s="2"/>
    </row>
    <row r="889" spans="2:3" ht="15.75" customHeight="1" x14ac:dyDescent="0.3">
      <c r="B889" s="2"/>
      <c r="C889" s="2"/>
    </row>
    <row r="890" spans="2:3" ht="15.75" customHeight="1" x14ac:dyDescent="0.3">
      <c r="B890" s="2"/>
      <c r="C890" s="2"/>
    </row>
    <row r="891" spans="2:3" ht="15.75" customHeight="1" x14ac:dyDescent="0.3">
      <c r="B891" s="2"/>
      <c r="C891" s="2"/>
    </row>
    <row r="892" spans="2:3" ht="15.75" customHeight="1" x14ac:dyDescent="0.3">
      <c r="B892" s="2"/>
      <c r="C892" s="2"/>
    </row>
    <row r="893" spans="2:3" ht="15.75" customHeight="1" x14ac:dyDescent="0.3">
      <c r="B893" s="2"/>
      <c r="C893" s="2"/>
    </row>
    <row r="894" spans="2:3" ht="15.75" customHeight="1" x14ac:dyDescent="0.3">
      <c r="B894" s="2"/>
      <c r="C894" s="2"/>
    </row>
    <row r="895" spans="2:3" ht="15.75" customHeight="1" x14ac:dyDescent="0.3">
      <c r="B895" s="2"/>
      <c r="C895" s="2"/>
    </row>
    <row r="896" spans="2:3" ht="15.75" customHeight="1" x14ac:dyDescent="0.3">
      <c r="B896" s="2"/>
      <c r="C896" s="2"/>
    </row>
    <row r="897" spans="2:3" ht="15.75" customHeight="1" x14ac:dyDescent="0.3">
      <c r="B897" s="2"/>
      <c r="C897" s="2"/>
    </row>
    <row r="898" spans="2:3" ht="15.75" customHeight="1" x14ac:dyDescent="0.3">
      <c r="B898" s="2"/>
      <c r="C898" s="2"/>
    </row>
    <row r="899" spans="2:3" ht="15.75" customHeight="1" x14ac:dyDescent="0.3">
      <c r="B899" s="2"/>
      <c r="C899" s="2"/>
    </row>
    <row r="900" spans="2:3" ht="15.75" customHeight="1" x14ac:dyDescent="0.3">
      <c r="B900" s="2"/>
      <c r="C900" s="2"/>
    </row>
    <row r="901" spans="2:3" ht="15.75" customHeight="1" x14ac:dyDescent="0.3">
      <c r="B901" s="2"/>
      <c r="C901" s="2"/>
    </row>
    <row r="902" spans="2:3" ht="15.75" customHeight="1" x14ac:dyDescent="0.3">
      <c r="B902" s="2"/>
      <c r="C902" s="2"/>
    </row>
    <row r="903" spans="2:3" ht="15.75" customHeight="1" x14ac:dyDescent="0.3">
      <c r="B903" s="2"/>
      <c r="C903" s="2"/>
    </row>
    <row r="904" spans="2:3" ht="15.75" customHeight="1" x14ac:dyDescent="0.3">
      <c r="B904" s="2"/>
      <c r="C904" s="2"/>
    </row>
    <row r="905" spans="2:3" ht="15.75" customHeight="1" x14ac:dyDescent="0.3">
      <c r="B905" s="2"/>
      <c r="C905" s="2"/>
    </row>
    <row r="906" spans="2:3" ht="15.75" customHeight="1" x14ac:dyDescent="0.3">
      <c r="B906" s="2"/>
      <c r="C906" s="2"/>
    </row>
    <row r="907" spans="2:3" ht="15.75" customHeight="1" x14ac:dyDescent="0.3">
      <c r="B907" s="2"/>
      <c r="C907" s="2"/>
    </row>
    <row r="908" spans="2:3" ht="15.75" customHeight="1" x14ac:dyDescent="0.3">
      <c r="B908" s="2"/>
      <c r="C908" s="2"/>
    </row>
    <row r="909" spans="2:3" ht="15.75" customHeight="1" x14ac:dyDescent="0.3">
      <c r="B909" s="2"/>
      <c r="C909" s="2"/>
    </row>
    <row r="910" spans="2:3" ht="15.75" customHeight="1" x14ac:dyDescent="0.3">
      <c r="B910" s="2"/>
      <c r="C910" s="2"/>
    </row>
    <row r="911" spans="2:3" ht="15.75" customHeight="1" x14ac:dyDescent="0.3">
      <c r="B911" s="2"/>
      <c r="C911" s="2"/>
    </row>
    <row r="912" spans="2:3" ht="15.75" customHeight="1" x14ac:dyDescent="0.3">
      <c r="B912" s="2"/>
      <c r="C912" s="2"/>
    </row>
    <row r="913" spans="2:3" ht="15.75" customHeight="1" x14ac:dyDescent="0.3">
      <c r="B913" s="2"/>
      <c r="C913" s="2"/>
    </row>
    <row r="914" spans="2:3" ht="15.75" customHeight="1" x14ac:dyDescent="0.3">
      <c r="B914" s="2"/>
      <c r="C914" s="2"/>
    </row>
    <row r="915" spans="2:3" ht="15.75" customHeight="1" x14ac:dyDescent="0.3">
      <c r="B915" s="2"/>
      <c r="C915" s="2"/>
    </row>
    <row r="916" spans="2:3" ht="15.75" customHeight="1" x14ac:dyDescent="0.3">
      <c r="B916" s="2"/>
      <c r="C916" s="2"/>
    </row>
    <row r="917" spans="2:3" ht="15.75" customHeight="1" x14ac:dyDescent="0.3">
      <c r="B917" s="2"/>
      <c r="C917" s="2"/>
    </row>
    <row r="918" spans="2:3" ht="15.75" customHeight="1" x14ac:dyDescent="0.3">
      <c r="B918" s="2"/>
      <c r="C918" s="2"/>
    </row>
    <row r="919" spans="2:3" ht="15.75" customHeight="1" x14ac:dyDescent="0.3">
      <c r="B919" s="2"/>
      <c r="C919" s="2"/>
    </row>
    <row r="920" spans="2:3" ht="15.75" customHeight="1" x14ac:dyDescent="0.3">
      <c r="B920" s="2"/>
      <c r="C920" s="2"/>
    </row>
    <row r="921" spans="2:3" ht="15.75" customHeight="1" x14ac:dyDescent="0.3">
      <c r="B921" s="2"/>
      <c r="C921" s="2"/>
    </row>
    <row r="922" spans="2:3" ht="15.75" customHeight="1" x14ac:dyDescent="0.3">
      <c r="B922" s="2"/>
      <c r="C922" s="2"/>
    </row>
    <row r="923" spans="2:3" ht="15.75" customHeight="1" x14ac:dyDescent="0.3">
      <c r="B923" s="2"/>
      <c r="C923" s="2"/>
    </row>
    <row r="924" spans="2:3" ht="15.75" customHeight="1" x14ac:dyDescent="0.3">
      <c r="B924" s="2"/>
      <c r="C924" s="2"/>
    </row>
    <row r="925" spans="2:3" ht="15.75" customHeight="1" x14ac:dyDescent="0.3">
      <c r="B925" s="2"/>
      <c r="C925" s="2"/>
    </row>
    <row r="926" spans="2:3" ht="15.75" customHeight="1" x14ac:dyDescent="0.3">
      <c r="B926" s="2"/>
      <c r="C926" s="2"/>
    </row>
    <row r="927" spans="2:3" ht="15.75" customHeight="1" x14ac:dyDescent="0.3">
      <c r="B927" s="2"/>
      <c r="C927" s="2"/>
    </row>
    <row r="928" spans="2:3" ht="15.75" customHeight="1" x14ac:dyDescent="0.3">
      <c r="B928" s="2"/>
      <c r="C928" s="2"/>
    </row>
    <row r="929" spans="2:3" ht="15.75" customHeight="1" x14ac:dyDescent="0.3">
      <c r="B929" s="2"/>
      <c r="C929" s="2"/>
    </row>
    <row r="930" spans="2:3" ht="15.75" customHeight="1" x14ac:dyDescent="0.3">
      <c r="B930" s="2"/>
      <c r="C930" s="2"/>
    </row>
    <row r="931" spans="2:3" ht="15.75" customHeight="1" x14ac:dyDescent="0.3">
      <c r="B931" s="2"/>
      <c r="C931" s="2"/>
    </row>
    <row r="932" spans="2:3" ht="15.75" customHeight="1" x14ac:dyDescent="0.3">
      <c r="B932" s="2"/>
      <c r="C932" s="2"/>
    </row>
    <row r="933" spans="2:3" ht="15.75" customHeight="1" x14ac:dyDescent="0.3">
      <c r="B933" s="2"/>
      <c r="C933" s="2"/>
    </row>
    <row r="934" spans="2:3" ht="15.75" customHeight="1" x14ac:dyDescent="0.3">
      <c r="B934" s="2"/>
      <c r="C934" s="2"/>
    </row>
    <row r="935" spans="2:3" ht="15.75" customHeight="1" x14ac:dyDescent="0.3">
      <c r="B935" s="2"/>
      <c r="C935" s="2"/>
    </row>
    <row r="936" spans="2:3" ht="15.75" customHeight="1" x14ac:dyDescent="0.3">
      <c r="B936" s="2"/>
      <c r="C936" s="2"/>
    </row>
    <row r="937" spans="2:3" ht="15.75" customHeight="1" x14ac:dyDescent="0.3">
      <c r="B937" s="2"/>
      <c r="C937" s="2"/>
    </row>
    <row r="938" spans="2:3" ht="15.75" customHeight="1" x14ac:dyDescent="0.3">
      <c r="B938" s="2"/>
      <c r="C938" s="2"/>
    </row>
    <row r="939" spans="2:3" ht="15.75" customHeight="1" x14ac:dyDescent="0.3">
      <c r="B939" s="2"/>
      <c r="C939" s="2"/>
    </row>
    <row r="940" spans="2:3" ht="15.75" customHeight="1" x14ac:dyDescent="0.3">
      <c r="B940" s="2"/>
      <c r="C940" s="2"/>
    </row>
    <row r="941" spans="2:3" ht="15.75" customHeight="1" x14ac:dyDescent="0.3">
      <c r="B941" s="2"/>
      <c r="C941" s="2"/>
    </row>
    <row r="942" spans="2:3" ht="15.75" customHeight="1" x14ac:dyDescent="0.3">
      <c r="B942" s="2"/>
      <c r="C942" s="2"/>
    </row>
    <row r="943" spans="2:3" ht="15.75" customHeight="1" x14ac:dyDescent="0.3">
      <c r="B943" s="2"/>
      <c r="C943" s="2"/>
    </row>
    <row r="944" spans="2:3" ht="15.75" customHeight="1" x14ac:dyDescent="0.3">
      <c r="B944" s="2"/>
      <c r="C944" s="2"/>
    </row>
    <row r="945" spans="2:3" ht="15.75" customHeight="1" x14ac:dyDescent="0.3">
      <c r="B945" s="2"/>
      <c r="C945" s="2"/>
    </row>
    <row r="946" spans="2:3" ht="15.75" customHeight="1" x14ac:dyDescent="0.3">
      <c r="B946" s="2"/>
      <c r="C946" s="2"/>
    </row>
    <row r="947" spans="2:3" ht="15.75" customHeight="1" x14ac:dyDescent="0.3">
      <c r="B947" s="2"/>
      <c r="C947" s="2"/>
    </row>
    <row r="948" spans="2:3" ht="15.75" customHeight="1" x14ac:dyDescent="0.3">
      <c r="B948" s="2"/>
      <c r="C948" s="2"/>
    </row>
    <row r="949" spans="2:3" ht="15.75" customHeight="1" x14ac:dyDescent="0.3">
      <c r="B949" s="2"/>
      <c r="C949" s="2"/>
    </row>
    <row r="950" spans="2:3" ht="15.75" customHeight="1" x14ac:dyDescent="0.3">
      <c r="B950" s="2"/>
      <c r="C950" s="2"/>
    </row>
    <row r="951" spans="2:3" ht="15.75" customHeight="1" x14ac:dyDescent="0.3">
      <c r="B951" s="2"/>
      <c r="C951" s="2"/>
    </row>
    <row r="952" spans="2:3" ht="15.75" customHeight="1" x14ac:dyDescent="0.3">
      <c r="B952" s="2"/>
      <c r="C952" s="2"/>
    </row>
    <row r="953" spans="2:3" ht="15.75" customHeight="1" x14ac:dyDescent="0.3">
      <c r="B953" s="2"/>
      <c r="C953" s="2"/>
    </row>
    <row r="954" spans="2:3" ht="15.75" customHeight="1" x14ac:dyDescent="0.3">
      <c r="B954" s="2"/>
      <c r="C954" s="2"/>
    </row>
    <row r="955" spans="2:3" ht="15.75" customHeight="1" x14ac:dyDescent="0.3">
      <c r="B955" s="2"/>
      <c r="C955" s="2"/>
    </row>
    <row r="956" spans="2:3" ht="15.75" customHeight="1" x14ac:dyDescent="0.3">
      <c r="B956" s="2"/>
      <c r="C956" s="2"/>
    </row>
    <row r="957" spans="2:3" ht="15.75" customHeight="1" x14ac:dyDescent="0.3">
      <c r="B957" s="2"/>
      <c r="C957" s="2"/>
    </row>
    <row r="958" spans="2:3" ht="15.75" customHeight="1" x14ac:dyDescent="0.3">
      <c r="B958" s="2"/>
      <c r="C958" s="2"/>
    </row>
    <row r="959" spans="2:3" ht="15.75" customHeight="1" x14ac:dyDescent="0.3">
      <c r="B959" s="2"/>
      <c r="C959" s="2"/>
    </row>
    <row r="960" spans="2:3" ht="15.75" customHeight="1" x14ac:dyDescent="0.3">
      <c r="B960" s="2"/>
      <c r="C960" s="2"/>
    </row>
    <row r="961" spans="2:3" ht="15.75" customHeight="1" x14ac:dyDescent="0.3">
      <c r="B961" s="2"/>
      <c r="C961" s="2"/>
    </row>
    <row r="962" spans="2:3" ht="15.75" customHeight="1" x14ac:dyDescent="0.3">
      <c r="B962" s="2"/>
      <c r="C962" s="2"/>
    </row>
    <row r="963" spans="2:3" ht="15.75" customHeight="1" x14ac:dyDescent="0.3">
      <c r="B963" s="2"/>
      <c r="C963" s="2"/>
    </row>
    <row r="964" spans="2:3" ht="15.75" customHeight="1" x14ac:dyDescent="0.3">
      <c r="B964" s="2"/>
      <c r="C964" s="2"/>
    </row>
    <row r="965" spans="2:3" ht="15.75" customHeight="1" x14ac:dyDescent="0.3">
      <c r="B965" s="2"/>
      <c r="C965" s="2"/>
    </row>
    <row r="966" spans="2:3" ht="15.75" customHeight="1" x14ac:dyDescent="0.3">
      <c r="B966" s="2"/>
      <c r="C966" s="2"/>
    </row>
    <row r="967" spans="2:3" ht="15.75" customHeight="1" x14ac:dyDescent="0.3">
      <c r="B967" s="2"/>
      <c r="C967" s="2"/>
    </row>
    <row r="968" spans="2:3" ht="15.75" customHeight="1" x14ac:dyDescent="0.3">
      <c r="B968" s="2"/>
      <c r="C968" s="2"/>
    </row>
    <row r="969" spans="2:3" ht="15.75" customHeight="1" x14ac:dyDescent="0.3">
      <c r="B969" s="2"/>
      <c r="C969" s="2"/>
    </row>
    <row r="970" spans="2:3" ht="15.75" customHeight="1" x14ac:dyDescent="0.3">
      <c r="B970" s="2"/>
      <c r="C970" s="2"/>
    </row>
    <row r="971" spans="2:3" ht="15.75" customHeight="1" x14ac:dyDescent="0.3">
      <c r="B971" s="2"/>
      <c r="C971" s="2"/>
    </row>
    <row r="972" spans="2:3" ht="15.75" customHeight="1" x14ac:dyDescent="0.3">
      <c r="B972" s="2"/>
      <c r="C972" s="2"/>
    </row>
    <row r="973" spans="2:3" ht="15.75" customHeight="1" x14ac:dyDescent="0.3">
      <c r="B973" s="2"/>
      <c r="C973" s="2"/>
    </row>
    <row r="974" spans="2:3" ht="15.75" customHeight="1" x14ac:dyDescent="0.3">
      <c r="B974" s="2"/>
      <c r="C974" s="2"/>
    </row>
    <row r="975" spans="2:3" ht="15.75" customHeight="1" x14ac:dyDescent="0.3">
      <c r="B975" s="2"/>
      <c r="C975" s="2"/>
    </row>
    <row r="976" spans="2:3" ht="15.75" customHeight="1" x14ac:dyDescent="0.3">
      <c r="B976" s="2"/>
      <c r="C976" s="2"/>
    </row>
    <row r="977" spans="2:3" ht="15.75" customHeight="1" x14ac:dyDescent="0.3">
      <c r="B977" s="2"/>
      <c r="C977" s="2"/>
    </row>
    <row r="978" spans="2:3" ht="15.75" customHeight="1" x14ac:dyDescent="0.3">
      <c r="B978" s="2"/>
      <c r="C978" s="2"/>
    </row>
    <row r="979" spans="2:3" ht="15.75" customHeight="1" x14ac:dyDescent="0.3">
      <c r="B979" s="2"/>
      <c r="C979" s="2"/>
    </row>
    <row r="980" spans="2:3" ht="15.75" customHeight="1" x14ac:dyDescent="0.3">
      <c r="B980" s="2"/>
      <c r="C980" s="2"/>
    </row>
    <row r="981" spans="2:3" ht="15.75" customHeight="1" x14ac:dyDescent="0.3">
      <c r="B981" s="2"/>
      <c r="C981" s="2"/>
    </row>
    <row r="982" spans="2:3" ht="15.75" customHeight="1" x14ac:dyDescent="0.3">
      <c r="B982" s="2"/>
      <c r="C982" s="2"/>
    </row>
    <row r="983" spans="2:3" ht="15.75" customHeight="1" x14ac:dyDescent="0.3">
      <c r="B983" s="2"/>
      <c r="C983" s="2"/>
    </row>
    <row r="984" spans="2:3" ht="15.75" customHeight="1" x14ac:dyDescent="0.3">
      <c r="B984" s="2"/>
      <c r="C984" s="2"/>
    </row>
    <row r="985" spans="2:3" ht="15.75" customHeight="1" x14ac:dyDescent="0.3">
      <c r="B985" s="2"/>
      <c r="C985" s="2"/>
    </row>
    <row r="986" spans="2:3" ht="15.75" customHeight="1" x14ac:dyDescent="0.3">
      <c r="B986" s="2"/>
      <c r="C986" s="2"/>
    </row>
    <row r="987" spans="2:3" ht="15.75" customHeight="1" x14ac:dyDescent="0.3">
      <c r="B987" s="2"/>
      <c r="C987" s="2"/>
    </row>
    <row r="988" spans="2:3" ht="15.75" customHeight="1" x14ac:dyDescent="0.3">
      <c r="B988" s="2"/>
      <c r="C988" s="2"/>
    </row>
    <row r="989" spans="2:3" ht="15.75" customHeight="1" x14ac:dyDescent="0.3">
      <c r="B989" s="2"/>
      <c r="C989" s="2"/>
    </row>
    <row r="990" spans="2:3" ht="15.75" customHeight="1" x14ac:dyDescent="0.3">
      <c r="B990" s="2"/>
      <c r="C990" s="2"/>
    </row>
    <row r="991" spans="2:3" ht="15.75" customHeight="1" x14ac:dyDescent="0.3">
      <c r="B991" s="2"/>
      <c r="C991" s="2"/>
    </row>
    <row r="992" spans="2:3" ht="15.75" customHeight="1" x14ac:dyDescent="0.3">
      <c r="B992" s="2"/>
      <c r="C992" s="2"/>
    </row>
    <row r="993" spans="2:3" ht="15.75" customHeight="1" x14ac:dyDescent="0.3">
      <c r="B993" s="2"/>
      <c r="C993" s="2"/>
    </row>
    <row r="994" spans="2:3" ht="15.75" customHeight="1" x14ac:dyDescent="0.3">
      <c r="B994" s="2"/>
      <c r="C994" s="2"/>
    </row>
    <row r="995" spans="2:3" ht="15.75" customHeight="1" x14ac:dyDescent="0.3">
      <c r="B995" s="2"/>
      <c r="C995" s="2"/>
    </row>
    <row r="996" spans="2:3" ht="15.75" customHeight="1" x14ac:dyDescent="0.3">
      <c r="B996" s="2"/>
      <c r="C996" s="2"/>
    </row>
    <row r="997" spans="2:3" ht="15.75" customHeight="1" x14ac:dyDescent="0.3">
      <c r="B997" s="2"/>
      <c r="C997" s="2"/>
    </row>
    <row r="998" spans="2:3" ht="15.75" customHeight="1" x14ac:dyDescent="0.3">
      <c r="B998" s="2"/>
      <c r="C998" s="2"/>
    </row>
    <row r="999" spans="2:3" ht="15.75" customHeight="1" x14ac:dyDescent="0.3">
      <c r="B999" s="2"/>
      <c r="C999" s="2"/>
    </row>
    <row r="1000" spans="2:3" ht="15.75" customHeight="1" x14ac:dyDescent="0.3">
      <c r="B1000" s="2"/>
      <c r="C1000" s="2"/>
    </row>
    <row r="1001" spans="2:3" ht="15.75" customHeight="1" x14ac:dyDescent="0.3">
      <c r="B1001" s="2"/>
      <c r="C1001" s="2"/>
    </row>
  </sheetData>
  <mergeCells count="51">
    <mergeCell ref="G70:I70"/>
    <mergeCell ref="R44:S44"/>
    <mergeCell ref="M61:Y61"/>
    <mergeCell ref="M65:AF65"/>
    <mergeCell ref="T44:T45"/>
    <mergeCell ref="U44:U45"/>
    <mergeCell ref="V44:V45"/>
    <mergeCell ref="W44:W45"/>
    <mergeCell ref="AR25:AR26"/>
    <mergeCell ref="X24:AR24"/>
    <mergeCell ref="F28:J28"/>
    <mergeCell ref="X25:Y25"/>
    <mergeCell ref="Z25:Z26"/>
    <mergeCell ref="AA25:AA26"/>
    <mergeCell ref="AB25:AB26"/>
    <mergeCell ref="AP25:AP26"/>
    <mergeCell ref="AO25:AO26"/>
    <mergeCell ref="AI25:AI26"/>
    <mergeCell ref="AJ25:AJ26"/>
    <mergeCell ref="AK25:AL25"/>
    <mergeCell ref="AM25:AM26"/>
    <mergeCell ref="AN25:AN26"/>
    <mergeCell ref="AD25:AD26"/>
    <mergeCell ref="AE25:AE26"/>
    <mergeCell ref="A2:C2"/>
    <mergeCell ref="A31:H31"/>
    <mergeCell ref="B35:E35"/>
    <mergeCell ref="A39:E39"/>
    <mergeCell ref="AQ25:AQ26"/>
    <mergeCell ref="AF25:AF26"/>
    <mergeCell ref="AG25:AG26"/>
    <mergeCell ref="AH25:AH26"/>
    <mergeCell ref="AC25:AC26"/>
    <mergeCell ref="E2:K4"/>
    <mergeCell ref="E5:K7"/>
    <mergeCell ref="A78:F78"/>
    <mergeCell ref="L43:N43"/>
    <mergeCell ref="E1:K1"/>
    <mergeCell ref="A1:C1"/>
    <mergeCell ref="A63:E63"/>
    <mergeCell ref="K65:L65"/>
    <mergeCell ref="G69:I69"/>
    <mergeCell ref="A71:E71"/>
    <mergeCell ref="A77:F77"/>
    <mergeCell ref="A43:E43"/>
    <mergeCell ref="A47:E47"/>
    <mergeCell ref="A51:E51"/>
    <mergeCell ref="F55:H55"/>
    <mergeCell ref="A57:E57"/>
    <mergeCell ref="F40:H40"/>
    <mergeCell ref="F41:H41"/>
  </mergeCells>
  <phoneticPr fontId="28" type="noConversion"/>
  <conditionalFormatting sqref="B32:D33">
    <cfRule type="cellIs" dxfId="2" priority="1" operator="notBetween">
      <formula>0.7</formula>
      <formula>4</formula>
    </cfRule>
  </conditionalFormatting>
  <pageMargins left="0.7" right="0.7" top="0.75" bottom="0.75" header="0" footer="0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57" r:id="rId4">
          <objectPr defaultSize="0" autoPict="0" r:id="rId5">
            <anchor moveWithCells="1" sizeWithCells="1">
              <from>
                <xdr:col>14</xdr:col>
                <xdr:colOff>297180</xdr:colOff>
                <xdr:row>65</xdr:row>
                <xdr:rowOff>60960</xdr:rowOff>
              </from>
              <to>
                <xdr:col>14</xdr:col>
                <xdr:colOff>403860</xdr:colOff>
                <xdr:row>65</xdr:row>
                <xdr:rowOff>160020</xdr:rowOff>
              </to>
            </anchor>
          </objectPr>
        </oleObject>
      </mc:Choice>
      <mc:Fallback>
        <oleObject progId="Equation.3" shapeId="105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8953"/>
  </sheetPr>
  <dimension ref="A1:X1040"/>
  <sheetViews>
    <sheetView topLeftCell="A241" zoomScale="72" zoomScaleNormal="130" workbookViewId="0">
      <selection activeCell="B118" sqref="B118"/>
    </sheetView>
  </sheetViews>
  <sheetFormatPr baseColWidth="10" defaultColWidth="14.44140625" defaultRowHeight="15" customHeight="1" x14ac:dyDescent="0.3"/>
  <cols>
    <col min="1" max="1" width="99.33203125" customWidth="1"/>
    <col min="2" max="2" width="21.109375" customWidth="1"/>
    <col min="3" max="3" width="13" customWidth="1"/>
    <col min="4" max="4" width="14" customWidth="1"/>
    <col min="5" max="10" width="13" customWidth="1"/>
    <col min="11" max="22" width="10.6640625" customWidth="1"/>
    <col min="23" max="23" width="15.88671875" customWidth="1"/>
    <col min="24" max="34" width="10.6640625" customWidth="1"/>
  </cols>
  <sheetData>
    <row r="1" spans="1:10" ht="26.25" customHeight="1" x14ac:dyDescent="0.45">
      <c r="A1" s="350" t="s">
        <v>988</v>
      </c>
      <c r="B1" s="141"/>
      <c r="C1" s="141"/>
    </row>
    <row r="2" spans="1:10" ht="14.4" x14ac:dyDescent="0.3">
      <c r="A2" s="289" t="s">
        <v>56</v>
      </c>
      <c r="B2" s="353">
        <f>+'DATOS Y SISTEMA IMPULSIÓN RÍO'!B16</f>
        <v>13353.12</v>
      </c>
      <c r="C2" s="297" t="s">
        <v>3</v>
      </c>
      <c r="D2" t="s">
        <v>1025</v>
      </c>
    </row>
    <row r="3" spans="1:10" ht="14.4" x14ac:dyDescent="0.3">
      <c r="A3" s="289" t="s">
        <v>59</v>
      </c>
      <c r="B3" s="297"/>
      <c r="C3" s="297"/>
    </row>
    <row r="4" spans="1:10" ht="14.4" x14ac:dyDescent="0.3">
      <c r="A4" s="343" t="s">
        <v>60</v>
      </c>
      <c r="B4" s="351">
        <f>+'DATOS Y SISTEMA IMPULSIÓN RÍO'!B20</f>
        <v>1.2</v>
      </c>
      <c r="C4" s="297"/>
    </row>
    <row r="5" spans="1:10" ht="14.4" x14ac:dyDescent="0.3">
      <c r="A5" s="343" t="s">
        <v>61</v>
      </c>
      <c r="B5" s="351">
        <f>+'DATOS Y SISTEMA IMPULSIÓN RÍO'!B21</f>
        <v>1.5</v>
      </c>
      <c r="C5" s="297"/>
    </row>
    <row r="6" spans="1:10" ht="14.4" x14ac:dyDescent="0.3">
      <c r="A6" s="343" t="s">
        <v>62</v>
      </c>
      <c r="B6" s="351">
        <f>+'DATOS Y SISTEMA IMPULSIÓN RÍO'!B22</f>
        <v>1.05</v>
      </c>
      <c r="C6" s="297"/>
    </row>
    <row r="7" spans="1:10" ht="14.4" x14ac:dyDescent="0.3">
      <c r="A7" s="352" t="s">
        <v>63</v>
      </c>
      <c r="B7" s="354">
        <f>+B2*B4*B6*1000/86400</f>
        <v>194.73300000000003</v>
      </c>
      <c r="C7" s="297" t="s">
        <v>26</v>
      </c>
    </row>
    <row r="8" spans="1:10" ht="14.4" x14ac:dyDescent="0.3">
      <c r="D8" t="s">
        <v>67</v>
      </c>
    </row>
    <row r="9" spans="1:10" ht="14.4" x14ac:dyDescent="0.3">
      <c r="A9" s="681" t="s">
        <v>68</v>
      </c>
      <c r="B9" s="681"/>
      <c r="C9" s="681"/>
      <c r="D9" t="s">
        <v>70</v>
      </c>
      <c r="G9" s="112" t="s">
        <v>132</v>
      </c>
      <c r="I9" s="139" t="s">
        <v>587</v>
      </c>
    </row>
    <row r="10" spans="1:10" ht="14.4" x14ac:dyDescent="0.3">
      <c r="A10" s="352" t="s">
        <v>71</v>
      </c>
      <c r="B10" s="356">
        <v>8.6</v>
      </c>
      <c r="C10" s="297" t="s">
        <v>72</v>
      </c>
    </row>
    <row r="11" spans="1:10" ht="14.4" x14ac:dyDescent="0.3">
      <c r="A11" s="343" t="s">
        <v>75</v>
      </c>
      <c r="B11" s="355">
        <f>+(B7/1000)/(B10/100)</f>
        <v>2.2643372093023264</v>
      </c>
      <c r="C11" s="297" t="s">
        <v>80</v>
      </c>
      <c r="D11" s="134">
        <v>0.28499999999999998</v>
      </c>
      <c r="G11" s="11">
        <f>+G12+D11</f>
        <v>0.72334025529299451</v>
      </c>
      <c r="H11" s="133" t="s">
        <v>586</v>
      </c>
      <c r="I11" s="24">
        <f>+H12+D11</f>
        <v>2.1497999999999999</v>
      </c>
      <c r="J11" s="133" t="s">
        <v>586</v>
      </c>
    </row>
    <row r="12" spans="1:10" ht="14.4" x14ac:dyDescent="0.3">
      <c r="A12" s="343" t="s">
        <v>82</v>
      </c>
      <c r="B12" s="355">
        <f>+B11^0.5</f>
        <v>1.5047714807579011</v>
      </c>
      <c r="C12" s="297" t="s">
        <v>41</v>
      </c>
      <c r="G12" s="25">
        <f>+B26</f>
        <v>0.43834025529299453</v>
      </c>
      <c r="H12" s="135">
        <f>+H57+H52</f>
        <v>1.8648</v>
      </c>
    </row>
    <row r="13" spans="1:10" ht="15" customHeight="1" x14ac:dyDescent="0.3">
      <c r="C13" s="13">
        <f>D14+D11</f>
        <v>3.0025999999999997</v>
      </c>
    </row>
    <row r="14" spans="1:10" ht="14.4" x14ac:dyDescent="0.3">
      <c r="A14" s="352" t="s">
        <v>85</v>
      </c>
      <c r="B14" s="356">
        <v>31.6</v>
      </c>
      <c r="C14" s="297" t="s">
        <v>86</v>
      </c>
      <c r="D14" s="108">
        <f>+B15</f>
        <v>2.7175999999999996</v>
      </c>
    </row>
    <row r="15" spans="1:10" ht="14.4" x14ac:dyDescent="0.3">
      <c r="A15" s="343" t="s">
        <v>87</v>
      </c>
      <c r="B15" s="351">
        <f>((B7/1000)*(B14))/B11</f>
        <v>2.7175999999999996</v>
      </c>
      <c r="C15" s="297" t="s">
        <v>41</v>
      </c>
    </row>
    <row r="18" spans="1:24" ht="14.4" x14ac:dyDescent="0.3">
      <c r="E18" s="14">
        <f>+F20</f>
        <v>1.5047714807579011</v>
      </c>
    </row>
    <row r="20" spans="1:24" ht="14.4" x14ac:dyDescent="0.3">
      <c r="F20" s="12">
        <f>+B12</f>
        <v>1.5047714807579011</v>
      </c>
    </row>
    <row r="21" spans="1:24" ht="15.75" customHeight="1" x14ac:dyDescent="0.3"/>
    <row r="22" spans="1:24" ht="15.75" customHeight="1" x14ac:dyDescent="0.3"/>
    <row r="23" spans="1:24" ht="15.75" customHeight="1" x14ac:dyDescent="0.3"/>
    <row r="24" spans="1:24" ht="15.75" customHeight="1" x14ac:dyDescent="0.3">
      <c r="A24" s="620" t="s">
        <v>91</v>
      </c>
      <c r="B24" s="620"/>
      <c r="C24" s="620"/>
    </row>
    <row r="25" spans="1:24" ht="15.75" customHeight="1" x14ac:dyDescent="0.3">
      <c r="A25" s="343" t="s">
        <v>92</v>
      </c>
      <c r="B25" s="358">
        <v>0.30499999999999999</v>
      </c>
      <c r="C25" s="297" t="s">
        <v>41</v>
      </c>
      <c r="D25">
        <f>B25/2</f>
        <v>0.1525</v>
      </c>
      <c r="L25" s="679" t="s">
        <v>96</v>
      </c>
      <c r="M25" s="680"/>
      <c r="N25" s="679" t="s">
        <v>101</v>
      </c>
      <c r="O25" s="680"/>
      <c r="P25" s="16">
        <f>B7</f>
        <v>194.73300000000003</v>
      </c>
    </row>
    <row r="26" spans="1:24" ht="15.75" customHeight="1" x14ac:dyDescent="0.3">
      <c r="A26" s="343" t="s">
        <v>102</v>
      </c>
      <c r="B26" s="355">
        <f>+((B7/1000)/(2.2*B25))^(0.666666666666667)</f>
        <v>0.43834025529299453</v>
      </c>
      <c r="C26" s="297" t="s">
        <v>41</v>
      </c>
      <c r="E26">
        <f>0.6+0.159</f>
        <v>0.75900000000000001</v>
      </c>
      <c r="L26" s="17" t="s">
        <v>104</v>
      </c>
      <c r="M26" s="17" t="s">
        <v>41</v>
      </c>
      <c r="N26" s="17" t="s">
        <v>109</v>
      </c>
      <c r="O26" s="17" t="s">
        <v>110</v>
      </c>
      <c r="P26" s="18" t="s">
        <v>111</v>
      </c>
    </row>
    <row r="27" spans="1:24" ht="15.75" customHeight="1" x14ac:dyDescent="0.3">
      <c r="A27" s="352" t="s">
        <v>112</v>
      </c>
      <c r="B27" s="358">
        <v>0.22900000000000001</v>
      </c>
      <c r="C27" s="297" t="s">
        <v>41</v>
      </c>
      <c r="D27">
        <f>0.298-0.21</f>
        <v>8.7999999999999995E-2</v>
      </c>
      <c r="L27" s="109" t="s">
        <v>114</v>
      </c>
      <c r="M27" s="109">
        <v>2.5000000000000001E-2</v>
      </c>
      <c r="N27" s="109"/>
      <c r="O27" s="121"/>
    </row>
    <row r="28" spans="1:24" ht="15.75" customHeight="1" x14ac:dyDescent="0.3">
      <c r="A28" s="352" t="s">
        <v>115</v>
      </c>
      <c r="B28" s="358">
        <v>7.5999999999999998E-2</v>
      </c>
      <c r="C28" s="297" t="s">
        <v>41</v>
      </c>
      <c r="L28" s="109" t="s">
        <v>119</v>
      </c>
      <c r="M28" s="109">
        <v>7.5999999999999998E-2</v>
      </c>
      <c r="N28" s="109">
        <v>0.85</v>
      </c>
      <c r="O28" s="109">
        <v>53.8</v>
      </c>
      <c r="P28" s="20">
        <f t="shared" ref="P28:P40" si="0">AVERAGE(N28:O28)</f>
        <v>27.324999999999999</v>
      </c>
    </row>
    <row r="29" spans="1:24" ht="15.75" customHeight="1" x14ac:dyDescent="0.3">
      <c r="A29" s="343" t="s">
        <v>121</v>
      </c>
      <c r="B29" s="355">
        <f>0.6*B26</f>
        <v>0.26300415317579673</v>
      </c>
      <c r="C29" s="297" t="s">
        <v>41</v>
      </c>
      <c r="D29" s="21">
        <f>B26-B30</f>
        <v>0.13150207658789836</v>
      </c>
      <c r="E29" s="21">
        <f>D29+B28</f>
        <v>0.20750207658789838</v>
      </c>
      <c r="H29" s="359" t="s">
        <v>132</v>
      </c>
      <c r="L29" s="17" t="s">
        <v>133</v>
      </c>
      <c r="M29" s="17">
        <v>0.152</v>
      </c>
      <c r="N29" s="17">
        <v>1.52</v>
      </c>
      <c r="O29" s="17">
        <v>110.4</v>
      </c>
      <c r="P29" s="20">
        <f t="shared" si="0"/>
        <v>55.96</v>
      </c>
    </row>
    <row r="30" spans="1:24" ht="15.75" customHeight="1" x14ac:dyDescent="0.3">
      <c r="A30" s="343" t="s">
        <v>134</v>
      </c>
      <c r="B30" s="355">
        <f>0.7*B26</f>
        <v>0.30683817870509617</v>
      </c>
      <c r="C30" s="297" t="s">
        <v>41</v>
      </c>
      <c r="L30" s="17" t="s">
        <v>135</v>
      </c>
      <c r="M30" s="22">
        <v>0.22900000000000001</v>
      </c>
      <c r="N30" s="23">
        <v>2.5499999999999998</v>
      </c>
      <c r="O30" s="23">
        <v>251.9</v>
      </c>
      <c r="P30" s="20">
        <f t="shared" si="0"/>
        <v>127.22500000000001</v>
      </c>
      <c r="X30">
        <f>25.9/100</f>
        <v>0.25900000000000001</v>
      </c>
    </row>
    <row r="31" spans="1:24" ht="15.75" customHeight="1" x14ac:dyDescent="0.3">
      <c r="A31" s="343" t="s">
        <v>144</v>
      </c>
      <c r="B31" s="351">
        <f>+B26-B30-B28</f>
        <v>5.5502076587898366E-2</v>
      </c>
      <c r="C31" s="297" t="s">
        <v>41</v>
      </c>
      <c r="L31" s="602" t="s">
        <v>157</v>
      </c>
      <c r="M31" s="603">
        <v>0.30499999999999999</v>
      </c>
      <c r="N31" s="604">
        <v>3.11</v>
      </c>
      <c r="O31" s="604">
        <v>455.6</v>
      </c>
      <c r="P31" s="605">
        <f t="shared" si="0"/>
        <v>229.35500000000002</v>
      </c>
    </row>
    <row r="32" spans="1:24" ht="15.75" customHeight="1" x14ac:dyDescent="0.3">
      <c r="A32" s="343" t="s">
        <v>158</v>
      </c>
      <c r="B32" s="357">
        <f>+B7/1000/(B25*B29)</f>
        <v>2.4275998867297446</v>
      </c>
      <c r="C32" s="297" t="s">
        <v>51</v>
      </c>
      <c r="D32" s="682" t="str">
        <f>+IF(B32&lt;=2,"No sirve como Mezclador Rápidos","Se pueda usar como Mezclador Rápido")</f>
        <v>Se pueda usar como Mezclador Rápido</v>
      </c>
      <c r="E32" s="683"/>
      <c r="F32" s="683"/>
      <c r="G32" s="265"/>
      <c r="H32" s="24">
        <f>+B25</f>
        <v>0.30499999999999999</v>
      </c>
      <c r="L32" s="17" t="s">
        <v>159</v>
      </c>
      <c r="M32" s="22">
        <v>0.45700000000000002</v>
      </c>
      <c r="N32" s="23">
        <v>4.25</v>
      </c>
      <c r="O32" s="23">
        <v>696.2</v>
      </c>
      <c r="P32" s="20">
        <f t="shared" si="0"/>
        <v>350.22500000000002</v>
      </c>
      <c r="X32">
        <f>45.7/100</f>
        <v>0.45700000000000002</v>
      </c>
    </row>
    <row r="33" spans="1:24" ht="15.75" customHeight="1" x14ac:dyDescent="0.3">
      <c r="A33" s="352" t="s">
        <v>160</v>
      </c>
      <c r="B33" s="356">
        <v>1.3720000000000001</v>
      </c>
      <c r="C33" s="297" t="s">
        <v>41</v>
      </c>
      <c r="L33" s="17" t="s">
        <v>161</v>
      </c>
      <c r="M33" s="22">
        <v>0.61</v>
      </c>
      <c r="N33" s="23">
        <v>11.89</v>
      </c>
      <c r="O33" s="23">
        <v>936.7</v>
      </c>
      <c r="P33" s="20">
        <f t="shared" si="0"/>
        <v>474.29500000000002</v>
      </c>
    </row>
    <row r="34" spans="1:24" ht="15.75" customHeight="1" x14ac:dyDescent="0.3">
      <c r="A34" s="343" t="s">
        <v>162</v>
      </c>
      <c r="B34" s="355">
        <f>2/3*B33</f>
        <v>0.91466666666666674</v>
      </c>
      <c r="C34" s="297" t="s">
        <v>41</v>
      </c>
      <c r="L34" s="17" t="s">
        <v>163</v>
      </c>
      <c r="M34" s="22">
        <v>0.91500000000000004</v>
      </c>
      <c r="N34" s="23">
        <v>17.260000000000002</v>
      </c>
      <c r="O34" s="23">
        <v>1426.3</v>
      </c>
      <c r="P34" s="20">
        <f t="shared" si="0"/>
        <v>721.78</v>
      </c>
    </row>
    <row r="35" spans="1:24" ht="15.75" customHeight="1" x14ac:dyDescent="0.3">
      <c r="L35" s="17" t="s">
        <v>164</v>
      </c>
      <c r="M35" s="22">
        <v>1.22</v>
      </c>
      <c r="N35" s="23">
        <v>36.79</v>
      </c>
      <c r="O35" s="23">
        <v>1921.5</v>
      </c>
      <c r="P35" s="20">
        <f t="shared" si="0"/>
        <v>979.14499999999998</v>
      </c>
      <c r="X35">
        <f>15.2/100</f>
        <v>0.152</v>
      </c>
    </row>
    <row r="36" spans="1:24" ht="15.75" customHeight="1" x14ac:dyDescent="0.3">
      <c r="A36" s="106"/>
      <c r="B36" s="106"/>
      <c r="C36" s="106"/>
      <c r="D36" s="106"/>
      <c r="E36" s="106"/>
      <c r="F36" s="135">
        <f>+G11</f>
        <v>0.72334025529299451</v>
      </c>
      <c r="H36" s="12">
        <f>+B26</f>
        <v>0.43834025529299453</v>
      </c>
      <c r="L36" s="17" t="s">
        <v>165</v>
      </c>
      <c r="M36" s="22">
        <v>1.5249999999999999</v>
      </c>
      <c r="N36" s="23">
        <v>62.8</v>
      </c>
      <c r="O36" s="23">
        <v>2422</v>
      </c>
      <c r="P36" s="20">
        <f t="shared" si="0"/>
        <v>1242.4000000000001</v>
      </c>
    </row>
    <row r="37" spans="1:24" ht="15.75" customHeight="1" x14ac:dyDescent="0.3">
      <c r="A37" s="667" t="s">
        <v>489</v>
      </c>
      <c r="B37" s="668"/>
      <c r="C37" s="669"/>
      <c r="D37" t="s">
        <v>1026</v>
      </c>
      <c r="J37" s="25">
        <f>+B28</f>
        <v>7.5999999999999998E-2</v>
      </c>
      <c r="L37" s="17" t="s">
        <v>166</v>
      </c>
      <c r="M37" s="22">
        <v>1.83</v>
      </c>
      <c r="N37" s="23">
        <v>74.400000000000006</v>
      </c>
      <c r="O37" s="23">
        <v>2929</v>
      </c>
      <c r="P37" s="20">
        <f t="shared" si="0"/>
        <v>1501.7</v>
      </c>
    </row>
    <row r="38" spans="1:24" ht="15.75" customHeight="1" x14ac:dyDescent="0.3">
      <c r="A38" s="670" t="s">
        <v>431</v>
      </c>
      <c r="B38" s="671"/>
      <c r="C38" s="672"/>
      <c r="H38" s="25">
        <f>+B27</f>
        <v>0.22900000000000001</v>
      </c>
      <c r="I38" s="25">
        <f>+B30</f>
        <v>0.30683817870509617</v>
      </c>
      <c r="L38" s="17" t="s">
        <v>167</v>
      </c>
      <c r="M38" s="22">
        <v>2.1349999999999998</v>
      </c>
      <c r="N38" s="23">
        <v>115.4</v>
      </c>
      <c r="O38" s="23">
        <v>3440</v>
      </c>
      <c r="P38" s="20">
        <f t="shared" si="0"/>
        <v>1777.7</v>
      </c>
      <c r="X38">
        <f>0.178/2</f>
        <v>8.8999999999999996E-2</v>
      </c>
    </row>
    <row r="39" spans="1:24" ht="15.75" customHeight="1" x14ac:dyDescent="0.3">
      <c r="A39" s="361" t="s">
        <v>415</v>
      </c>
      <c r="B39" s="363">
        <f>B40/1000</f>
        <v>0.19473300000000004</v>
      </c>
      <c r="C39" s="364" t="s">
        <v>24</v>
      </c>
      <c r="H39" s="11">
        <f>+B29</f>
        <v>0.26300415317579673</v>
      </c>
      <c r="L39" s="17" t="s">
        <v>168</v>
      </c>
      <c r="M39" s="22">
        <v>2.44</v>
      </c>
      <c r="N39" s="23">
        <v>130.69999999999999</v>
      </c>
      <c r="O39" s="23">
        <v>3950</v>
      </c>
      <c r="P39" s="20">
        <f t="shared" si="0"/>
        <v>2040.35</v>
      </c>
    </row>
    <row r="40" spans="1:24" ht="15.75" customHeight="1" x14ac:dyDescent="0.3">
      <c r="A40" s="361" t="s">
        <v>63</v>
      </c>
      <c r="B40" s="366">
        <f>B7</f>
        <v>194.73300000000003</v>
      </c>
      <c r="C40" s="364" t="s">
        <v>26</v>
      </c>
      <c r="I40" s="21"/>
      <c r="L40" s="17" t="s">
        <v>169</v>
      </c>
      <c r="M40" s="22">
        <v>3.05</v>
      </c>
      <c r="N40" s="23">
        <v>200</v>
      </c>
      <c r="O40" s="23">
        <v>5660</v>
      </c>
      <c r="P40" s="20">
        <f t="shared" si="0"/>
        <v>2930</v>
      </c>
    </row>
    <row r="41" spans="1:24" ht="15.75" customHeight="1" x14ac:dyDescent="0.3">
      <c r="A41" s="361" t="s">
        <v>426</v>
      </c>
      <c r="B41" s="364">
        <v>0.6</v>
      </c>
      <c r="C41" s="297"/>
      <c r="I41" s="21"/>
      <c r="L41" s="101"/>
      <c r="M41" s="102"/>
      <c r="N41" s="103"/>
      <c r="O41" s="103"/>
      <c r="P41" s="104"/>
    </row>
    <row r="42" spans="1:24" ht="15.75" customHeight="1" x14ac:dyDescent="0.3">
      <c r="A42" s="361" t="s">
        <v>427</v>
      </c>
      <c r="B42" s="364">
        <v>90</v>
      </c>
      <c r="C42" s="364" t="s">
        <v>428</v>
      </c>
      <c r="I42" s="21"/>
      <c r="L42" s="101"/>
      <c r="M42" s="102"/>
      <c r="N42" s="103"/>
      <c r="O42" s="103"/>
      <c r="P42" s="104"/>
    </row>
    <row r="43" spans="1:24" ht="15.75" customHeight="1" x14ac:dyDescent="0.3">
      <c r="A43" s="361" t="s">
        <v>429</v>
      </c>
      <c r="B43" s="364">
        <v>9.81</v>
      </c>
      <c r="C43" s="364" t="s">
        <v>430</v>
      </c>
      <c r="I43" s="21"/>
      <c r="L43" s="101"/>
      <c r="M43" s="102"/>
      <c r="N43" s="103"/>
      <c r="O43" s="103"/>
      <c r="P43" s="104"/>
    </row>
    <row r="44" spans="1:24" ht="15.75" customHeight="1" x14ac:dyDescent="0.3">
      <c r="I44" s="21"/>
      <c r="L44" s="101"/>
      <c r="M44" s="102"/>
      <c r="N44" s="103"/>
      <c r="O44" s="103"/>
      <c r="P44" s="104"/>
    </row>
    <row r="45" spans="1:24" ht="15.75" customHeight="1" x14ac:dyDescent="0.3">
      <c r="A45" s="673" t="s">
        <v>490</v>
      </c>
      <c r="B45" s="673"/>
      <c r="C45" s="673"/>
      <c r="D45" s="673"/>
      <c r="I45" s="21"/>
      <c r="L45" s="101"/>
      <c r="M45" s="102"/>
      <c r="N45" s="103"/>
      <c r="O45" s="103"/>
      <c r="P45" s="104"/>
    </row>
    <row r="46" spans="1:24" ht="15.75" customHeight="1" x14ac:dyDescent="0.3">
      <c r="A46" s="289" t="s">
        <v>432</v>
      </c>
      <c r="B46" s="368">
        <f>ROUNDUP((B39/((8/15)*B41*((2*9.81)^(1/2))*E46))^(2/5),4)</f>
        <v>0.37279999999999996</v>
      </c>
      <c r="C46" s="297" t="s">
        <v>41</v>
      </c>
      <c r="D46" s="297" t="s">
        <v>433</v>
      </c>
      <c r="E46" s="21">
        <f>TAN(B42/2)</f>
        <v>1.6197751905438615</v>
      </c>
      <c r="I46" s="21"/>
      <c r="L46" s="101"/>
      <c r="M46" s="102"/>
      <c r="N46" s="103"/>
      <c r="O46" s="103"/>
      <c r="P46" s="104"/>
    </row>
    <row r="47" spans="1:24" ht="15.75" customHeight="1" x14ac:dyDescent="0.3">
      <c r="A47" s="289" t="s">
        <v>434</v>
      </c>
      <c r="B47" s="369">
        <v>0.3</v>
      </c>
      <c r="C47" s="297"/>
      <c r="D47" s="297"/>
      <c r="E47" s="101"/>
      <c r="I47" s="21"/>
      <c r="L47" s="101"/>
      <c r="M47" s="102"/>
      <c r="N47" s="103"/>
      <c r="O47" s="103"/>
      <c r="P47" s="104"/>
    </row>
    <row r="48" spans="1:24" ht="15.75" customHeight="1" x14ac:dyDescent="0.3">
      <c r="A48" s="289" t="s">
        <v>435</v>
      </c>
      <c r="B48" s="368">
        <f>B46*2</f>
        <v>0.74559999999999993</v>
      </c>
      <c r="C48" s="297" t="s">
        <v>41</v>
      </c>
      <c r="D48" s="297"/>
      <c r="E48" s="101"/>
      <c r="I48" s="21"/>
      <c r="L48" s="101"/>
      <c r="M48" s="102"/>
      <c r="N48" s="103"/>
      <c r="O48" s="103"/>
      <c r="P48" s="104"/>
    </row>
    <row r="49" spans="1:16" ht="15.75" customHeight="1" x14ac:dyDescent="0.3">
      <c r="A49" s="289" t="s">
        <v>436</v>
      </c>
      <c r="B49" s="369">
        <v>0.3</v>
      </c>
      <c r="C49" s="297" t="s">
        <v>41</v>
      </c>
      <c r="D49" s="297"/>
      <c r="E49" s="101"/>
      <c r="H49" s="137">
        <f>2*B49</f>
        <v>0.6</v>
      </c>
      <c r="I49" s="21"/>
      <c r="L49" s="101"/>
      <c r="M49" s="102"/>
      <c r="N49" s="103"/>
      <c r="O49" s="103"/>
      <c r="P49" s="104"/>
    </row>
    <row r="50" spans="1:16" ht="15.75" customHeight="1" x14ac:dyDescent="0.3">
      <c r="A50" s="289" t="s">
        <v>437</v>
      </c>
      <c r="B50" s="368">
        <f>B48</f>
        <v>0.74559999999999993</v>
      </c>
      <c r="C50" s="297" t="s">
        <v>41</v>
      </c>
      <c r="D50" s="297"/>
      <c r="E50" s="101"/>
      <c r="I50" s="21"/>
      <c r="L50" s="101"/>
      <c r="M50" s="102"/>
      <c r="N50" s="103"/>
      <c r="O50" s="103"/>
      <c r="P50" s="104"/>
    </row>
    <row r="51" spans="1:16" ht="15.75" customHeight="1" x14ac:dyDescent="0.3">
      <c r="A51" s="289" t="s">
        <v>438</v>
      </c>
      <c r="B51" s="368">
        <f>ROUNDUP(B50+B48,3)</f>
        <v>1.492</v>
      </c>
      <c r="C51" s="297" t="s">
        <v>41</v>
      </c>
      <c r="D51" s="297"/>
      <c r="E51" s="101"/>
      <c r="F51" s="135">
        <f>+B49</f>
        <v>0.3</v>
      </c>
      <c r="I51" s="21"/>
      <c r="L51" s="101"/>
      <c r="M51" s="102"/>
      <c r="N51" s="103"/>
      <c r="O51" s="103"/>
      <c r="P51" s="104"/>
    </row>
    <row r="52" spans="1:16" ht="15.75" customHeight="1" x14ac:dyDescent="0.3">
      <c r="A52" s="289" t="s">
        <v>439</v>
      </c>
      <c r="B52" s="368">
        <v>0.2</v>
      </c>
      <c r="C52" s="297" t="s">
        <v>41</v>
      </c>
      <c r="D52" s="297"/>
      <c r="E52" s="101"/>
      <c r="H52" s="136">
        <f>+B46</f>
        <v>0.37279999999999996</v>
      </c>
      <c r="I52" s="135">
        <f>+B47</f>
        <v>0.3</v>
      </c>
      <c r="L52" s="101"/>
      <c r="M52" s="102"/>
      <c r="N52" s="103"/>
      <c r="O52" s="103"/>
      <c r="P52" s="104"/>
    </row>
    <row r="53" spans="1:16" ht="15.75" customHeight="1" x14ac:dyDescent="0.3">
      <c r="A53" s="289" t="s">
        <v>440</v>
      </c>
      <c r="B53" s="368">
        <f>ROUNDUP(2*B49+B47*2,2)</f>
        <v>1.2</v>
      </c>
      <c r="C53" s="297" t="s">
        <v>41</v>
      </c>
      <c r="D53" s="297"/>
      <c r="E53" s="101"/>
      <c r="I53" s="21"/>
      <c r="L53" s="101"/>
      <c r="M53" s="102"/>
      <c r="N53" s="103"/>
      <c r="O53" s="103"/>
      <c r="P53" s="104"/>
    </row>
    <row r="54" spans="1:16" ht="15.75" customHeight="1" x14ac:dyDescent="0.3">
      <c r="A54" s="360" t="s">
        <v>441</v>
      </c>
      <c r="B54" s="365" t="s">
        <v>442</v>
      </c>
      <c r="C54" s="351">
        <f>ROUNDUP((B39/B48),4)</f>
        <v>0.26119999999999999</v>
      </c>
      <c r="D54" s="365" t="s">
        <v>443</v>
      </c>
      <c r="E54" s="105" t="s">
        <v>190</v>
      </c>
      <c r="I54" s="21"/>
      <c r="L54" s="101"/>
      <c r="M54" s="102"/>
      <c r="N54" s="103"/>
      <c r="O54" s="103"/>
      <c r="P54" s="104"/>
    </row>
    <row r="55" spans="1:16" ht="15.75" customHeight="1" x14ac:dyDescent="0.3">
      <c r="A55" s="360" t="s">
        <v>444</v>
      </c>
      <c r="B55" s="365" t="s">
        <v>445</v>
      </c>
      <c r="C55" s="370">
        <f>(((C54)^2)/B43)^(1/3)</f>
        <v>0.19087942259909169</v>
      </c>
      <c r="D55" s="297"/>
      <c r="I55" s="21"/>
      <c r="J55" s="24">
        <f>+H57+H52</f>
        <v>1.8648</v>
      </c>
      <c r="K55" s="138" t="s">
        <v>588</v>
      </c>
      <c r="L55" s="101"/>
      <c r="M55" s="102"/>
      <c r="N55" s="103"/>
      <c r="O55" s="103"/>
      <c r="P55" s="104"/>
    </row>
    <row r="56" spans="1:16" ht="15.75" customHeight="1" x14ac:dyDescent="0.3">
      <c r="A56" s="360" t="s">
        <v>446</v>
      </c>
      <c r="B56" s="365" t="s">
        <v>447</v>
      </c>
      <c r="C56" s="371">
        <f>((C55)*((2)^(1/2)))/(1.06+(((B46/C55)+1.5)^(1/2)))</f>
        <v>9.2502340850672479E-2</v>
      </c>
      <c r="D56" s="365" t="s">
        <v>41</v>
      </c>
      <c r="I56" s="21"/>
      <c r="L56" s="101"/>
      <c r="M56" s="102"/>
      <c r="N56" s="103"/>
      <c r="O56" s="103"/>
      <c r="P56" s="104"/>
    </row>
    <row r="57" spans="1:16" ht="15.75" customHeight="1" x14ac:dyDescent="0.3">
      <c r="A57" s="360" t="s">
        <v>448</v>
      </c>
      <c r="B57" s="365" t="s">
        <v>449</v>
      </c>
      <c r="C57" s="370">
        <f>C54/C56</f>
        <v>2.8237123255254475</v>
      </c>
      <c r="D57" s="365" t="s">
        <v>450</v>
      </c>
      <c r="H57" s="136">
        <f>+B51</f>
        <v>1.492</v>
      </c>
      <c r="I57" s="21"/>
      <c r="L57" s="101"/>
      <c r="M57" s="102"/>
      <c r="N57" s="103"/>
      <c r="O57" s="103"/>
      <c r="P57" s="104"/>
    </row>
    <row r="58" spans="1:16" ht="15.75" customHeight="1" x14ac:dyDescent="0.3">
      <c r="A58" s="360" t="s">
        <v>451</v>
      </c>
      <c r="B58" s="365" t="s">
        <v>452</v>
      </c>
      <c r="C58" s="370">
        <f>ROUNDDOWN(C57/((B43*C56)^(1/2)),2)</f>
        <v>2.96</v>
      </c>
      <c r="D58" s="297"/>
      <c r="I58" s="21"/>
      <c r="L58" s="101"/>
      <c r="M58" s="102"/>
      <c r="N58" s="103"/>
      <c r="O58" s="103"/>
      <c r="P58" s="104"/>
    </row>
    <row r="59" spans="1:16" ht="15.75" customHeight="1" x14ac:dyDescent="0.3">
      <c r="A59" s="360" t="s">
        <v>453</v>
      </c>
      <c r="B59" s="365" t="s">
        <v>454</v>
      </c>
      <c r="C59" s="371">
        <f>(C56/2)*(1+8*(C58)^2)^(1/2)</f>
        <v>0.38997389580934327</v>
      </c>
      <c r="D59" s="297"/>
      <c r="I59" s="21"/>
      <c r="L59" s="101"/>
      <c r="M59" s="102"/>
      <c r="N59" s="103"/>
      <c r="O59" s="103"/>
      <c r="P59" s="104"/>
    </row>
    <row r="60" spans="1:16" ht="15.75" customHeight="1" x14ac:dyDescent="0.3">
      <c r="A60" s="360" t="s">
        <v>455</v>
      </c>
      <c r="B60" s="365" t="s">
        <v>456</v>
      </c>
      <c r="C60" s="370">
        <f>ROUNDUP(C54/C59,4)</f>
        <v>0.66979999999999995</v>
      </c>
      <c r="D60" s="365" t="s">
        <v>51</v>
      </c>
      <c r="I60" s="21"/>
      <c r="L60" s="101"/>
      <c r="M60" s="102"/>
      <c r="N60" s="103"/>
      <c r="O60" s="103"/>
      <c r="P60" s="104"/>
    </row>
    <row r="61" spans="1:16" ht="15.75" customHeight="1" x14ac:dyDescent="0.3">
      <c r="A61" s="360" t="s">
        <v>457</v>
      </c>
      <c r="B61" s="365" t="s">
        <v>458</v>
      </c>
      <c r="C61" s="370">
        <f>((C59-C56)^(3))/(4*C56*C59)</f>
        <v>0.18242656447721653</v>
      </c>
      <c r="D61" s="297"/>
      <c r="H61" s="24">
        <f>+B53</f>
        <v>1.2</v>
      </c>
      <c r="I61" s="21"/>
      <c r="L61" s="101"/>
      <c r="M61" s="102"/>
      <c r="N61" s="103"/>
      <c r="O61" s="103"/>
      <c r="P61" s="104"/>
    </row>
    <row r="62" spans="1:16" ht="15.75" customHeight="1" x14ac:dyDescent="0.3">
      <c r="A62" s="360" t="s">
        <v>459</v>
      </c>
      <c r="B62" s="365" t="s">
        <v>460</v>
      </c>
      <c r="C62" s="370">
        <f>6*(C59-C56)</f>
        <v>1.7848293297520246</v>
      </c>
      <c r="D62" s="365" t="s">
        <v>41</v>
      </c>
      <c r="I62" s="21"/>
      <c r="L62" s="101"/>
      <c r="M62" s="102"/>
      <c r="N62" s="103"/>
      <c r="O62" s="103"/>
      <c r="P62" s="104"/>
    </row>
    <row r="63" spans="1:16" ht="15.75" customHeight="1" x14ac:dyDescent="0.3">
      <c r="A63" s="360" t="s">
        <v>461</v>
      </c>
      <c r="B63" s="365" t="s">
        <v>462</v>
      </c>
      <c r="C63" s="370">
        <f>(4.3*B50)*((C55/B50)^(0.9))</f>
        <v>0.9405940926635239</v>
      </c>
      <c r="D63" s="365" t="s">
        <v>41</v>
      </c>
      <c r="I63" s="21"/>
      <c r="L63" s="101"/>
      <c r="M63" s="102"/>
      <c r="N63" s="103"/>
      <c r="O63" s="103"/>
      <c r="P63" s="104"/>
    </row>
    <row r="64" spans="1:16" ht="15.75" customHeight="1" x14ac:dyDescent="0.3">
      <c r="A64" s="360" t="s">
        <v>463</v>
      </c>
      <c r="B64" s="365" t="s">
        <v>464</v>
      </c>
      <c r="C64" s="370">
        <f>(C57+C60)/2</f>
        <v>1.7467561627627237</v>
      </c>
      <c r="D64" s="365" t="s">
        <v>51</v>
      </c>
      <c r="I64" s="21"/>
      <c r="L64" s="101"/>
      <c r="M64" s="102"/>
      <c r="N64" s="103"/>
      <c r="O64" s="103"/>
      <c r="P64" s="104"/>
    </row>
    <row r="65" spans="1:16" ht="15.75" customHeight="1" x14ac:dyDescent="0.3">
      <c r="A65" s="360" t="s">
        <v>465</v>
      </c>
      <c r="B65" s="365" t="s">
        <v>466</v>
      </c>
      <c r="C65" s="370">
        <f>C62/C64</f>
        <v>1.0217964978747138</v>
      </c>
      <c r="D65" s="365" t="s">
        <v>86</v>
      </c>
      <c r="I65" s="21"/>
      <c r="L65" s="101"/>
      <c r="M65" s="102"/>
      <c r="N65" s="103"/>
      <c r="O65" s="103"/>
      <c r="P65" s="104"/>
    </row>
    <row r="66" spans="1:16" ht="15.75" customHeight="1" x14ac:dyDescent="0.3">
      <c r="A66" s="674" t="s">
        <v>467</v>
      </c>
      <c r="B66" s="675"/>
      <c r="C66" s="675"/>
      <c r="D66" s="676"/>
      <c r="I66" s="21"/>
      <c r="L66" s="101"/>
      <c r="M66" s="102"/>
      <c r="N66" s="103"/>
      <c r="O66" s="103"/>
      <c r="P66" s="104"/>
    </row>
    <row r="67" spans="1:16" ht="15.75" customHeight="1" x14ac:dyDescent="0.3">
      <c r="A67" s="360" t="s">
        <v>468</v>
      </c>
      <c r="B67" s="365">
        <v>1000</v>
      </c>
      <c r="C67" s="365" t="s">
        <v>469</v>
      </c>
      <c r="D67" s="297"/>
      <c r="I67" s="21"/>
      <c r="L67" s="101"/>
      <c r="M67" s="102"/>
      <c r="N67" s="103"/>
      <c r="O67" s="103"/>
      <c r="P67" s="104"/>
    </row>
    <row r="68" spans="1:16" ht="15.75" customHeight="1" x14ac:dyDescent="0.3">
      <c r="A68" s="360" t="s">
        <v>470</v>
      </c>
      <c r="B68" s="372">
        <f>B104</f>
        <v>9.4218142548596114E-7</v>
      </c>
      <c r="C68" s="297" t="s">
        <v>190</v>
      </c>
      <c r="D68" s="297"/>
      <c r="I68" s="21"/>
      <c r="L68" s="101"/>
      <c r="M68" s="102"/>
      <c r="N68" s="103"/>
      <c r="O68" s="103"/>
      <c r="P68" s="104"/>
    </row>
    <row r="69" spans="1:16" ht="15.75" customHeight="1" x14ac:dyDescent="0.3">
      <c r="A69" s="360" t="s">
        <v>471</v>
      </c>
      <c r="B69" s="372">
        <f>B68*B67</f>
        <v>9.4218142548596119E-4</v>
      </c>
      <c r="C69" s="365" t="s">
        <v>472</v>
      </c>
      <c r="D69" s="297"/>
      <c r="I69" s="21"/>
      <c r="L69" s="101"/>
      <c r="M69" s="102"/>
      <c r="N69" s="103"/>
      <c r="O69" s="103"/>
      <c r="P69" s="104"/>
    </row>
    <row r="70" spans="1:16" ht="15.75" customHeight="1" x14ac:dyDescent="0.3">
      <c r="A70" s="360" t="s">
        <v>473</v>
      </c>
      <c r="B70" s="373">
        <v>2.2999999999999998</v>
      </c>
      <c r="C70" s="677" t="s">
        <v>474</v>
      </c>
      <c r="D70" s="678"/>
      <c r="I70" s="21"/>
      <c r="L70" s="101"/>
      <c r="M70" s="102"/>
      <c r="N70" s="103"/>
      <c r="O70" s="103"/>
      <c r="P70" s="104"/>
    </row>
    <row r="71" spans="1:16" ht="15.75" customHeight="1" x14ac:dyDescent="0.3">
      <c r="A71" s="360" t="s">
        <v>475</v>
      </c>
      <c r="B71" s="373">
        <f>105/60</f>
        <v>1.75</v>
      </c>
      <c r="C71" s="365" t="s">
        <v>476</v>
      </c>
      <c r="D71" s="297"/>
      <c r="I71" s="21"/>
      <c r="L71" s="101"/>
      <c r="M71" s="102"/>
      <c r="N71" s="103"/>
      <c r="O71" s="103"/>
      <c r="P71" s="104"/>
    </row>
    <row r="72" spans="1:16" ht="15.75" customHeight="1" x14ac:dyDescent="0.3">
      <c r="A72" s="360" t="s">
        <v>477</v>
      </c>
      <c r="B72" s="374">
        <f>B99</f>
        <v>0.83879823183979585</v>
      </c>
      <c r="C72" s="365" t="s">
        <v>41</v>
      </c>
      <c r="D72" s="297"/>
      <c r="I72" s="21"/>
      <c r="L72" s="101"/>
      <c r="M72" s="102"/>
      <c r="N72" s="103"/>
      <c r="O72" s="103"/>
      <c r="P72" s="104"/>
    </row>
    <row r="73" spans="1:16" ht="15" customHeight="1" x14ac:dyDescent="0.3">
      <c r="A73" s="360" t="s">
        <v>478</v>
      </c>
      <c r="B73" s="375">
        <f>B91</f>
        <v>2500</v>
      </c>
      <c r="C73" s="365" t="s">
        <v>201</v>
      </c>
      <c r="D73" s="297"/>
      <c r="I73" s="21"/>
      <c r="L73" s="101"/>
      <c r="M73" s="102"/>
      <c r="N73" s="103"/>
      <c r="O73" s="103"/>
      <c r="P73" s="104"/>
    </row>
    <row r="74" spans="1:16" ht="15.75" customHeight="1" x14ac:dyDescent="0.3">
      <c r="I74" s="21"/>
      <c r="L74" s="101"/>
      <c r="M74" s="102"/>
      <c r="N74" s="103"/>
      <c r="O74" s="103"/>
      <c r="P74" s="104"/>
    </row>
    <row r="75" spans="1:16" ht="15.75" customHeight="1" x14ac:dyDescent="0.3">
      <c r="A75" s="360" t="s">
        <v>479</v>
      </c>
      <c r="B75" s="373">
        <f>((B70*B67*(B71^3)*(B72^5))/(B69*B73))^(1/2)</f>
        <v>46.615192651844225</v>
      </c>
      <c r="C75" s="365" t="s">
        <v>480</v>
      </c>
      <c r="I75" s="21"/>
      <c r="L75" s="101"/>
      <c r="M75" s="102"/>
      <c r="N75" s="103"/>
      <c r="O75" s="103"/>
      <c r="P75" s="104"/>
    </row>
    <row r="76" spans="1:16" ht="15.75" customHeight="1" x14ac:dyDescent="0.3">
      <c r="A76" s="360" t="s">
        <v>481</v>
      </c>
      <c r="B76" s="373">
        <f>((B67*C61)/(B69*C65))^(1/2)</f>
        <v>435.30591225747088</v>
      </c>
      <c r="C76" s="365" t="s">
        <v>480</v>
      </c>
      <c r="D76" s="395" t="s">
        <v>989</v>
      </c>
      <c r="E76" t="s">
        <v>1027</v>
      </c>
      <c r="I76" s="21"/>
      <c r="L76" s="101"/>
      <c r="M76" s="102"/>
      <c r="N76" s="103"/>
      <c r="O76" s="103"/>
      <c r="P76" s="104"/>
    </row>
    <row r="77" spans="1:16" ht="15.75" customHeight="1" x14ac:dyDescent="0.3">
      <c r="I77" s="21"/>
      <c r="L77" s="101"/>
      <c r="M77" s="102"/>
      <c r="N77" s="103"/>
      <c r="O77" s="103"/>
      <c r="P77" s="104"/>
    </row>
    <row r="78" spans="1:16" ht="15.75" customHeight="1" x14ac:dyDescent="0.3">
      <c r="A78" s="664" t="s">
        <v>482</v>
      </c>
      <c r="B78" s="664"/>
      <c r="C78" s="664"/>
      <c r="D78" s="664"/>
      <c r="E78" s="664"/>
      <c r="I78" s="21"/>
      <c r="L78" s="101"/>
      <c r="M78" s="102"/>
      <c r="N78" s="103"/>
      <c r="O78" s="103"/>
      <c r="P78" s="104"/>
    </row>
    <row r="79" spans="1:16" ht="15.75" customHeight="1" x14ac:dyDescent="0.3">
      <c r="A79" s="105"/>
      <c r="I79" s="21"/>
      <c r="L79" s="101"/>
      <c r="M79" s="102"/>
      <c r="N79" s="103"/>
      <c r="O79" s="103"/>
      <c r="P79" s="104"/>
    </row>
    <row r="80" spans="1:16" ht="15.75" customHeight="1" x14ac:dyDescent="0.3">
      <c r="A80" s="611" t="s">
        <v>487</v>
      </c>
      <c r="B80" s="611"/>
      <c r="C80" s="611"/>
      <c r="I80" s="21"/>
      <c r="L80" s="101"/>
      <c r="M80" s="102"/>
      <c r="N80" s="103"/>
      <c r="O80" s="103"/>
      <c r="P80" s="104"/>
    </row>
    <row r="81" spans="1:16" ht="15.75" customHeight="1" x14ac:dyDescent="0.3">
      <c r="A81" s="360" t="s">
        <v>483</v>
      </c>
      <c r="B81" s="365">
        <v>10</v>
      </c>
      <c r="C81" s="365" t="s">
        <v>484</v>
      </c>
      <c r="I81" s="21"/>
      <c r="L81" s="101"/>
      <c r="M81" s="102"/>
      <c r="N81" s="103"/>
      <c r="O81" s="103"/>
      <c r="P81" s="104"/>
    </row>
    <row r="82" spans="1:16" ht="15.75" customHeight="1" x14ac:dyDescent="0.3">
      <c r="A82" s="360" t="s">
        <v>485</v>
      </c>
      <c r="B82" s="374">
        <f>C60</f>
        <v>0.66979999999999995</v>
      </c>
      <c r="C82" s="365" t="s">
        <v>51</v>
      </c>
      <c r="I82" s="21"/>
      <c r="L82" s="101"/>
      <c r="M82" s="102"/>
      <c r="N82" s="103"/>
      <c r="O82" s="103"/>
      <c r="P82" s="104"/>
    </row>
    <row r="83" spans="1:16" ht="15.75" customHeight="1" x14ac:dyDescent="0.3">
      <c r="A83" s="360" t="s">
        <v>486</v>
      </c>
      <c r="B83" s="370">
        <f>B81*B82</f>
        <v>6.6979999999999995</v>
      </c>
      <c r="C83" s="365" t="s">
        <v>41</v>
      </c>
      <c r="D83" s="140"/>
      <c r="E83" s="141"/>
      <c r="I83" s="21"/>
      <c r="L83" s="101"/>
      <c r="M83" s="102"/>
      <c r="N83" s="103"/>
      <c r="O83" s="103"/>
      <c r="P83" s="104"/>
    </row>
    <row r="84" spans="1:16" ht="15.75" customHeight="1" x14ac:dyDescent="0.3">
      <c r="A84" s="141"/>
      <c r="B84" s="141"/>
      <c r="C84" s="141"/>
      <c r="D84" s="141"/>
      <c r="E84" s="141"/>
      <c r="I84" s="21"/>
      <c r="L84" s="101"/>
      <c r="M84" s="102"/>
      <c r="N84" s="103"/>
      <c r="O84" s="103"/>
      <c r="P84" s="104"/>
    </row>
    <row r="85" spans="1:16" ht="15.75" customHeight="1" x14ac:dyDescent="0.3"/>
    <row r="86" spans="1:16" ht="15.75" customHeight="1" x14ac:dyDescent="0.3">
      <c r="A86" s="620" t="s">
        <v>170</v>
      </c>
      <c r="B86" s="620"/>
      <c r="C86" s="620"/>
      <c r="D86" t="s">
        <v>1028</v>
      </c>
    </row>
    <row r="87" spans="1:16" ht="15.75" customHeight="1" x14ac:dyDescent="0.3">
      <c r="A87" s="343" t="s">
        <v>171</v>
      </c>
      <c r="B87" s="376">
        <f>+B7*3.6</f>
        <v>701.03880000000015</v>
      </c>
      <c r="C87" s="364" t="s">
        <v>172</v>
      </c>
    </row>
    <row r="88" spans="1:16" ht="15.75" customHeight="1" x14ac:dyDescent="0.3">
      <c r="A88" s="352" t="s">
        <v>173</v>
      </c>
      <c r="B88" s="356">
        <v>2.35</v>
      </c>
      <c r="C88" s="364" t="s">
        <v>174</v>
      </c>
    </row>
    <row r="89" spans="1:16" ht="15.75" customHeight="1" x14ac:dyDescent="0.3">
      <c r="A89" s="343" t="s">
        <v>175</v>
      </c>
      <c r="B89" s="377">
        <f>ROUNDUP(B87*B88/60,2)</f>
        <v>27.46</v>
      </c>
      <c r="C89" s="364" t="s">
        <v>176</v>
      </c>
    </row>
    <row r="90" spans="1:16" ht="15.75" customHeight="1" x14ac:dyDescent="0.3">
      <c r="A90" s="343"/>
      <c r="B90" s="364">
        <f>+B89*1000</f>
        <v>27460</v>
      </c>
      <c r="C90" s="364" t="s">
        <v>177</v>
      </c>
    </row>
    <row r="91" spans="1:16" ht="15.75" customHeight="1" x14ac:dyDescent="0.3">
      <c r="A91" s="352" t="s">
        <v>178</v>
      </c>
      <c r="B91" s="356">
        <v>2500</v>
      </c>
      <c r="C91" s="364" t="s">
        <v>177</v>
      </c>
      <c r="J91" s="110">
        <f>+B93</f>
        <v>1.1982831883425655</v>
      </c>
    </row>
    <row r="92" spans="1:16" ht="15.75" customHeight="1" x14ac:dyDescent="0.3">
      <c r="A92" s="352" t="s">
        <v>179</v>
      </c>
      <c r="B92" s="378">
        <v>1.85</v>
      </c>
      <c r="C92" s="364" t="s">
        <v>41</v>
      </c>
    </row>
    <row r="93" spans="1:16" ht="15.75" customHeight="1" x14ac:dyDescent="0.3">
      <c r="A93" s="343" t="s">
        <v>180</v>
      </c>
      <c r="B93" s="377">
        <f>((((B91/1000)/B92)*4)/PI())^(1/3)</f>
        <v>1.1982831883425655</v>
      </c>
      <c r="C93" s="364" t="s">
        <v>41</v>
      </c>
    </row>
    <row r="94" spans="1:16" ht="15.75" customHeight="1" x14ac:dyDescent="0.3">
      <c r="A94" s="352" t="s">
        <v>181</v>
      </c>
      <c r="B94" s="379">
        <v>0.7</v>
      </c>
      <c r="C94" s="364"/>
    </row>
    <row r="95" spans="1:16" ht="15.75" customHeight="1" x14ac:dyDescent="0.3">
      <c r="A95" s="352" t="s">
        <v>182</v>
      </c>
      <c r="B95" s="379">
        <v>1.45</v>
      </c>
      <c r="C95" s="364"/>
    </row>
    <row r="96" spans="1:16" ht="15.75" customHeight="1" x14ac:dyDescent="0.3">
      <c r="A96" s="343" t="s">
        <v>183</v>
      </c>
      <c r="B96" s="377">
        <f>B95*(0.0001029*(B91/1000)*1000^2/76)/B94</f>
        <v>7.0115131578947363</v>
      </c>
      <c r="C96" s="364" t="s">
        <v>116</v>
      </c>
    </row>
    <row r="97" spans="1:13" ht="15.75" customHeight="1" x14ac:dyDescent="0.3">
      <c r="A97" s="352" t="s">
        <v>184</v>
      </c>
      <c r="B97" s="379">
        <v>7.5</v>
      </c>
      <c r="C97" s="364" t="s">
        <v>116</v>
      </c>
    </row>
    <row r="98" spans="1:13" ht="15.75" customHeight="1" x14ac:dyDescent="0.3">
      <c r="A98" s="343" t="s">
        <v>185</v>
      </c>
      <c r="B98" s="377">
        <f>0.666666666666667*B92</f>
        <v>1.2333333333333338</v>
      </c>
      <c r="C98" s="364" t="s">
        <v>41</v>
      </c>
      <c r="I98" s="12">
        <f>+B98</f>
        <v>1.2333333333333338</v>
      </c>
      <c r="J98" s="10">
        <f>+B92</f>
        <v>1.85</v>
      </c>
    </row>
    <row r="99" spans="1:13" ht="15.75" customHeight="1" x14ac:dyDescent="0.3">
      <c r="A99" s="367" t="s">
        <v>488</v>
      </c>
      <c r="B99" s="355">
        <f>B93*0.7</f>
        <v>0.83879823183979585</v>
      </c>
      <c r="C99" s="297"/>
    </row>
    <row r="100" spans="1:13" ht="15.75" customHeight="1" x14ac:dyDescent="0.3">
      <c r="I100" s="97">
        <f>+B93</f>
        <v>1.1982831883425655</v>
      </c>
    </row>
    <row r="101" spans="1:13" ht="15.75" customHeight="1" x14ac:dyDescent="0.3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</row>
    <row r="102" spans="1:13" ht="15.75" customHeight="1" x14ac:dyDescent="0.3">
      <c r="A102" s="620" t="s">
        <v>186</v>
      </c>
      <c r="B102" s="620"/>
      <c r="C102" s="620"/>
    </row>
    <row r="103" spans="1:13" ht="15.75" customHeight="1" x14ac:dyDescent="0.3">
      <c r="A103" s="352" t="s">
        <v>187</v>
      </c>
      <c r="B103" s="382">
        <v>23</v>
      </c>
      <c r="C103" s="297" t="s">
        <v>188</v>
      </c>
    </row>
    <row r="104" spans="1:13" ht="16.5" customHeight="1" x14ac:dyDescent="0.3">
      <c r="A104" s="343" t="s">
        <v>189</v>
      </c>
      <c r="B104" s="383">
        <f>0.00000131*(33.3/(B103+23.3))</f>
        <v>9.4218142548596114E-7</v>
      </c>
      <c r="C104" s="297" t="s">
        <v>190</v>
      </c>
      <c r="D104" t="s">
        <v>1029</v>
      </c>
    </row>
    <row r="105" spans="1:13" ht="15.75" customHeight="1" x14ac:dyDescent="0.3">
      <c r="A105" s="343" t="s">
        <v>191</v>
      </c>
      <c r="B105" s="356">
        <f>0.5*3600</f>
        <v>1800</v>
      </c>
      <c r="C105" s="297" t="s">
        <v>86</v>
      </c>
      <c r="D105" s="27"/>
    </row>
    <row r="106" spans="1:13" ht="15.75" customHeight="1" x14ac:dyDescent="0.3">
      <c r="A106" s="352" t="s">
        <v>192</v>
      </c>
      <c r="B106" s="391">
        <v>1.7</v>
      </c>
      <c r="C106" s="297" t="s">
        <v>41</v>
      </c>
      <c r="D106" s="392" t="s">
        <v>193</v>
      </c>
    </row>
    <row r="107" spans="1:13" ht="15.75" customHeight="1" x14ac:dyDescent="0.3">
      <c r="A107" s="352" t="s">
        <v>194</v>
      </c>
      <c r="B107" s="356">
        <v>0.17499999999999999</v>
      </c>
      <c r="C107" s="297" t="s">
        <v>51</v>
      </c>
      <c r="D107" s="665" t="s">
        <v>195</v>
      </c>
      <c r="E107" s="666"/>
      <c r="F107" s="666"/>
      <c r="G107" s="666"/>
      <c r="H107" s="666"/>
    </row>
    <row r="108" spans="1:13" ht="15.75" customHeight="1" x14ac:dyDescent="0.3">
      <c r="A108" s="352" t="s">
        <v>196</v>
      </c>
      <c r="B108" s="391">
        <v>0.42499999999999999</v>
      </c>
      <c r="C108" s="297" t="s">
        <v>51</v>
      </c>
      <c r="D108" t="s">
        <v>1030</v>
      </c>
    </row>
    <row r="109" spans="1:13" ht="15" customHeight="1" x14ac:dyDescent="0.3">
      <c r="A109" s="352" t="s">
        <v>197</v>
      </c>
      <c r="B109" s="384">
        <f>+(B7/1000)/(B107*B106)</f>
        <v>0.65456470588235316</v>
      </c>
      <c r="C109" s="297" t="s">
        <v>41</v>
      </c>
    </row>
    <row r="110" spans="1:13" ht="15.75" customHeight="1" x14ac:dyDescent="0.3">
      <c r="A110" s="352" t="s">
        <v>198</v>
      </c>
      <c r="B110" s="391">
        <v>0.7</v>
      </c>
      <c r="C110" s="297" t="s">
        <v>41</v>
      </c>
      <c r="D110" s="606" t="s">
        <v>1031</v>
      </c>
    </row>
    <row r="111" spans="1:13" ht="15.75" customHeight="1" x14ac:dyDescent="0.3">
      <c r="A111" s="343" t="s">
        <v>492</v>
      </c>
      <c r="B111" s="355">
        <f>+(B7/1000)/(B110*B106)</f>
        <v>0.16364117647058829</v>
      </c>
      <c r="C111" s="297" t="s">
        <v>51</v>
      </c>
    </row>
    <row r="112" spans="1:13" ht="15.75" customHeight="1" x14ac:dyDescent="0.3">
      <c r="A112" s="343" t="s">
        <v>199</v>
      </c>
      <c r="B112" s="384">
        <f>+(B7/1000)/(B108*B106)*0+B110*1.5*1</f>
        <v>1.0499999999999998</v>
      </c>
      <c r="C112" s="297" t="s">
        <v>41</v>
      </c>
    </row>
    <row r="113" spans="1:19" ht="15.75" customHeight="1" x14ac:dyDescent="0.3">
      <c r="A113" s="352" t="s">
        <v>200</v>
      </c>
      <c r="B113" s="376">
        <f>+(B7/1000)*B105</f>
        <v>350.51940000000008</v>
      </c>
      <c r="C113" s="297" t="s">
        <v>201</v>
      </c>
    </row>
    <row r="114" spans="1:19" ht="15.75" customHeight="1" x14ac:dyDescent="0.3">
      <c r="A114" s="352" t="s">
        <v>202</v>
      </c>
      <c r="B114" s="385">
        <f>+B113/B106</f>
        <v>206.18788235294122</v>
      </c>
      <c r="C114" s="297" t="s">
        <v>80</v>
      </c>
      <c r="S114">
        <f>0.019+0.029</f>
        <v>4.8000000000000001E-2</v>
      </c>
    </row>
    <row r="115" spans="1:19" ht="15.75" customHeight="1" x14ac:dyDescent="0.3">
      <c r="A115" s="352" t="s">
        <v>203</v>
      </c>
      <c r="B115" s="351">
        <f>B114/B154</f>
        <v>21.977750259312398</v>
      </c>
      <c r="C115" s="297" t="s">
        <v>41</v>
      </c>
    </row>
    <row r="116" spans="1:19" ht="15.75" customHeight="1" x14ac:dyDescent="0.3">
      <c r="A116" s="352" t="s">
        <v>493</v>
      </c>
      <c r="B116" s="391">
        <v>22</v>
      </c>
      <c r="C116" s="297" t="s">
        <v>41</v>
      </c>
      <c r="D116" t="s">
        <v>1032</v>
      </c>
      <c r="H116" s="11">
        <f>+B112</f>
        <v>1.0499999999999998</v>
      </c>
    </row>
    <row r="117" spans="1:19" ht="15.75" customHeight="1" x14ac:dyDescent="0.3">
      <c r="A117" s="352" t="s">
        <v>204</v>
      </c>
      <c r="B117" s="385">
        <f>ROUNDUP((B114/B116)/B110,0)</f>
        <v>14</v>
      </c>
      <c r="C117" s="297" t="s">
        <v>205</v>
      </c>
    </row>
    <row r="118" spans="1:19" ht="15.75" customHeight="1" x14ac:dyDescent="0.3">
      <c r="A118" s="352" t="s">
        <v>206</v>
      </c>
      <c r="B118" s="385">
        <f>+B117-1</f>
        <v>13</v>
      </c>
      <c r="C118" s="297" t="s">
        <v>205</v>
      </c>
    </row>
    <row r="119" spans="1:19" ht="15.75" customHeight="1" x14ac:dyDescent="0.3">
      <c r="A119" s="352" t="s">
        <v>207</v>
      </c>
      <c r="B119" s="356">
        <v>2E-3</v>
      </c>
      <c r="C119" s="297" t="s">
        <v>41</v>
      </c>
    </row>
    <row r="120" spans="1:19" ht="15.75" customHeight="1" x14ac:dyDescent="0.3">
      <c r="A120" s="352" t="s">
        <v>494</v>
      </c>
      <c r="B120" s="386">
        <f>(B110*B117)+(B118*B119)</f>
        <v>9.8259999999999987</v>
      </c>
      <c r="C120" s="297" t="s">
        <v>41</v>
      </c>
    </row>
    <row r="121" spans="1:19" ht="15.75" customHeight="1" x14ac:dyDescent="0.3">
      <c r="A121" s="352" t="s">
        <v>208</v>
      </c>
      <c r="B121" s="351">
        <f>+B116-2*B112</f>
        <v>19.899999999999999</v>
      </c>
      <c r="C121" s="297" t="s">
        <v>41</v>
      </c>
      <c r="H121" s="29">
        <f>+B110</f>
        <v>0.7</v>
      </c>
    </row>
    <row r="122" spans="1:19" ht="15.75" customHeight="1" x14ac:dyDescent="0.3">
      <c r="A122" s="352" t="s">
        <v>209</v>
      </c>
      <c r="B122" s="376">
        <f>+B121*B117</f>
        <v>278.59999999999997</v>
      </c>
      <c r="C122" s="297" t="s">
        <v>41</v>
      </c>
      <c r="E122" s="111" t="s">
        <v>495</v>
      </c>
      <c r="F122" s="12">
        <f>+B120</f>
        <v>9.8259999999999987</v>
      </c>
    </row>
    <row r="123" spans="1:19" ht="15.75" customHeight="1" x14ac:dyDescent="0.3">
      <c r="A123" s="352" t="s">
        <v>210</v>
      </c>
      <c r="B123" s="351">
        <f>+B117*B111^2/(2*9.81)</f>
        <v>1.9107955398241335E-2</v>
      </c>
      <c r="C123" s="297" t="s">
        <v>41</v>
      </c>
      <c r="J123" s="112"/>
    </row>
    <row r="124" spans="1:19" ht="15.75" customHeight="1" x14ac:dyDescent="0.3">
      <c r="A124" s="380" t="s">
        <v>211</v>
      </c>
      <c r="B124" s="387">
        <v>2</v>
      </c>
      <c r="C124" s="297"/>
    </row>
    <row r="125" spans="1:19" ht="15.75" customHeight="1" x14ac:dyDescent="0.3">
      <c r="A125" s="352" t="s">
        <v>212</v>
      </c>
      <c r="B125" s="351">
        <f>B124*B118*B108^2/(2*9.81)</f>
        <v>0.23936034658511718</v>
      </c>
      <c r="C125" s="297" t="s">
        <v>41</v>
      </c>
    </row>
    <row r="126" spans="1:19" ht="15.75" customHeight="1" x14ac:dyDescent="0.3">
      <c r="A126" s="352" t="s">
        <v>213</v>
      </c>
      <c r="B126" s="297">
        <f>+B106*B110</f>
        <v>1.19</v>
      </c>
      <c r="C126" s="297" t="s">
        <v>80</v>
      </c>
      <c r="F126" s="30">
        <f>+B112</f>
        <v>1.0499999999999998</v>
      </c>
    </row>
    <row r="127" spans="1:19" ht="15.75" customHeight="1" x14ac:dyDescent="0.3">
      <c r="A127" s="343" t="s">
        <v>214</v>
      </c>
      <c r="B127" s="368">
        <f>+B106*2+B110</f>
        <v>4.0999999999999996</v>
      </c>
      <c r="C127" s="297" t="s">
        <v>41</v>
      </c>
      <c r="G127" s="9" t="s">
        <v>496</v>
      </c>
      <c r="H127" s="12">
        <f>+B116</f>
        <v>22</v>
      </c>
    </row>
    <row r="128" spans="1:19" ht="15.75" customHeight="1" x14ac:dyDescent="0.3">
      <c r="A128" s="343" t="s">
        <v>215</v>
      </c>
      <c r="B128" s="388">
        <f>+B126/B127</f>
        <v>0.29024390243902443</v>
      </c>
      <c r="C128" s="297" t="s">
        <v>41</v>
      </c>
      <c r="H128" s="100"/>
    </row>
    <row r="129" spans="1:11" ht="15.75" customHeight="1" x14ac:dyDescent="0.3">
      <c r="A129" s="381" t="s">
        <v>216</v>
      </c>
      <c r="B129" s="382">
        <v>0.01</v>
      </c>
      <c r="C129" s="297"/>
      <c r="D129" s="32"/>
      <c r="H129" s="11">
        <f>+H116</f>
        <v>1.0499999999999998</v>
      </c>
    </row>
    <row r="130" spans="1:11" ht="15.75" customHeight="1" x14ac:dyDescent="0.3">
      <c r="A130" s="343" t="s">
        <v>217</v>
      </c>
      <c r="B130" s="389">
        <f>+((B129*B111)/B128^(2/3))^2</f>
        <v>1.3934809844870185E-5</v>
      </c>
      <c r="C130" s="297" t="s">
        <v>64</v>
      </c>
      <c r="F130" s="11">
        <f>+F126</f>
        <v>1.0499999999999998</v>
      </c>
      <c r="H130" s="12">
        <f>+B121</f>
        <v>19.899999999999999</v>
      </c>
      <c r="I130" s="12">
        <f>+E145</f>
        <v>0.23400000000000001</v>
      </c>
    </row>
    <row r="131" spans="1:11" ht="15.75" customHeight="1" x14ac:dyDescent="0.3">
      <c r="A131" s="343" t="s">
        <v>219</v>
      </c>
      <c r="B131" s="351">
        <f>+B130*B122</f>
        <v>3.8822380227808329E-3</v>
      </c>
      <c r="C131" s="297" t="s">
        <v>41</v>
      </c>
    </row>
    <row r="132" spans="1:11" ht="15.75" customHeight="1" x14ac:dyDescent="0.35">
      <c r="A132" s="343" t="s">
        <v>220</v>
      </c>
      <c r="B132" s="351">
        <f>+B131+B125+B123</f>
        <v>0.26235054000613933</v>
      </c>
      <c r="C132" s="297" t="s">
        <v>41</v>
      </c>
      <c r="H132" s="12">
        <f>+B106</f>
        <v>1.7</v>
      </c>
      <c r="J132" s="12">
        <f>+B166</f>
        <v>1.7</v>
      </c>
    </row>
    <row r="133" spans="1:11" ht="15.75" customHeight="1" x14ac:dyDescent="0.3">
      <c r="A133" s="343" t="s">
        <v>222</v>
      </c>
      <c r="B133" s="390">
        <f>+B132/B116</f>
        <v>1.1925024545733605E-2</v>
      </c>
      <c r="C133" s="297"/>
      <c r="I133" s="12">
        <f>+G156-G144</f>
        <v>1.2762108262108263</v>
      </c>
    </row>
    <row r="134" spans="1:11" ht="15.75" customHeight="1" x14ac:dyDescent="0.3">
      <c r="A134" s="343" t="s">
        <v>223</v>
      </c>
      <c r="B134" s="376">
        <f>+((9.81*B132)/(B104*B105))^0.5</f>
        <v>38.955785272062151</v>
      </c>
      <c r="C134" s="297" t="s">
        <v>225</v>
      </c>
      <c r="D134" t="s">
        <v>1033</v>
      </c>
    </row>
    <row r="135" spans="1:11" ht="15.75" customHeight="1" x14ac:dyDescent="0.3">
      <c r="F135" s="36">
        <f>+B132</f>
        <v>0.26235054000613933</v>
      </c>
    </row>
    <row r="136" spans="1:11" ht="15.75" customHeight="1" x14ac:dyDescent="0.3"/>
    <row r="137" spans="1:11" ht="15.75" customHeight="1" x14ac:dyDescent="0.3">
      <c r="A137" s="620" t="s">
        <v>226</v>
      </c>
      <c r="B137" s="620"/>
      <c r="C137" s="620"/>
      <c r="H137" s="12">
        <f>+H127+I130</f>
        <v>22.234000000000002</v>
      </c>
    </row>
    <row r="138" spans="1:11" ht="30" customHeight="1" x14ac:dyDescent="0.3">
      <c r="A138" s="661" t="s">
        <v>228</v>
      </c>
      <c r="B138" s="662"/>
      <c r="C138" s="663"/>
    </row>
    <row r="139" spans="1:11" ht="15.75" customHeight="1" x14ac:dyDescent="0.3">
      <c r="A139" s="352" t="s">
        <v>498</v>
      </c>
      <c r="B139" s="382">
        <v>3</v>
      </c>
      <c r="C139" s="297" t="s">
        <v>229</v>
      </c>
    </row>
    <row r="140" spans="1:11" ht="15.75" customHeight="1" x14ac:dyDescent="0.3">
      <c r="A140" s="343" t="s">
        <v>230</v>
      </c>
      <c r="B140" s="385">
        <f>+B7/1000*86400</f>
        <v>16824.931200000003</v>
      </c>
      <c r="C140" s="297" t="s">
        <v>3</v>
      </c>
    </row>
    <row r="141" spans="1:11" ht="15.75" customHeight="1" x14ac:dyDescent="0.3">
      <c r="A141" s="381" t="s">
        <v>231</v>
      </c>
      <c r="B141" s="351">
        <f>0.044*(B140^0.5)</f>
        <v>5.7072819102616617</v>
      </c>
      <c r="C141" s="297" t="s">
        <v>205</v>
      </c>
    </row>
    <row r="142" spans="1:11" ht="15.75" customHeight="1" x14ac:dyDescent="0.3">
      <c r="A142" s="352" t="s">
        <v>234</v>
      </c>
      <c r="B142" s="393">
        <v>6</v>
      </c>
      <c r="C142" s="297" t="s">
        <v>205</v>
      </c>
      <c r="D142" s="607" t="s">
        <v>1034</v>
      </c>
    </row>
    <row r="143" spans="1:11" ht="15.75" customHeight="1" x14ac:dyDescent="0.3">
      <c r="A143" s="343" t="s">
        <v>235</v>
      </c>
      <c r="B143" s="362">
        <f>+B142/2</f>
        <v>3</v>
      </c>
      <c r="C143" s="297" t="s">
        <v>205</v>
      </c>
      <c r="D143" t="s">
        <v>1035</v>
      </c>
      <c r="K143" s="8">
        <f>+J145+N145+5</f>
        <v>47.429161060481846</v>
      </c>
    </row>
    <row r="144" spans="1:11" ht="15.75" customHeight="1" x14ac:dyDescent="0.3">
      <c r="A144" s="343" t="s">
        <v>237</v>
      </c>
      <c r="B144" s="385">
        <f>+B140/24*B139</f>
        <v>2103.1164000000003</v>
      </c>
      <c r="C144" s="297" t="s">
        <v>201</v>
      </c>
      <c r="G144" s="12">
        <f>+B167</f>
        <v>0.42378917378917369</v>
      </c>
      <c r="H144" s="142">
        <f>+B177</f>
        <v>1.3442049088264461</v>
      </c>
    </row>
    <row r="145" spans="1:16" ht="15.75" customHeight="1" x14ac:dyDescent="0.3">
      <c r="A145" s="343" t="s">
        <v>238</v>
      </c>
      <c r="B145" s="376">
        <f>+B144/B143</f>
        <v>701.03880000000015</v>
      </c>
      <c r="C145" s="297" t="s">
        <v>201</v>
      </c>
      <c r="E145" s="8">
        <f>+B165</f>
        <v>0.23400000000000001</v>
      </c>
      <c r="J145" s="33">
        <f>+B152</f>
        <v>37.339025245179052</v>
      </c>
      <c r="N145" s="24">
        <f>+B216</f>
        <v>5.0901358153027934</v>
      </c>
    </row>
    <row r="146" spans="1:16" ht="15.75" customHeight="1" x14ac:dyDescent="0.3">
      <c r="A146" s="352" t="s">
        <v>242</v>
      </c>
      <c r="B146" s="356">
        <v>0.18529999999999999</v>
      </c>
      <c r="C146" s="297" t="s">
        <v>243</v>
      </c>
    </row>
    <row r="147" spans="1:16" ht="15.75" customHeight="1" x14ac:dyDescent="0.3">
      <c r="A147" s="343"/>
      <c r="B147" s="385">
        <f>+B146/1000*86400</f>
        <v>16.009920000000001</v>
      </c>
      <c r="C147" s="297" t="s">
        <v>246</v>
      </c>
      <c r="G147" s="107">
        <f>+B172</f>
        <v>0.23400000000000001</v>
      </c>
    </row>
    <row r="148" spans="1:16" ht="15.75" customHeight="1" x14ac:dyDescent="0.3">
      <c r="A148" s="343" t="s">
        <v>247</v>
      </c>
      <c r="B148" s="385">
        <f>+B140/B147</f>
        <v>1050.9066378845116</v>
      </c>
      <c r="C148" s="297" t="s">
        <v>80</v>
      </c>
      <c r="M148" s="25">
        <f>+B215</f>
        <v>4.5908323172335495</v>
      </c>
    </row>
    <row r="149" spans="1:16" ht="15.75" customHeight="1" x14ac:dyDescent="0.3">
      <c r="A149" s="343" t="s">
        <v>251</v>
      </c>
      <c r="B149" s="385">
        <f>+B148/B143</f>
        <v>350.30221262817054</v>
      </c>
      <c r="C149" s="297" t="s">
        <v>80</v>
      </c>
    </row>
    <row r="150" spans="1:16" ht="15.75" customHeight="1" x14ac:dyDescent="0.3">
      <c r="A150" s="343" t="s">
        <v>255</v>
      </c>
      <c r="B150" s="357">
        <f>+B145/B149</f>
        <v>2.0012400000000006</v>
      </c>
      <c r="C150" s="297" t="s">
        <v>41</v>
      </c>
      <c r="F150" s="36">
        <f>+B154</f>
        <v>9.3816646344670982</v>
      </c>
    </row>
    <row r="151" spans="1:16" ht="15.75" customHeight="1" x14ac:dyDescent="0.3">
      <c r="A151" s="352" t="s">
        <v>261</v>
      </c>
      <c r="B151" s="356">
        <v>3.98</v>
      </c>
      <c r="C151" s="297"/>
      <c r="G151" s="19"/>
    </row>
    <row r="152" spans="1:16" ht="15.75" customHeight="1" x14ac:dyDescent="0.3">
      <c r="A152" s="343" t="s">
        <v>263</v>
      </c>
      <c r="B152" s="357">
        <f>+(B149*B151)^0.5</f>
        <v>37.339025245179052</v>
      </c>
      <c r="C152" s="297" t="s">
        <v>41</v>
      </c>
      <c r="L152" s="110">
        <f>+B191</f>
        <v>0.1</v>
      </c>
    </row>
    <row r="153" spans="1:16" ht="15.75" customHeight="1" x14ac:dyDescent="0.3">
      <c r="A153" s="343" t="s">
        <v>264</v>
      </c>
      <c r="B153" s="351">
        <f>+B152+2*0.2</f>
        <v>37.73902524517905</v>
      </c>
      <c r="C153" s="297" t="s">
        <v>41</v>
      </c>
      <c r="D153" s="19"/>
    </row>
    <row r="154" spans="1:16" ht="15.75" customHeight="1" x14ac:dyDescent="0.3">
      <c r="A154" s="343" t="s">
        <v>265</v>
      </c>
      <c r="B154" s="401">
        <f>+B152/B151</f>
        <v>9.3816646344670982</v>
      </c>
      <c r="C154" s="297" t="s">
        <v>41</v>
      </c>
      <c r="D154" s="61"/>
    </row>
    <row r="155" spans="1:16" ht="15.75" customHeight="1" x14ac:dyDescent="0.3">
      <c r="A155" s="343" t="s">
        <v>267</v>
      </c>
      <c r="B155" s="376">
        <f>+(B154+0.2)*B143+0.2</f>
        <v>28.944993903401294</v>
      </c>
      <c r="C155" s="297" t="s">
        <v>41</v>
      </c>
      <c r="P155" s="5">
        <f>+M148*4</f>
        <v>18.363329268934198</v>
      </c>
    </row>
    <row r="156" spans="1:16" ht="15.75" customHeight="1" x14ac:dyDescent="0.3">
      <c r="A156" s="343" t="s">
        <v>269</v>
      </c>
      <c r="B156" s="376">
        <f>+B152/B150</f>
        <v>18.657944696877458</v>
      </c>
      <c r="C156" s="394" t="str">
        <f>+IF((7&lt;=(B156)),IF((B156&lt;=30),"Verifica","no verifica"))</f>
        <v>Verifica</v>
      </c>
      <c r="G156" s="12">
        <f>+B166</f>
        <v>1.7</v>
      </c>
    </row>
    <row r="157" spans="1:16" ht="15.75" customHeight="1" x14ac:dyDescent="0.3">
      <c r="O157" s="8">
        <f>+B231</f>
        <v>0.66500000000000004</v>
      </c>
    </row>
    <row r="158" spans="1:16" ht="15.75" customHeight="1" x14ac:dyDescent="0.3">
      <c r="A158" s="619" t="s">
        <v>272</v>
      </c>
      <c r="B158" s="619"/>
      <c r="C158" s="619"/>
    </row>
    <row r="159" spans="1:16" ht="15.75" customHeight="1" x14ac:dyDescent="0.3">
      <c r="A159" s="352" t="s">
        <v>273</v>
      </c>
      <c r="B159" s="376">
        <f>+B140*1000/86400/B143</f>
        <v>64.911000000000016</v>
      </c>
      <c r="C159" s="297" t="s">
        <v>26</v>
      </c>
    </row>
    <row r="160" spans="1:16" ht="15.75" customHeight="1" x14ac:dyDescent="0.3">
      <c r="A160" s="352" t="s">
        <v>274</v>
      </c>
      <c r="B160" s="356">
        <v>4</v>
      </c>
      <c r="C160" s="297" t="s">
        <v>205</v>
      </c>
      <c r="O160" s="8">
        <f>+B232</f>
        <v>1.3304161586167746</v>
      </c>
    </row>
    <row r="161" spans="1:8" ht="15.75" customHeight="1" x14ac:dyDescent="0.3">
      <c r="A161" s="352" t="s">
        <v>275</v>
      </c>
      <c r="B161" s="376">
        <f>+B159/B160</f>
        <v>16.227750000000004</v>
      </c>
      <c r="C161" s="297" t="s">
        <v>26</v>
      </c>
    </row>
    <row r="162" spans="1:8" ht="15.75" customHeight="1" x14ac:dyDescent="0.3">
      <c r="A162" s="352" t="s">
        <v>277</v>
      </c>
      <c r="B162" s="396">
        <f>+B111</f>
        <v>0.16364117647058829</v>
      </c>
      <c r="C162" s="297" t="s">
        <v>51</v>
      </c>
    </row>
    <row r="163" spans="1:8" ht="15.75" customHeight="1" x14ac:dyDescent="0.3">
      <c r="A163" s="352" t="s">
        <v>278</v>
      </c>
      <c r="B163" s="351">
        <f>+B159/1000/B162</f>
        <v>0.39666666666666661</v>
      </c>
      <c r="C163" s="297" t="s">
        <v>80</v>
      </c>
    </row>
    <row r="164" spans="1:8" ht="15.75" customHeight="1" x14ac:dyDescent="0.3">
      <c r="A164" s="352" t="s">
        <v>280</v>
      </c>
      <c r="B164" s="351">
        <f>+B161/1000/B162</f>
        <v>9.9166666666666653E-2</v>
      </c>
      <c r="C164" s="297" t="s">
        <v>80</v>
      </c>
    </row>
    <row r="165" spans="1:8" ht="15.75" customHeight="1" x14ac:dyDescent="0.3">
      <c r="A165" s="352" t="s">
        <v>283</v>
      </c>
      <c r="B165" s="400">
        <v>0.23400000000000001</v>
      </c>
      <c r="C165" s="297" t="s">
        <v>41</v>
      </c>
    </row>
    <row r="166" spans="1:8" ht="15.75" customHeight="1" x14ac:dyDescent="0.3">
      <c r="A166" s="343" t="s">
        <v>284</v>
      </c>
      <c r="B166" s="399">
        <f>+ROUNDUP(B163/B165,2)</f>
        <v>1.7</v>
      </c>
      <c r="C166" s="304" t="s">
        <v>41</v>
      </c>
      <c r="D166" s="397">
        <f>+B106</f>
        <v>1.7</v>
      </c>
      <c r="E166" s="398" t="str">
        <f>+IF(D166=B166,"Verifica","Cambiar Ancho")</f>
        <v>Verifica</v>
      </c>
      <c r="F166" t="s">
        <v>1036</v>
      </c>
    </row>
    <row r="167" spans="1:8" ht="15.75" customHeight="1" x14ac:dyDescent="0.3">
      <c r="A167" s="343" t="s">
        <v>292</v>
      </c>
      <c r="B167" s="351">
        <f>+B164/B165</f>
        <v>0.42378917378917369</v>
      </c>
      <c r="C167" s="297" t="s">
        <v>41</v>
      </c>
    </row>
    <row r="168" spans="1:8" ht="15.75" customHeight="1" x14ac:dyDescent="0.3"/>
    <row r="169" spans="1:8" ht="15.75" customHeight="1" x14ac:dyDescent="0.3">
      <c r="A169" s="619" t="s">
        <v>296</v>
      </c>
      <c r="B169" s="619"/>
      <c r="C169" s="619"/>
      <c r="F169" s="10">
        <f>+B181</f>
        <v>0.1</v>
      </c>
    </row>
    <row r="170" spans="1:8" ht="15.75" customHeight="1" x14ac:dyDescent="0.3">
      <c r="A170" s="343" t="s">
        <v>297</v>
      </c>
      <c r="B170" s="402">
        <f>+B162</f>
        <v>0.16364117647058829</v>
      </c>
      <c r="C170" s="297" t="s">
        <v>51</v>
      </c>
    </row>
    <row r="171" spans="1:8" ht="15.75" customHeight="1" x14ac:dyDescent="0.3">
      <c r="A171" s="343" t="s">
        <v>298</v>
      </c>
      <c r="B171" s="388">
        <f>+B161/1000/B170</f>
        <v>9.9166666666666653E-2</v>
      </c>
      <c r="C171" s="297" t="s">
        <v>80</v>
      </c>
    </row>
    <row r="172" spans="1:8" ht="15.75" customHeight="1" x14ac:dyDescent="0.3">
      <c r="A172" s="343" t="s">
        <v>300</v>
      </c>
      <c r="B172" s="351">
        <f>+B171/B167</f>
        <v>0.23400000000000001</v>
      </c>
      <c r="C172" s="297" t="s">
        <v>41</v>
      </c>
    </row>
    <row r="173" spans="1:8" ht="15.75" customHeight="1" x14ac:dyDescent="0.3">
      <c r="A173" s="343" t="s">
        <v>302</v>
      </c>
      <c r="B173" s="355">
        <f>1*B170^2/(2*9.81)</f>
        <v>1.3648539570172383E-3</v>
      </c>
      <c r="C173" s="297" t="s">
        <v>41</v>
      </c>
    </row>
    <row r="174" spans="1:8" ht="15.75" customHeight="1" x14ac:dyDescent="0.3">
      <c r="H174" s="12">
        <f>+B150</f>
        <v>2.0012400000000006</v>
      </c>
    </row>
    <row r="175" spans="1:8" ht="15.75" customHeight="1" x14ac:dyDescent="0.3">
      <c r="A175" s="619" t="s">
        <v>303</v>
      </c>
      <c r="B175" s="619"/>
      <c r="C175" s="619"/>
      <c r="E175" s="61">
        <f>+B178</f>
        <v>0.8</v>
      </c>
    </row>
    <row r="176" spans="1:8" ht="15.75" customHeight="1" x14ac:dyDescent="0.3">
      <c r="A176" s="352" t="s">
        <v>304</v>
      </c>
      <c r="B176" s="403">
        <v>3.6</v>
      </c>
      <c r="C176" s="297" t="s">
        <v>22</v>
      </c>
    </row>
    <row r="177" spans="1:9" ht="15.75" customHeight="1" x14ac:dyDescent="0.3">
      <c r="A177" s="343" t="s">
        <v>305</v>
      </c>
      <c r="B177" s="351">
        <f>(B176/100)*B152</f>
        <v>1.3442049088264461</v>
      </c>
      <c r="C177" s="297" t="s">
        <v>41</v>
      </c>
      <c r="D177" t="s">
        <v>1037</v>
      </c>
      <c r="F177" s="5">
        <f>+F150</f>
        <v>9.3816646344670982</v>
      </c>
    </row>
    <row r="178" spans="1:9" ht="15.75" customHeight="1" x14ac:dyDescent="0.3">
      <c r="A178" s="343" t="s">
        <v>306</v>
      </c>
      <c r="B178" s="404">
        <v>0.8</v>
      </c>
      <c r="C178" s="342" t="s">
        <v>41</v>
      </c>
    </row>
    <row r="179" spans="1:9" ht="15.75" customHeight="1" x14ac:dyDescent="0.3">
      <c r="A179" s="343" t="s">
        <v>307</v>
      </c>
      <c r="B179" s="356">
        <v>0.3</v>
      </c>
      <c r="C179" s="297" t="s">
        <v>51</v>
      </c>
    </row>
    <row r="180" spans="1:9" ht="15.75" customHeight="1" x14ac:dyDescent="0.3">
      <c r="A180" s="343" t="s">
        <v>308</v>
      </c>
      <c r="B180" s="355">
        <f>+B159/1000/B179</f>
        <v>0.21637000000000003</v>
      </c>
      <c r="C180" s="297" t="s">
        <v>80</v>
      </c>
    </row>
    <row r="181" spans="1:9" ht="15.75" customHeight="1" x14ac:dyDescent="0.3">
      <c r="A181" s="343" t="s">
        <v>309</v>
      </c>
      <c r="B181" s="391">
        <v>0.1</v>
      </c>
      <c r="C181" s="297" t="s">
        <v>41</v>
      </c>
    </row>
    <row r="182" spans="1:9" ht="15.75" customHeight="1" x14ac:dyDescent="0.3">
      <c r="A182" s="343" t="s">
        <v>310</v>
      </c>
      <c r="B182" s="355">
        <f>+PI()*(B181^2)/4</f>
        <v>7.8539816339744835E-3</v>
      </c>
      <c r="C182" s="297" t="s">
        <v>80</v>
      </c>
    </row>
    <row r="183" spans="1:9" ht="15.75" customHeight="1" x14ac:dyDescent="0.3">
      <c r="A183" s="343" t="s">
        <v>311</v>
      </c>
      <c r="B183" s="297">
        <f>+ROUNDUP(B180/B182,0)</f>
        <v>28</v>
      </c>
      <c r="C183" s="297" t="s">
        <v>205</v>
      </c>
    </row>
    <row r="184" spans="1:9" ht="15.75" customHeight="1" x14ac:dyDescent="0.3">
      <c r="A184" s="343" t="s">
        <v>312</v>
      </c>
      <c r="B184" s="355">
        <f>+B159/1000/(B182*B183)</f>
        <v>0.29516875745822913</v>
      </c>
      <c r="C184" s="297" t="s">
        <v>313</v>
      </c>
      <c r="D184" s="405" t="str">
        <f>+IF(B184&gt;0.125,"Verifica","no verifica")</f>
        <v>Verifica</v>
      </c>
    </row>
    <row r="185" spans="1:9" ht="15.75" customHeight="1" x14ac:dyDescent="0.3">
      <c r="A185" s="343" t="s">
        <v>302</v>
      </c>
      <c r="B185" s="355">
        <f>1*B179^2/(2*9.81)</f>
        <v>4.5871559633027517E-3</v>
      </c>
      <c r="C185" s="297" t="s">
        <v>41</v>
      </c>
    </row>
    <row r="186" spans="1:9" ht="15.75" customHeight="1" x14ac:dyDescent="0.3"/>
    <row r="187" spans="1:9" ht="15.75" customHeight="1" x14ac:dyDescent="0.3">
      <c r="A187" s="619" t="s">
        <v>314</v>
      </c>
      <c r="B187" s="619"/>
      <c r="C187" s="619"/>
    </row>
    <row r="188" spans="1:9" ht="15.75" customHeight="1" x14ac:dyDescent="0.3">
      <c r="A188" s="343" t="s">
        <v>315</v>
      </c>
      <c r="B188" s="399">
        <f>+B159/B154</f>
        <v>6.9189213779316807</v>
      </c>
      <c r="C188" s="394" t="str">
        <f>IF(2&lt;=(B159/B154),IF((B159/B154)&lt;=7,"Verifica","no verifica aumentar canal de salida"))</f>
        <v>Verifica</v>
      </c>
    </row>
    <row r="189" spans="1:9" ht="15.75" customHeight="1" x14ac:dyDescent="0.3">
      <c r="A189" s="343" t="s">
        <v>316</v>
      </c>
      <c r="B189" s="356">
        <v>3.1</v>
      </c>
      <c r="C189" s="297" t="s">
        <v>317</v>
      </c>
    </row>
    <row r="190" spans="1:9" ht="15.75" customHeight="1" x14ac:dyDescent="0.3">
      <c r="A190" s="343" t="s">
        <v>318</v>
      </c>
      <c r="B190" s="355">
        <f>+B159/B189</f>
        <v>20.939032258064522</v>
      </c>
      <c r="C190" s="297" t="s">
        <v>41</v>
      </c>
      <c r="D190" s="97">
        <f>+B190-F150</f>
        <v>11.557367623597424</v>
      </c>
      <c r="E190" s="625" t="s">
        <v>589</v>
      </c>
      <c r="F190" s="625"/>
      <c r="G190" s="625"/>
      <c r="H190" s="625"/>
      <c r="I190" s="625"/>
    </row>
    <row r="191" spans="1:9" ht="15.75" customHeight="1" x14ac:dyDescent="0.3">
      <c r="A191" s="343" t="s">
        <v>319</v>
      </c>
      <c r="B191" s="391">
        <v>0.1</v>
      </c>
      <c r="C191" s="297" t="s">
        <v>41</v>
      </c>
    </row>
    <row r="192" spans="1:9" ht="15.75" customHeight="1" x14ac:dyDescent="0.3">
      <c r="A192" s="343" t="s">
        <v>320</v>
      </c>
      <c r="B192" s="351">
        <f>+(B159/1000/B191/B190)^(2/3)</f>
        <v>9.868272403218975E-2</v>
      </c>
      <c r="C192" s="297" t="s">
        <v>41</v>
      </c>
    </row>
    <row r="193" spans="1:7" ht="15.75" customHeight="1" x14ac:dyDescent="0.3"/>
    <row r="194" spans="1:7" ht="15.75" customHeight="1" x14ac:dyDescent="0.3">
      <c r="A194" s="619" t="s">
        <v>321</v>
      </c>
      <c r="B194" s="619"/>
      <c r="C194" s="619"/>
    </row>
    <row r="195" spans="1:7" ht="15.75" customHeight="1" x14ac:dyDescent="0.3">
      <c r="A195" s="343" t="s">
        <v>499</v>
      </c>
      <c r="B195" s="356">
        <v>1.2</v>
      </c>
      <c r="C195" s="297" t="s">
        <v>51</v>
      </c>
      <c r="D195" t="s">
        <v>1038</v>
      </c>
    </row>
    <row r="196" spans="1:7" ht="15.75" customHeight="1" x14ac:dyDescent="0.3">
      <c r="A196" s="343" t="s">
        <v>322</v>
      </c>
      <c r="B196" s="351">
        <f>+B140/86400/B195</f>
        <v>0.16227750000000005</v>
      </c>
      <c r="C196" s="297" t="s">
        <v>80</v>
      </c>
    </row>
    <row r="197" spans="1:7" ht="15.75" customHeight="1" x14ac:dyDescent="0.3">
      <c r="A197" s="343" t="s">
        <v>323</v>
      </c>
      <c r="B197" s="406">
        <f>+B191</f>
        <v>0.1</v>
      </c>
      <c r="C197" s="297" t="s">
        <v>41</v>
      </c>
    </row>
    <row r="198" spans="1:7" ht="15.75" customHeight="1" x14ac:dyDescent="0.3">
      <c r="A198" s="343" t="s">
        <v>324</v>
      </c>
      <c r="B198" s="351">
        <f>+B196/B197</f>
        <v>1.6227750000000003</v>
      </c>
      <c r="C198" s="297" t="s">
        <v>41</v>
      </c>
      <c r="E198" s="267">
        <f>6*30%</f>
        <v>1.7999999999999998</v>
      </c>
    </row>
    <row r="199" spans="1:7" ht="15.75" customHeight="1" x14ac:dyDescent="0.3"/>
    <row r="200" spans="1:7" ht="15.75" customHeight="1" x14ac:dyDescent="0.3">
      <c r="A200" s="619" t="s">
        <v>325</v>
      </c>
      <c r="B200" s="619"/>
      <c r="C200" s="619"/>
    </row>
    <row r="201" spans="1:7" ht="15.75" customHeight="1" x14ac:dyDescent="0.3">
      <c r="A201" s="343" t="s">
        <v>326</v>
      </c>
      <c r="B201" s="385">
        <f>+B149</f>
        <v>350.30221262817054</v>
      </c>
      <c r="C201" s="297" t="s">
        <v>80</v>
      </c>
    </row>
    <row r="202" spans="1:7" ht="15.75" customHeight="1" x14ac:dyDescent="0.3">
      <c r="A202" s="407" t="s">
        <v>590</v>
      </c>
      <c r="B202" s="351">
        <f>+(B150+0.031*(J145/2))*0.1</f>
        <v>0.25799948913002763</v>
      </c>
      <c r="C202" s="297" t="s">
        <v>41</v>
      </c>
    </row>
    <row r="203" spans="1:7" ht="15.75" customHeight="1" x14ac:dyDescent="0.3">
      <c r="A203" s="352" t="s">
        <v>327</v>
      </c>
      <c r="B203" s="297">
        <v>0.61</v>
      </c>
      <c r="C203" s="297"/>
      <c r="D203" t="s">
        <v>1018</v>
      </c>
    </row>
    <row r="204" spans="1:7" ht="15.75" customHeight="1" x14ac:dyDescent="0.3">
      <c r="A204" s="343" t="s">
        <v>328</v>
      </c>
      <c r="B204" s="358">
        <v>0.53</v>
      </c>
      <c r="C204" s="297" t="s">
        <v>229</v>
      </c>
      <c r="D204" s="659" t="s">
        <v>329</v>
      </c>
      <c r="E204" s="660"/>
      <c r="F204" s="660"/>
      <c r="G204" s="660"/>
    </row>
    <row r="205" spans="1:7" ht="15.75" customHeight="1" x14ac:dyDescent="0.3">
      <c r="A205" s="343" t="s">
        <v>330</v>
      </c>
      <c r="B205" s="355">
        <f>+((4/PI())*((2*B201*(B202^0.5))/(B203*B204*3600*((2*9.81)^0.5))))^0.5</f>
        <v>0.29646085407819855</v>
      </c>
      <c r="C205" s="297" t="s">
        <v>41</v>
      </c>
    </row>
    <row r="206" spans="1:7" ht="15.75" customHeight="1" x14ac:dyDescent="0.3">
      <c r="A206" s="343" t="s">
        <v>331</v>
      </c>
      <c r="B206" s="393">
        <v>300</v>
      </c>
      <c r="C206" s="297" t="s">
        <v>45</v>
      </c>
    </row>
    <row r="207" spans="1:7" ht="15.75" customHeight="1" x14ac:dyDescent="0.3"/>
    <row r="208" spans="1:7" ht="15.75" customHeight="1" x14ac:dyDescent="0.3">
      <c r="A208" s="620" t="s">
        <v>332</v>
      </c>
      <c r="B208" s="620"/>
      <c r="C208" s="620"/>
    </row>
    <row r="209" spans="1:4" ht="15.75" customHeight="1" x14ac:dyDescent="0.3">
      <c r="A209" s="629" t="s">
        <v>333</v>
      </c>
      <c r="B209" s="630"/>
      <c r="C209" s="631"/>
    </row>
    <row r="210" spans="1:4" ht="15.75" customHeight="1" x14ac:dyDescent="0.3">
      <c r="A210" s="343" t="s">
        <v>234</v>
      </c>
      <c r="B210" s="385">
        <f>+B142</f>
        <v>6</v>
      </c>
      <c r="C210" s="297" t="s">
        <v>205</v>
      </c>
      <c r="D210" t="s">
        <v>1024</v>
      </c>
    </row>
    <row r="211" spans="1:4" ht="15.75" customHeight="1" x14ac:dyDescent="0.3">
      <c r="A211" s="9"/>
      <c r="B211" s="28"/>
    </row>
    <row r="212" spans="1:4" ht="15.75" customHeight="1" x14ac:dyDescent="0.3">
      <c r="A212" s="619" t="s">
        <v>334</v>
      </c>
      <c r="B212" s="619"/>
      <c r="C212" s="619"/>
    </row>
    <row r="213" spans="1:4" ht="15.75" customHeight="1" x14ac:dyDescent="0.3">
      <c r="A213" s="343" t="s">
        <v>335</v>
      </c>
      <c r="B213" s="385">
        <v>120</v>
      </c>
      <c r="C213" s="297" t="s">
        <v>336</v>
      </c>
      <c r="D213" t="s">
        <v>1023</v>
      </c>
    </row>
    <row r="214" spans="1:4" ht="15.75" customHeight="1" x14ac:dyDescent="0.3">
      <c r="A214" s="343" t="s">
        <v>337</v>
      </c>
      <c r="B214" s="376">
        <f>+B140/B210/B213</f>
        <v>23.367960000000004</v>
      </c>
      <c r="C214" s="297" t="s">
        <v>80</v>
      </c>
    </row>
    <row r="215" spans="1:4" ht="15.75" customHeight="1" x14ac:dyDescent="0.3">
      <c r="A215" s="343" t="s">
        <v>338</v>
      </c>
      <c r="B215" s="408">
        <f>+(B154-0.2)/2</f>
        <v>4.5908323172335495</v>
      </c>
      <c r="C215" s="297" t="s">
        <v>41</v>
      </c>
      <c r="D215" s="409">
        <v>1.6</v>
      </c>
    </row>
    <row r="216" spans="1:4" ht="15.75" customHeight="1" x14ac:dyDescent="0.3">
      <c r="A216" s="343" t="s">
        <v>338</v>
      </c>
      <c r="B216" s="388">
        <f>+B214/B215</f>
        <v>5.0901358153027934</v>
      </c>
      <c r="C216" s="297" t="s">
        <v>41</v>
      </c>
      <c r="D216" s="33">
        <f>B214/D215</f>
        <v>14.604975000000001</v>
      </c>
    </row>
    <row r="217" spans="1:4" ht="15.75" customHeight="1" x14ac:dyDescent="0.3"/>
    <row r="218" spans="1:4" ht="15.75" customHeight="1" x14ac:dyDescent="0.3">
      <c r="A218" s="619" t="s">
        <v>339</v>
      </c>
      <c r="B218" s="619"/>
      <c r="C218" s="619"/>
    </row>
    <row r="219" spans="1:4" ht="15.75" customHeight="1" x14ac:dyDescent="0.3">
      <c r="A219" s="343" t="s">
        <v>340</v>
      </c>
      <c r="B219" s="297">
        <v>30</v>
      </c>
      <c r="C219" s="297" t="s">
        <v>22</v>
      </c>
      <c r="D219" t="s">
        <v>1039</v>
      </c>
    </row>
    <row r="220" spans="1:4" ht="15.75" customHeight="1" x14ac:dyDescent="0.3">
      <c r="A220" s="343" t="s">
        <v>341</v>
      </c>
      <c r="B220" s="297">
        <v>0.7</v>
      </c>
      <c r="C220" s="297" t="s">
        <v>45</v>
      </c>
      <c r="D220" t="s">
        <v>1040</v>
      </c>
    </row>
    <row r="221" spans="1:4" ht="15.75" customHeight="1" x14ac:dyDescent="0.3">
      <c r="A221" s="343" t="s">
        <v>342</v>
      </c>
      <c r="B221" s="297">
        <v>0.72</v>
      </c>
      <c r="C221" s="297" t="s">
        <v>343</v>
      </c>
    </row>
    <row r="222" spans="1:4" ht="15.75" customHeight="1" x14ac:dyDescent="0.3">
      <c r="A222" s="343" t="s">
        <v>344</v>
      </c>
      <c r="B222" s="385">
        <f>+  B214*B221*1000/60</f>
        <v>280.41552000000007</v>
      </c>
      <c r="C222" s="297" t="s">
        <v>26</v>
      </c>
    </row>
    <row r="223" spans="1:4" ht="15.75" customHeight="1" x14ac:dyDescent="0.3">
      <c r="A223" s="9"/>
    </row>
    <row r="224" spans="1:4" ht="15.75" customHeight="1" x14ac:dyDescent="0.3">
      <c r="A224" s="619" t="s">
        <v>345</v>
      </c>
      <c r="B224" s="619"/>
      <c r="C224" s="619"/>
    </row>
    <row r="225" spans="1:6" ht="15.75" customHeight="1" x14ac:dyDescent="0.3">
      <c r="A225" s="343" t="s">
        <v>346</v>
      </c>
      <c r="B225" s="356">
        <v>3</v>
      </c>
      <c r="C225" s="297" t="s">
        <v>205</v>
      </c>
      <c r="D225" s="10" t="s">
        <v>1041</v>
      </c>
      <c r="E225" s="267"/>
    </row>
    <row r="226" spans="1:6" ht="15.75" customHeight="1" x14ac:dyDescent="0.3">
      <c r="A226" s="343" t="s">
        <v>323</v>
      </c>
      <c r="B226" s="356">
        <v>0.2</v>
      </c>
      <c r="C226" s="297" t="s">
        <v>41</v>
      </c>
      <c r="D226" s="267"/>
      <c r="E226" s="267"/>
    </row>
    <row r="227" spans="1:6" ht="15.75" customHeight="1" x14ac:dyDescent="0.3">
      <c r="A227" s="343" t="s">
        <v>347</v>
      </c>
      <c r="B227" s="351">
        <f>+B222/1000/B225*60</f>
        <v>5.6083104000000015</v>
      </c>
      <c r="C227" s="297" t="s">
        <v>348</v>
      </c>
      <c r="D227" s="267"/>
      <c r="E227" s="267"/>
    </row>
    <row r="228" spans="1:6" ht="15.75" customHeight="1" x14ac:dyDescent="0.3">
      <c r="A228" s="343" t="s">
        <v>349</v>
      </c>
      <c r="B228" s="351">
        <f>0.05276*(B227/B226)^(2/3)</f>
        <v>0.4869744225502754</v>
      </c>
      <c r="C228" s="297" t="s">
        <v>41</v>
      </c>
      <c r="D228" s="267"/>
      <c r="E228" s="267"/>
    </row>
    <row r="229" spans="1:6" ht="15.75" customHeight="1" x14ac:dyDescent="0.3">
      <c r="A229" s="343" t="s">
        <v>350</v>
      </c>
      <c r="B229" s="410">
        <v>0.05</v>
      </c>
      <c r="C229" s="297" t="s">
        <v>41</v>
      </c>
      <c r="D229" s="267"/>
      <c r="E229" s="267"/>
    </row>
    <row r="230" spans="1:6" ht="15.75" customHeight="1" x14ac:dyDescent="0.3">
      <c r="A230" s="343" t="s">
        <v>351</v>
      </c>
      <c r="B230" s="357">
        <f>+B229+B228</f>
        <v>0.53697442255027539</v>
      </c>
      <c r="C230" s="297" t="s">
        <v>41</v>
      </c>
      <c r="D230" s="267"/>
      <c r="E230" s="267"/>
    </row>
    <row r="231" spans="1:6" ht="15.75" customHeight="1" x14ac:dyDescent="0.3">
      <c r="A231" s="343" t="s">
        <v>352</v>
      </c>
      <c r="B231" s="419">
        <v>0.66500000000000004</v>
      </c>
      <c r="C231" s="342" t="s">
        <v>497</v>
      </c>
      <c r="D231" s="24">
        <f>+B232/2</f>
        <v>0.66520807930838732</v>
      </c>
      <c r="E231" s="139" t="s">
        <v>41</v>
      </c>
      <c r="F231" t="s">
        <v>1042</v>
      </c>
    </row>
    <row r="232" spans="1:6" ht="15.75" customHeight="1" x14ac:dyDescent="0.3">
      <c r="A232" s="343" t="s">
        <v>353</v>
      </c>
      <c r="B232" s="420">
        <f>(B215-B225*B226-B231*2)/(B225-1)</f>
        <v>1.3304161586167746</v>
      </c>
      <c r="C232" s="297" t="s">
        <v>41</v>
      </c>
      <c r="D232" s="267"/>
      <c r="E232" s="267"/>
    </row>
    <row r="233" spans="1:6" ht="15.75" customHeight="1" x14ac:dyDescent="0.3">
      <c r="A233" s="9"/>
    </row>
    <row r="234" spans="1:6" ht="15.75" customHeight="1" x14ac:dyDescent="0.3">
      <c r="A234" s="620" t="s">
        <v>354</v>
      </c>
      <c r="B234" s="620"/>
      <c r="C234" s="620"/>
      <c r="D234" s="411"/>
      <c r="E234" s="411"/>
      <c r="F234" s="412"/>
    </row>
    <row r="235" spans="1:6" ht="15.75" customHeight="1" x14ac:dyDescent="0.3">
      <c r="A235" s="343" t="s">
        <v>355</v>
      </c>
      <c r="B235" s="364">
        <v>10</v>
      </c>
      <c r="C235" s="297" t="s">
        <v>174</v>
      </c>
    </row>
    <row r="236" spans="1:6" ht="15.75" customHeight="1" x14ac:dyDescent="0.3">
      <c r="A236" s="343" t="s">
        <v>356</v>
      </c>
      <c r="B236" s="297">
        <f>+B221</f>
        <v>0.72</v>
      </c>
      <c r="C236" s="297" t="s">
        <v>357</v>
      </c>
    </row>
    <row r="237" spans="1:6" ht="15.75" customHeight="1" x14ac:dyDescent="0.3">
      <c r="A237" s="343" t="s">
        <v>358</v>
      </c>
      <c r="B237" s="385">
        <f>+B214*(B235*B236)*(B225^(1/3))</f>
        <v>242.65749793651707</v>
      </c>
      <c r="C237" s="297" t="s">
        <v>201</v>
      </c>
      <c r="D237" s="417" t="s">
        <v>359</v>
      </c>
      <c r="E237" s="418">
        <f>+B2*0.05*B4</f>
        <v>801.18720000000008</v>
      </c>
      <c r="F237" s="405" t="str">
        <f>+IF(E237&gt;B237,"Verifica","no verifica")</f>
        <v>Verifica</v>
      </c>
    </row>
    <row r="238" spans="1:6" ht="15.75" customHeight="1" x14ac:dyDescent="0.3">
      <c r="A238" s="343" t="s">
        <v>360</v>
      </c>
      <c r="B238" s="414">
        <v>4</v>
      </c>
      <c r="C238" s="297" t="s">
        <v>229</v>
      </c>
    </row>
    <row r="239" spans="1:6" ht="15.75" customHeight="1" x14ac:dyDescent="0.3">
      <c r="A239" s="343" t="s">
        <v>361</v>
      </c>
      <c r="B239" s="415">
        <v>2.5</v>
      </c>
      <c r="C239" s="297"/>
    </row>
    <row r="240" spans="1:6" ht="15.75" customHeight="1" x14ac:dyDescent="0.3">
      <c r="A240" s="343" t="s">
        <v>362</v>
      </c>
      <c r="B240" s="364">
        <v>1.5</v>
      </c>
      <c r="C240" s="297" t="s">
        <v>229</v>
      </c>
    </row>
    <row r="241" spans="1:4" ht="15.75" customHeight="1" x14ac:dyDescent="0.3">
      <c r="A241" s="343" t="s">
        <v>363</v>
      </c>
      <c r="B241" s="297">
        <v>90</v>
      </c>
      <c r="C241" s="297" t="s">
        <v>174</v>
      </c>
    </row>
    <row r="242" spans="1:4" ht="15.75" customHeight="1" x14ac:dyDescent="0.3">
      <c r="A242" s="343" t="s">
        <v>364</v>
      </c>
      <c r="B242" s="376">
        <f>+B237*1000/(B241*60)</f>
        <v>44.936573691947608</v>
      </c>
      <c r="C242" s="297" t="s">
        <v>26</v>
      </c>
    </row>
    <row r="243" spans="1:4" ht="15.75" customHeight="1" x14ac:dyDescent="0.3">
      <c r="A243" s="343" t="s">
        <v>365</v>
      </c>
      <c r="B243" s="357">
        <f>1000*B242/1000*12/75/0.5*1.2</f>
        <v>17.255644297707882</v>
      </c>
      <c r="C243" s="297" t="s">
        <v>113</v>
      </c>
    </row>
    <row r="244" spans="1:4" ht="15.75" customHeight="1" x14ac:dyDescent="0.3">
      <c r="A244" s="413" t="s">
        <v>366</v>
      </c>
      <c r="B244" s="356">
        <v>20</v>
      </c>
      <c r="C244" s="416" t="s">
        <v>113</v>
      </c>
    </row>
    <row r="245" spans="1:4" ht="15.75" customHeight="1" x14ac:dyDescent="0.3">
      <c r="A245" s="15"/>
    </row>
    <row r="246" spans="1:4" ht="15.75" customHeight="1" x14ac:dyDescent="0.3">
      <c r="A246" s="658" t="s">
        <v>367</v>
      </c>
      <c r="B246" s="658"/>
      <c r="C246" s="658"/>
    </row>
    <row r="247" spans="1:4" ht="15.75" customHeight="1" x14ac:dyDescent="0.3">
      <c r="A247" s="421" t="s">
        <v>368</v>
      </c>
      <c r="B247" s="423">
        <v>20</v>
      </c>
      <c r="C247" s="424" t="s">
        <v>174</v>
      </c>
      <c r="D247" t="s">
        <v>1043</v>
      </c>
    </row>
    <row r="248" spans="1:4" ht="15.75" customHeight="1" x14ac:dyDescent="0.3">
      <c r="A248" s="421"/>
      <c r="B248" s="425">
        <f>+B247/60</f>
        <v>0.33333333333333331</v>
      </c>
      <c r="C248" s="424" t="s">
        <v>229</v>
      </c>
    </row>
    <row r="249" spans="1:4" ht="15.75" customHeight="1" x14ac:dyDescent="0.3">
      <c r="A249" s="421" t="s">
        <v>369</v>
      </c>
      <c r="B249" s="425">
        <f>1.3*B2/(24)*B248</f>
        <v>241.09799999999998</v>
      </c>
      <c r="C249" s="424" t="s">
        <v>370</v>
      </c>
      <c r="D249" t="s">
        <v>1044</v>
      </c>
    </row>
    <row r="250" spans="1:4" ht="15.75" customHeight="1" x14ac:dyDescent="0.3">
      <c r="A250" s="421" t="s">
        <v>371</v>
      </c>
      <c r="B250" s="426">
        <v>2</v>
      </c>
      <c r="C250" s="424"/>
      <c r="D250" t="s">
        <v>1045</v>
      </c>
    </row>
    <row r="251" spans="1:4" ht="15.75" customHeight="1" x14ac:dyDescent="0.3">
      <c r="A251" s="421" t="s">
        <v>373</v>
      </c>
      <c r="B251" s="426">
        <v>0.3</v>
      </c>
      <c r="C251" s="424" t="s">
        <v>41</v>
      </c>
      <c r="D251" t="s">
        <v>1046</v>
      </c>
    </row>
    <row r="252" spans="1:4" ht="15.75" customHeight="1" x14ac:dyDescent="0.3">
      <c r="A252" s="421" t="s">
        <v>374</v>
      </c>
      <c r="B252" s="427">
        <f>+B249/B251</f>
        <v>803.66</v>
      </c>
      <c r="C252" s="424" t="s">
        <v>375</v>
      </c>
    </row>
    <row r="253" spans="1:4" ht="15.75" customHeight="1" x14ac:dyDescent="0.3">
      <c r="A253" s="421" t="s">
        <v>376</v>
      </c>
      <c r="B253" s="428">
        <f>(B252/B250)^0.5</f>
        <v>20.045697792793344</v>
      </c>
      <c r="C253" s="424" t="s">
        <v>41</v>
      </c>
    </row>
    <row r="254" spans="1:4" ht="15.75" customHeight="1" x14ac:dyDescent="0.3">
      <c r="A254" s="421" t="s">
        <v>377</v>
      </c>
      <c r="B254" s="429">
        <f>+B253*2</f>
        <v>40.091395585586689</v>
      </c>
      <c r="C254" s="424" t="s">
        <v>41</v>
      </c>
    </row>
    <row r="255" spans="1:4" ht="15.75" customHeight="1" x14ac:dyDescent="0.3">
      <c r="A255" s="421" t="s">
        <v>378</v>
      </c>
      <c r="B255" s="424">
        <v>10</v>
      </c>
      <c r="C255" s="424" t="s">
        <v>379</v>
      </c>
      <c r="D255" t="s">
        <v>1047</v>
      </c>
    </row>
    <row r="256" spans="1:4" ht="15.75" customHeight="1" x14ac:dyDescent="0.35">
      <c r="A256" s="421" t="s">
        <v>380</v>
      </c>
      <c r="B256" s="425">
        <f>B2*1000*B255/1000000</f>
        <v>133.53120000000001</v>
      </c>
      <c r="C256" s="424" t="s">
        <v>381</v>
      </c>
    </row>
    <row r="257" spans="1:4" ht="15.75" customHeight="1" x14ac:dyDescent="0.3">
      <c r="A257" s="421" t="s">
        <v>382</v>
      </c>
      <c r="B257" s="425">
        <f>+B256/0.08</f>
        <v>1669.14</v>
      </c>
      <c r="C257" s="424" t="s">
        <v>39</v>
      </c>
    </row>
    <row r="258" spans="1:4" ht="15.75" customHeight="1" x14ac:dyDescent="0.3">
      <c r="A258" s="421" t="s">
        <v>1048</v>
      </c>
      <c r="B258" s="430">
        <f>B257*30*1.3</f>
        <v>65096.460000000006</v>
      </c>
      <c r="C258" s="424" t="s">
        <v>384</v>
      </c>
    </row>
    <row r="259" spans="1:4" ht="15.75" customHeight="1" x14ac:dyDescent="0.3">
      <c r="A259" s="421" t="s">
        <v>385</v>
      </c>
      <c r="B259" s="431">
        <v>0.25</v>
      </c>
      <c r="C259" s="424"/>
      <c r="D259" t="s">
        <v>1049</v>
      </c>
    </row>
    <row r="260" spans="1:4" ht="15.75" customHeight="1" x14ac:dyDescent="0.3">
      <c r="A260" s="421" t="s">
        <v>386</v>
      </c>
      <c r="B260" s="425">
        <f>+B257/B259</f>
        <v>6676.56</v>
      </c>
      <c r="C260" s="424" t="s">
        <v>387</v>
      </c>
    </row>
    <row r="261" spans="1:4" ht="15.75" customHeight="1" x14ac:dyDescent="0.3">
      <c r="A261" s="421" t="s">
        <v>388</v>
      </c>
      <c r="B261" s="433">
        <v>750</v>
      </c>
      <c r="C261" s="424" t="s">
        <v>177</v>
      </c>
    </row>
    <row r="262" spans="1:4" ht="15.75" customHeight="1" x14ac:dyDescent="0.3">
      <c r="A262" s="421" t="s">
        <v>389</v>
      </c>
      <c r="B262" s="425">
        <f>+B261*B259</f>
        <v>187.5</v>
      </c>
      <c r="C262" s="424" t="s">
        <v>177</v>
      </c>
    </row>
    <row r="263" spans="1:4" ht="15.75" customHeight="1" x14ac:dyDescent="0.3">
      <c r="A263" s="421" t="s">
        <v>390</v>
      </c>
      <c r="B263" s="425">
        <f>+B261/B260</f>
        <v>0.11233329738667816</v>
      </c>
      <c r="C263" s="424" t="s">
        <v>391</v>
      </c>
    </row>
    <row r="264" spans="1:4" ht="15.75" customHeight="1" x14ac:dyDescent="0.3">
      <c r="A264" s="421" t="s">
        <v>392</v>
      </c>
      <c r="B264" s="425">
        <f>+B260/24</f>
        <v>278.19</v>
      </c>
      <c r="C264" s="424" t="s">
        <v>394</v>
      </c>
    </row>
    <row r="265" spans="1:4" ht="15.75" customHeight="1" x14ac:dyDescent="0.3">
      <c r="A265" s="422"/>
      <c r="B265" s="432">
        <f>+B264/60*7.5</f>
        <v>34.77375</v>
      </c>
      <c r="C265" s="424" t="s">
        <v>395</v>
      </c>
    </row>
    <row r="266" spans="1:4" ht="15.75" customHeight="1" x14ac:dyDescent="0.3"/>
    <row r="267" spans="1:4" ht="15.75" customHeight="1" x14ac:dyDescent="0.3"/>
    <row r="268" spans="1:4" ht="15.75" customHeight="1" x14ac:dyDescent="0.3">
      <c r="A268" s="658" t="s">
        <v>396</v>
      </c>
      <c r="B268" s="658"/>
      <c r="C268" s="658"/>
    </row>
    <row r="269" spans="1:4" ht="15.75" customHeight="1" x14ac:dyDescent="0.3">
      <c r="A269" s="343" t="s">
        <v>397</v>
      </c>
      <c r="B269" s="376">
        <f>+B2/24*B4*B5*2*1.5</f>
        <v>3004.4519999999998</v>
      </c>
      <c r="C269" s="297" t="s">
        <v>201</v>
      </c>
    </row>
    <row r="270" spans="1:4" ht="15.75" customHeight="1" x14ac:dyDescent="0.3">
      <c r="A270" s="343" t="s">
        <v>398</v>
      </c>
      <c r="B270" s="391">
        <v>3.6</v>
      </c>
      <c r="C270" s="297" t="s">
        <v>41</v>
      </c>
      <c r="D270" t="s">
        <v>1050</v>
      </c>
    </row>
    <row r="271" spans="1:4" ht="15.75" customHeight="1" x14ac:dyDescent="0.3">
      <c r="A271" s="343" t="s">
        <v>180</v>
      </c>
      <c r="B271" s="351">
        <f>+((B269/B270)*4/PI())^0.5</f>
        <v>32.597661370865623</v>
      </c>
      <c r="C271" s="297" t="s">
        <v>41</v>
      </c>
    </row>
    <row r="272" spans="1:4" ht="15.75" customHeight="1" x14ac:dyDescent="0.3">
      <c r="A272" s="407" t="s">
        <v>990</v>
      </c>
      <c r="B272" s="351">
        <f>0.3+B270</f>
        <v>3.9</v>
      </c>
      <c r="C272" s="297"/>
      <c r="D272" t="s">
        <v>1051</v>
      </c>
    </row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</sheetData>
  <mergeCells count="33">
    <mergeCell ref="L25:M25"/>
    <mergeCell ref="N25:O25"/>
    <mergeCell ref="A9:C9"/>
    <mergeCell ref="A24:C24"/>
    <mergeCell ref="D32:F32"/>
    <mergeCell ref="A37:C37"/>
    <mergeCell ref="A38:C38"/>
    <mergeCell ref="A45:D45"/>
    <mergeCell ref="A66:D66"/>
    <mergeCell ref="C70:D70"/>
    <mergeCell ref="A78:E78"/>
    <mergeCell ref="A80:C80"/>
    <mergeCell ref="A86:C86"/>
    <mergeCell ref="A102:C102"/>
    <mergeCell ref="D107:H107"/>
    <mergeCell ref="A137:C137"/>
    <mergeCell ref="A138:C138"/>
    <mergeCell ref="A158:C158"/>
    <mergeCell ref="A169:C169"/>
    <mergeCell ref="A175:C175"/>
    <mergeCell ref="A187:C187"/>
    <mergeCell ref="E190:I190"/>
    <mergeCell ref="A194:C194"/>
    <mergeCell ref="A200:C200"/>
    <mergeCell ref="D204:G204"/>
    <mergeCell ref="A234:C234"/>
    <mergeCell ref="A246:C246"/>
    <mergeCell ref="A268:C268"/>
    <mergeCell ref="A208:C208"/>
    <mergeCell ref="A209:C209"/>
    <mergeCell ref="A212:C212"/>
    <mergeCell ref="A218:C218"/>
    <mergeCell ref="A224:C224"/>
  </mergeCells>
  <pageMargins left="0.7" right="0.7" top="0.75" bottom="0.75" header="0" footer="0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8953"/>
  </sheetPr>
  <dimension ref="A1:AN1000"/>
  <sheetViews>
    <sheetView tabSelected="1" zoomScale="90" zoomScaleNormal="90" workbookViewId="0">
      <selection activeCell="O19" sqref="O19"/>
    </sheetView>
  </sheetViews>
  <sheetFormatPr baseColWidth="10" defaultColWidth="14.44140625" defaultRowHeight="15" customHeight="1" x14ac:dyDescent="0.3"/>
  <cols>
    <col min="1" max="1" width="45.6640625" customWidth="1"/>
    <col min="2" max="2" width="11.44140625" customWidth="1"/>
    <col min="3" max="4" width="10.6640625" customWidth="1"/>
    <col min="5" max="5" width="13.44140625" customWidth="1"/>
    <col min="6" max="6" width="17" customWidth="1"/>
    <col min="7" max="9" width="10.6640625" customWidth="1"/>
    <col min="10" max="10" width="19.109375" bestFit="1" customWidth="1"/>
    <col min="11" max="21" width="10.6640625" customWidth="1"/>
    <col min="22" max="22" width="12" customWidth="1"/>
    <col min="23" max="23" width="11.6640625" customWidth="1"/>
    <col min="24" max="24" width="11.33203125" customWidth="1"/>
    <col min="25" max="25" width="11.88671875" customWidth="1"/>
    <col min="26" max="26" width="12" customWidth="1"/>
    <col min="27" max="27" width="11.5546875" customWidth="1"/>
    <col min="28" max="28" width="12.109375" customWidth="1"/>
    <col min="29" max="29" width="13.6640625" customWidth="1"/>
    <col min="30" max="30" width="13.33203125" customWidth="1"/>
    <col min="31" max="31" width="12.109375" customWidth="1"/>
    <col min="32" max="32" width="11.6640625" customWidth="1"/>
    <col min="33" max="33" width="13.6640625" customWidth="1"/>
    <col min="34" max="34" width="12.33203125" customWidth="1"/>
    <col min="35" max="36" width="11.6640625" customWidth="1"/>
    <col min="37" max="37" width="12.5546875" customWidth="1"/>
    <col min="38" max="38" width="11.109375" customWidth="1"/>
    <col min="39" max="40" width="11" customWidth="1"/>
  </cols>
  <sheetData>
    <row r="1" spans="1:9" ht="21.6" thickBot="1" x14ac:dyDescent="0.45">
      <c r="A1" s="687" t="s">
        <v>991</v>
      </c>
      <c r="B1" s="688"/>
      <c r="C1" s="688"/>
      <c r="D1" s="615"/>
    </row>
    <row r="2" spans="1:9" ht="14.4" x14ac:dyDescent="0.3">
      <c r="A2" s="289" t="s">
        <v>1</v>
      </c>
      <c r="B2" s="291">
        <f>+POTABILIZADORA!B2</f>
        <v>13353.12</v>
      </c>
      <c r="C2" s="297" t="s">
        <v>3</v>
      </c>
    </row>
    <row r="3" spans="1:9" ht="14.4" x14ac:dyDescent="0.3">
      <c r="A3" s="289" t="s">
        <v>4</v>
      </c>
      <c r="B3" s="334">
        <v>97</v>
      </c>
      <c r="C3" s="297" t="s">
        <v>6</v>
      </c>
      <c r="D3" t="s">
        <v>1052</v>
      </c>
    </row>
    <row r="4" spans="1:9" ht="14.4" x14ac:dyDescent="0.3">
      <c r="A4" s="289" t="s">
        <v>1019</v>
      </c>
      <c r="B4" s="293">
        <f>+Presiones!I16</f>
        <v>97</v>
      </c>
      <c r="C4" s="297" t="s">
        <v>6</v>
      </c>
    </row>
    <row r="5" spans="1:9" ht="14.4" x14ac:dyDescent="0.3">
      <c r="B5" s="2"/>
    </row>
    <row r="6" spans="1:9" ht="14.4" x14ac:dyDescent="0.3">
      <c r="A6" s="289" t="s">
        <v>12</v>
      </c>
      <c r="B6" s="435">
        <f>+'DATOS Y SISTEMA IMPULSIÓN RÍO'!B20</f>
        <v>1.2</v>
      </c>
      <c r="C6" s="297"/>
      <c r="D6" s="267"/>
      <c r="E6" s="267"/>
    </row>
    <row r="7" spans="1:9" ht="14.4" x14ac:dyDescent="0.3">
      <c r="A7" s="289" t="s">
        <v>20</v>
      </c>
      <c r="B7" s="295">
        <f>B6*B2/86400</f>
        <v>0.18546000000000001</v>
      </c>
      <c r="C7" s="297" t="s">
        <v>24</v>
      </c>
      <c r="D7" s="33">
        <f>+B7*1000</f>
        <v>185.46</v>
      </c>
      <c r="E7" s="267" t="s">
        <v>26</v>
      </c>
    </row>
    <row r="8" spans="1:9" ht="14.4" x14ac:dyDescent="0.3">
      <c r="A8" s="289" t="s">
        <v>27</v>
      </c>
      <c r="B8" s="443">
        <v>12</v>
      </c>
      <c r="C8" s="297" t="s">
        <v>30</v>
      </c>
      <c r="D8" s="267"/>
      <c r="E8" s="267"/>
    </row>
    <row r="9" spans="1:9" ht="14.4" x14ac:dyDescent="0.3">
      <c r="B9" s="7"/>
    </row>
    <row r="10" spans="1:9" ht="14.4" x14ac:dyDescent="0.3">
      <c r="A10" s="436" t="s">
        <v>38</v>
      </c>
      <c r="B10" s="438">
        <f>1.3*(B7^0.5)*(((B8/24)^(1/4)))</f>
        <v>0.47077238656241144</v>
      </c>
      <c r="C10" s="341" t="s">
        <v>41</v>
      </c>
      <c r="D10" s="439"/>
      <c r="E10" s="440"/>
    </row>
    <row r="11" spans="1:9" ht="14.4" x14ac:dyDescent="0.3">
      <c r="A11" s="289" t="s">
        <v>42</v>
      </c>
      <c r="B11" s="308" t="s">
        <v>52</v>
      </c>
      <c r="C11" s="308" t="s">
        <v>53</v>
      </c>
      <c r="D11" s="437" t="s">
        <v>500</v>
      </c>
      <c r="E11" s="441"/>
    </row>
    <row r="12" spans="1:9" ht="14.4" x14ac:dyDescent="0.3">
      <c r="A12" s="289" t="s">
        <v>47</v>
      </c>
      <c r="B12" s="442">
        <v>550</v>
      </c>
      <c r="C12" s="310">
        <v>500</v>
      </c>
      <c r="D12" s="442">
        <v>350</v>
      </c>
      <c r="E12" s="297" t="s">
        <v>45</v>
      </c>
    </row>
    <row r="13" spans="1:9" ht="14.4" x14ac:dyDescent="0.3">
      <c r="A13" s="289" t="s">
        <v>43</v>
      </c>
      <c r="B13" s="442">
        <v>500</v>
      </c>
      <c r="C13" s="310">
        <v>450</v>
      </c>
      <c r="D13" s="442">
        <v>300</v>
      </c>
      <c r="E13" s="297" t="s">
        <v>45</v>
      </c>
    </row>
    <row r="14" spans="1:9" ht="14.4" x14ac:dyDescent="0.3">
      <c r="B14" s="2"/>
      <c r="C14" s="2"/>
      <c r="D14" s="2"/>
    </row>
    <row r="15" spans="1:9" ht="14.4" x14ac:dyDescent="0.3">
      <c r="A15" s="616" t="s">
        <v>599</v>
      </c>
      <c r="B15" s="616"/>
      <c r="C15" s="616"/>
      <c r="D15" s="616"/>
      <c r="E15" s="616"/>
      <c r="F15" s="616"/>
      <c r="G15" s="616"/>
      <c r="H15" s="616"/>
    </row>
    <row r="16" spans="1:9" ht="16.2" thickBot="1" x14ac:dyDescent="0.4">
      <c r="A16" s="296" t="s">
        <v>501</v>
      </c>
      <c r="B16" s="312">
        <f>+B7/(PI()*((B12/1000)^2)/4)</f>
        <v>0.78061158997217606</v>
      </c>
      <c r="C16" s="312">
        <f>+B7/(PI()*((C12/1000)^2)/4)</f>
        <v>0.94454002386633318</v>
      </c>
      <c r="D16" s="312">
        <f>+B7/(PI()*((D12/1000)^2)/4)</f>
        <v>1.9276327017680273</v>
      </c>
      <c r="E16" s="297" t="s">
        <v>51</v>
      </c>
      <c r="F16" s="434" t="str">
        <f>+IF((B16&gt;=0.7),IF(B16&lt;=4,"Verifica","Aumentar Diametro"),"Disminuir Diametro")</f>
        <v>Verifica</v>
      </c>
      <c r="G16" s="434" t="str">
        <f t="shared" ref="G16:H17" si="0">+IF((C16&gt;=0.7),IF(C16&lt;=4,"Verifica","Aumentar Diametro"),"Disminuir Diametro")</f>
        <v>Verifica</v>
      </c>
      <c r="H16" s="434" t="str">
        <f t="shared" si="0"/>
        <v>Verifica</v>
      </c>
      <c r="I16" s="121"/>
    </row>
    <row r="17" spans="1:40" ht="16.2" thickBot="1" x14ac:dyDescent="0.4">
      <c r="A17" s="289" t="s">
        <v>50</v>
      </c>
      <c r="B17" s="312">
        <f>+B7/(PI()*((B13/1000)^2)/4)</f>
        <v>0.94454002386633318</v>
      </c>
      <c r="C17" s="312">
        <f>+B7/(PI()*((C13/1000)^2)/4)</f>
        <v>1.1660987948967074</v>
      </c>
      <c r="D17" s="312">
        <f>+B7/(PI()*((D13/1000)^2)/4)</f>
        <v>2.6237222885175919</v>
      </c>
      <c r="E17" s="297" t="s">
        <v>51</v>
      </c>
      <c r="F17" s="434" t="str">
        <f>+IF((B17&gt;=0.7),IF(B17&lt;=4,"Verifica","Aumentar Diametro"),"Disminuir Diametro")</f>
        <v>Verifica</v>
      </c>
      <c r="G17" s="434" t="str">
        <f t="shared" si="0"/>
        <v>Verifica</v>
      </c>
      <c r="H17" s="434" t="str">
        <f t="shared" si="0"/>
        <v>Verifica</v>
      </c>
      <c r="I17" s="121"/>
      <c r="T17" s="641" t="s">
        <v>971</v>
      </c>
      <c r="U17" s="642"/>
      <c r="V17" s="642"/>
      <c r="W17" s="642"/>
      <c r="X17" s="642"/>
      <c r="Y17" s="642"/>
      <c r="Z17" s="642"/>
      <c r="AA17" s="642"/>
      <c r="AB17" s="642"/>
      <c r="AC17" s="642"/>
      <c r="AD17" s="642"/>
      <c r="AE17" s="642"/>
      <c r="AF17" s="642"/>
      <c r="AG17" s="642"/>
      <c r="AH17" s="642"/>
      <c r="AI17" s="642"/>
      <c r="AJ17" s="642"/>
      <c r="AK17" s="642"/>
      <c r="AL17" s="642"/>
      <c r="AM17" s="642"/>
      <c r="AN17" s="643"/>
    </row>
    <row r="18" spans="1:40" thickBot="1" x14ac:dyDescent="0.35">
      <c r="B18" s="2"/>
      <c r="C18" s="2"/>
      <c r="D18" s="2"/>
      <c r="T18" s="645" t="s">
        <v>502</v>
      </c>
      <c r="U18" s="646"/>
      <c r="V18" s="633" t="s">
        <v>79</v>
      </c>
      <c r="W18" s="635"/>
      <c r="X18" s="635"/>
      <c r="Y18" s="635"/>
      <c r="Z18" s="635"/>
      <c r="AA18" s="635"/>
      <c r="AB18" s="635"/>
      <c r="AC18" s="635"/>
      <c r="AD18" s="635"/>
      <c r="AE18" s="633" t="s">
        <v>974</v>
      </c>
      <c r="AF18" s="635"/>
      <c r="AG18" s="647"/>
      <c r="AH18" s="648"/>
      <c r="AI18" s="633" t="s">
        <v>93</v>
      </c>
      <c r="AJ18" s="633" t="s">
        <v>973</v>
      </c>
      <c r="AK18" s="633" t="s">
        <v>972</v>
      </c>
      <c r="AL18" s="635"/>
      <c r="AM18" s="633" t="s">
        <v>975</v>
      </c>
      <c r="AN18" s="635"/>
    </row>
    <row r="19" spans="1:40" thickBot="1" x14ac:dyDescent="0.35">
      <c r="A19" s="345" t="s">
        <v>977</v>
      </c>
      <c r="B19" s="689" t="s">
        <v>57</v>
      </c>
      <c r="C19" s="689"/>
      <c r="D19" s="689"/>
      <c r="E19" s="689"/>
      <c r="F19" s="265"/>
      <c r="G19" s="265"/>
      <c r="T19" s="127" t="s">
        <v>503</v>
      </c>
      <c r="U19" s="348" t="s">
        <v>504</v>
      </c>
      <c r="V19" s="634"/>
      <c r="W19" s="636"/>
      <c r="X19" s="636"/>
      <c r="Y19" s="636"/>
      <c r="Z19" s="636"/>
      <c r="AA19" s="636"/>
      <c r="AB19" s="636"/>
      <c r="AC19" s="636"/>
      <c r="AD19" s="636"/>
      <c r="AE19" s="634"/>
      <c r="AF19" s="636"/>
      <c r="AG19" s="123"/>
      <c r="AH19" s="123"/>
      <c r="AI19" s="634"/>
      <c r="AJ19" s="634"/>
      <c r="AK19" s="634"/>
      <c r="AL19" s="636"/>
      <c r="AM19" s="634"/>
      <c r="AN19" s="636"/>
    </row>
    <row r="20" spans="1:40" thickBot="1" x14ac:dyDescent="0.35">
      <c r="A20" s="289" t="s">
        <v>58</v>
      </c>
      <c r="B20" s="295">
        <f>+(B7/((27.113*(B12/1000)^2.596)))^(1/0.532)</f>
        <v>1.5759402069391937E-3</v>
      </c>
      <c r="C20" s="295">
        <f>+(B7/((27.113*(C12/1000)^2.596)))^(1/0.532)</f>
        <v>2.5091324694177584E-3</v>
      </c>
      <c r="D20" s="295">
        <f>+(B7/((27.113*(D12/1000)^2.596)))^(1/0.532)</f>
        <v>1.4302059093424829E-2</v>
      </c>
      <c r="E20" s="297" t="s">
        <v>64</v>
      </c>
      <c r="T20" s="127" t="s">
        <v>45</v>
      </c>
      <c r="U20" s="348" t="s">
        <v>505</v>
      </c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</row>
    <row r="21" spans="1:40" ht="15.75" customHeight="1" thickBot="1" x14ac:dyDescent="0.35">
      <c r="A21" s="289" t="s">
        <v>65</v>
      </c>
      <c r="B21" s="295">
        <f>+(B7/((27.113*(B13/1000)^2.596)))^(1/0.532)</f>
        <v>2.5091324694177584E-3</v>
      </c>
      <c r="C21" s="295">
        <f>+(B7/((27.113*(C13/1000)^2.596)))^(1/0.532)</f>
        <v>4.1957188866019249E-3</v>
      </c>
      <c r="D21" s="295">
        <f>+(B7/((27.113*(D13/1000)^2.596)))^(1/0.532)</f>
        <v>3.034441485116034E-2</v>
      </c>
      <c r="E21" s="297" t="s">
        <v>64</v>
      </c>
      <c r="T21" s="125">
        <v>13</v>
      </c>
      <c r="U21" s="126" t="s">
        <v>506</v>
      </c>
      <c r="V21" s="126" t="s">
        <v>512</v>
      </c>
      <c r="W21" s="126" t="s">
        <v>508</v>
      </c>
      <c r="X21" s="126" t="s">
        <v>522</v>
      </c>
      <c r="Y21" s="126" t="s">
        <v>509</v>
      </c>
      <c r="Z21" s="126" t="s">
        <v>509</v>
      </c>
      <c r="AA21" s="126" t="s">
        <v>512</v>
      </c>
      <c r="AB21" s="126" t="s">
        <v>509</v>
      </c>
      <c r="AC21" s="126" t="s">
        <v>509</v>
      </c>
      <c r="AD21" s="126" t="s">
        <v>524</v>
      </c>
      <c r="AE21" s="126" t="s">
        <v>519</v>
      </c>
      <c r="AF21" s="126" t="s">
        <v>540</v>
      </c>
      <c r="AG21" s="126" t="s">
        <v>568</v>
      </c>
      <c r="AH21" s="126" t="s">
        <v>512</v>
      </c>
      <c r="AI21" s="126" t="s">
        <v>525</v>
      </c>
      <c r="AJ21" s="126" t="s">
        <v>525</v>
      </c>
      <c r="AK21" s="126" t="s">
        <v>517</v>
      </c>
      <c r="AL21" s="272" t="s">
        <v>524</v>
      </c>
      <c r="AM21" s="273" t="s">
        <v>507</v>
      </c>
      <c r="AN21" s="273" t="s">
        <v>558</v>
      </c>
    </row>
    <row r="22" spans="1:40" ht="15.75" customHeight="1" thickBot="1" x14ac:dyDescent="0.35">
      <c r="B22" s="2"/>
      <c r="C22" s="2"/>
      <c r="D22" s="2"/>
      <c r="T22" s="125">
        <v>19</v>
      </c>
      <c r="U22" s="126" t="s">
        <v>520</v>
      </c>
      <c r="V22" s="126" t="s">
        <v>524</v>
      </c>
      <c r="W22" s="126" t="s">
        <v>531</v>
      </c>
      <c r="X22" s="126" t="s">
        <v>510</v>
      </c>
      <c r="Y22" s="126" t="s">
        <v>512</v>
      </c>
      <c r="Z22" s="126" t="s">
        <v>512</v>
      </c>
      <c r="AA22" s="126" t="s">
        <v>524</v>
      </c>
      <c r="AB22" s="126" t="s">
        <v>509</v>
      </c>
      <c r="AC22" s="126" t="s">
        <v>509</v>
      </c>
      <c r="AD22" s="126" t="s">
        <v>522</v>
      </c>
      <c r="AE22" s="126" t="s">
        <v>519</v>
      </c>
      <c r="AF22" s="126" t="s">
        <v>906</v>
      </c>
      <c r="AG22" s="126" t="s">
        <v>517</v>
      </c>
      <c r="AH22" s="126" t="s">
        <v>524</v>
      </c>
      <c r="AI22" s="126" t="s">
        <v>539</v>
      </c>
      <c r="AJ22" s="126" t="s">
        <v>539</v>
      </c>
      <c r="AK22" s="126" t="s">
        <v>576</v>
      </c>
      <c r="AL22" s="272" t="s">
        <v>522</v>
      </c>
      <c r="AM22" s="273" t="s">
        <v>558</v>
      </c>
      <c r="AN22" s="273" t="s">
        <v>523</v>
      </c>
    </row>
    <row r="23" spans="1:40" ht="15.75" customHeight="1" thickBot="1" x14ac:dyDescent="0.35">
      <c r="A23" s="632" t="s">
        <v>979</v>
      </c>
      <c r="B23" s="616"/>
      <c r="C23" s="616"/>
      <c r="D23" s="616"/>
      <c r="E23" s="616"/>
      <c r="T23" s="125">
        <v>25</v>
      </c>
      <c r="U23" s="126">
        <v>1</v>
      </c>
      <c r="V23" s="126" t="s">
        <v>522</v>
      </c>
      <c r="W23" s="126" t="s">
        <v>510</v>
      </c>
      <c r="X23" s="126" t="s">
        <v>514</v>
      </c>
      <c r="Y23" s="126" t="s">
        <v>524</v>
      </c>
      <c r="Z23" s="126" t="s">
        <v>512</v>
      </c>
      <c r="AA23" s="126" t="s">
        <v>522</v>
      </c>
      <c r="AB23" s="126" t="s">
        <v>509</v>
      </c>
      <c r="AC23" s="126" t="s">
        <v>512</v>
      </c>
      <c r="AD23" s="126" t="s">
        <v>510</v>
      </c>
      <c r="AE23" s="126" t="s">
        <v>509</v>
      </c>
      <c r="AF23" s="126" t="s">
        <v>561</v>
      </c>
      <c r="AG23" s="126">
        <v>46</v>
      </c>
      <c r="AH23" s="126" t="s">
        <v>522</v>
      </c>
      <c r="AI23" s="126" t="s">
        <v>557</v>
      </c>
      <c r="AJ23" s="126" t="s">
        <v>557</v>
      </c>
      <c r="AK23" s="126" t="s">
        <v>547</v>
      </c>
      <c r="AL23" s="272" t="s">
        <v>510</v>
      </c>
      <c r="AM23" s="273" t="s">
        <v>575</v>
      </c>
      <c r="AN23" s="273" t="s">
        <v>545</v>
      </c>
    </row>
    <row r="24" spans="1:40" ht="15.75" customHeight="1" thickBot="1" x14ac:dyDescent="0.35">
      <c r="A24" s="289" t="s">
        <v>69</v>
      </c>
      <c r="B24" s="334">
        <f>+K31</f>
        <v>129.70000000000002</v>
      </c>
      <c r="C24" s="334">
        <f>+L31</f>
        <v>112.1</v>
      </c>
      <c r="D24" s="334">
        <f>+M31</f>
        <v>129</v>
      </c>
      <c r="E24" s="297" t="s">
        <v>73</v>
      </c>
      <c r="J24" s="464" t="s">
        <v>993</v>
      </c>
      <c r="K24" s="611" t="s">
        <v>986</v>
      </c>
      <c r="L24" s="611"/>
      <c r="M24" s="611"/>
      <c r="T24" s="125">
        <v>32</v>
      </c>
      <c r="U24" s="126" t="s">
        <v>535</v>
      </c>
      <c r="V24" s="126" t="s">
        <v>510</v>
      </c>
      <c r="W24" s="126" t="s">
        <v>513</v>
      </c>
      <c r="X24" s="126" t="s">
        <v>507</v>
      </c>
      <c r="Y24" s="126" t="s">
        <v>522</v>
      </c>
      <c r="Z24" s="126" t="s">
        <v>524</v>
      </c>
      <c r="AA24" s="126" t="s">
        <v>531</v>
      </c>
      <c r="AB24" s="126" t="s">
        <v>512</v>
      </c>
      <c r="AC24" s="126" t="s">
        <v>524</v>
      </c>
      <c r="AD24" s="126" t="s">
        <v>513</v>
      </c>
      <c r="AE24" s="126" t="s">
        <v>509</v>
      </c>
      <c r="AF24" s="126" t="s">
        <v>907</v>
      </c>
      <c r="AG24" s="126" t="s">
        <v>576</v>
      </c>
      <c r="AH24" s="126" t="s">
        <v>510</v>
      </c>
      <c r="AI24" s="126" t="s">
        <v>511</v>
      </c>
      <c r="AJ24" s="126" t="s">
        <v>511</v>
      </c>
      <c r="AK24" s="126" t="s">
        <v>572</v>
      </c>
      <c r="AL24" s="272" t="s">
        <v>513</v>
      </c>
      <c r="AM24" s="273" t="s">
        <v>527</v>
      </c>
      <c r="AN24" s="273" t="s">
        <v>569</v>
      </c>
    </row>
    <row r="25" spans="1:40" ht="15.75" customHeight="1" thickBot="1" x14ac:dyDescent="0.35">
      <c r="A25" s="289" t="s">
        <v>76</v>
      </c>
      <c r="B25" s="334">
        <f>+K37</f>
        <v>51.9</v>
      </c>
      <c r="C25" s="334">
        <f>+L37</f>
        <v>43</v>
      </c>
      <c r="D25" s="334">
        <f>+M37</f>
        <v>51.300000000000004</v>
      </c>
      <c r="E25" s="297" t="s">
        <v>73</v>
      </c>
      <c r="J25" s="309" t="s">
        <v>69</v>
      </c>
      <c r="K25" s="457">
        <f>+B12</f>
        <v>550</v>
      </c>
      <c r="L25" s="457">
        <f>+C12</f>
        <v>500</v>
      </c>
      <c r="M25" s="457">
        <f>+D12</f>
        <v>350</v>
      </c>
      <c r="T25" s="125">
        <v>38</v>
      </c>
      <c r="U25" s="126" t="s">
        <v>544</v>
      </c>
      <c r="V25" s="126" t="s">
        <v>513</v>
      </c>
      <c r="W25" s="126" t="s">
        <v>507</v>
      </c>
      <c r="X25" s="126" t="s">
        <v>532</v>
      </c>
      <c r="Y25" s="126" t="s">
        <v>531</v>
      </c>
      <c r="Z25" s="126" t="s">
        <v>522</v>
      </c>
      <c r="AA25" s="126" t="s">
        <v>510</v>
      </c>
      <c r="AB25" s="126" t="s">
        <v>512</v>
      </c>
      <c r="AC25" s="126" t="s">
        <v>522</v>
      </c>
      <c r="AD25" s="126" t="s">
        <v>525</v>
      </c>
      <c r="AE25" s="126" t="s">
        <v>512</v>
      </c>
      <c r="AF25" s="126" t="s">
        <v>908</v>
      </c>
      <c r="AG25" s="126" t="s">
        <v>906</v>
      </c>
      <c r="AH25" s="126" t="s">
        <v>513</v>
      </c>
      <c r="AI25" s="126" t="s">
        <v>553</v>
      </c>
      <c r="AJ25" s="126" t="s">
        <v>553</v>
      </c>
      <c r="AK25" s="126" t="s">
        <v>909</v>
      </c>
      <c r="AL25" s="272" t="s">
        <v>525</v>
      </c>
      <c r="AM25" s="273" t="s">
        <v>545</v>
      </c>
      <c r="AN25" s="273" t="s">
        <v>910</v>
      </c>
    </row>
    <row r="26" spans="1:40" ht="15.75" customHeight="1" thickBot="1" x14ac:dyDescent="0.35">
      <c r="B26" s="3"/>
      <c r="C26" s="3"/>
      <c r="D26" s="3"/>
      <c r="J26" s="289" t="s">
        <v>77</v>
      </c>
      <c r="K26" s="460">
        <v>90.1</v>
      </c>
      <c r="L26" s="461">
        <v>78.099999999999994</v>
      </c>
      <c r="M26" s="460">
        <v>90</v>
      </c>
      <c r="N26" s="6" t="s">
        <v>94</v>
      </c>
      <c r="T26" s="125">
        <v>50</v>
      </c>
      <c r="U26" s="126">
        <v>2</v>
      </c>
      <c r="V26" s="126" t="s">
        <v>507</v>
      </c>
      <c r="W26" s="126" t="s">
        <v>539</v>
      </c>
      <c r="X26" s="126" t="s">
        <v>557</v>
      </c>
      <c r="Y26" s="126" t="s">
        <v>514</v>
      </c>
      <c r="Z26" s="126" t="s">
        <v>531</v>
      </c>
      <c r="AA26" s="126" t="s">
        <v>513</v>
      </c>
      <c r="AB26" s="126" t="s">
        <v>524</v>
      </c>
      <c r="AC26" s="126" t="s">
        <v>510</v>
      </c>
      <c r="AD26" s="126" t="s">
        <v>530</v>
      </c>
      <c r="AE26" s="126" t="s">
        <v>524</v>
      </c>
      <c r="AF26" s="126" t="s">
        <v>911</v>
      </c>
      <c r="AG26" s="126" t="s">
        <v>912</v>
      </c>
      <c r="AH26" s="126" t="s">
        <v>507</v>
      </c>
      <c r="AI26" s="126" t="s">
        <v>559</v>
      </c>
      <c r="AJ26" s="126" t="s">
        <v>559</v>
      </c>
      <c r="AK26" s="126" t="s">
        <v>913</v>
      </c>
      <c r="AL26" s="272" t="s">
        <v>530</v>
      </c>
      <c r="AM26" s="273" t="s">
        <v>602</v>
      </c>
      <c r="AN26" s="273" t="s">
        <v>914</v>
      </c>
    </row>
    <row r="27" spans="1:40" ht="30" customHeight="1" thickBot="1" x14ac:dyDescent="0.35">
      <c r="A27" s="616" t="s">
        <v>78</v>
      </c>
      <c r="B27" s="616"/>
      <c r="C27" s="616"/>
      <c r="D27" s="616"/>
      <c r="E27" s="616"/>
      <c r="J27" s="289" t="s">
        <v>79</v>
      </c>
      <c r="K27" s="403">
        <v>7.4</v>
      </c>
      <c r="L27" s="461">
        <v>6.2</v>
      </c>
      <c r="M27" s="460">
        <v>7.3</v>
      </c>
      <c r="N27" s="6" t="s">
        <v>95</v>
      </c>
      <c r="T27" s="125">
        <v>63</v>
      </c>
      <c r="U27" s="126" t="s">
        <v>555</v>
      </c>
      <c r="V27" s="126" t="s">
        <v>532</v>
      </c>
      <c r="W27" s="126" t="s">
        <v>557</v>
      </c>
      <c r="X27" s="126" t="s">
        <v>536</v>
      </c>
      <c r="Y27" s="126" t="s">
        <v>513</v>
      </c>
      <c r="Z27" s="126" t="s">
        <v>514</v>
      </c>
      <c r="AA27" s="126" t="s">
        <v>525</v>
      </c>
      <c r="AB27" s="126" t="s">
        <v>522</v>
      </c>
      <c r="AC27" s="126" t="s">
        <v>513</v>
      </c>
      <c r="AD27" s="126" t="s">
        <v>567</v>
      </c>
      <c r="AE27" s="126" t="s">
        <v>524</v>
      </c>
      <c r="AF27" s="126" t="s">
        <v>915</v>
      </c>
      <c r="AG27" s="126" t="s">
        <v>572</v>
      </c>
      <c r="AH27" s="126" t="s">
        <v>532</v>
      </c>
      <c r="AI27" s="126" t="s">
        <v>566</v>
      </c>
      <c r="AJ27" s="126" t="s">
        <v>566</v>
      </c>
      <c r="AK27" s="126" t="s">
        <v>550</v>
      </c>
      <c r="AL27" s="272" t="s">
        <v>567</v>
      </c>
      <c r="AM27" s="273" t="s">
        <v>916</v>
      </c>
      <c r="AN27" s="273" t="s">
        <v>515</v>
      </c>
    </row>
    <row r="28" spans="1:40" ht="15.75" customHeight="1" thickBot="1" x14ac:dyDescent="0.35">
      <c r="A28" s="289" t="s">
        <v>69</v>
      </c>
      <c r="B28" s="346">
        <f>+B32+2</f>
        <v>7.1</v>
      </c>
      <c r="C28" s="318">
        <f>+B28</f>
        <v>7.1</v>
      </c>
      <c r="D28" s="318">
        <f>+C28</f>
        <v>7.1</v>
      </c>
      <c r="E28" s="289" t="s">
        <v>41</v>
      </c>
      <c r="J28" s="289" t="s">
        <v>81</v>
      </c>
      <c r="K28" s="460">
        <v>22</v>
      </c>
      <c r="L28" s="461">
        <v>19</v>
      </c>
      <c r="M28" s="460">
        <v>22</v>
      </c>
      <c r="N28" s="6" t="s">
        <v>97</v>
      </c>
      <c r="T28" s="125">
        <v>75</v>
      </c>
      <c r="U28" s="126">
        <v>3</v>
      </c>
      <c r="V28" s="126" t="s">
        <v>558</v>
      </c>
      <c r="W28" s="126" t="s">
        <v>575</v>
      </c>
      <c r="X28" s="126" t="s">
        <v>516</v>
      </c>
      <c r="Y28" s="126" t="s">
        <v>521</v>
      </c>
      <c r="Z28" s="126" t="s">
        <v>525</v>
      </c>
      <c r="AA28" s="126" t="s">
        <v>532</v>
      </c>
      <c r="AB28" s="126" t="s">
        <v>531</v>
      </c>
      <c r="AC28" s="126" t="s">
        <v>507</v>
      </c>
      <c r="AD28" s="126" t="s">
        <v>546</v>
      </c>
      <c r="AE28" s="126" t="s">
        <v>522</v>
      </c>
      <c r="AF28" s="126" t="s">
        <v>917</v>
      </c>
      <c r="AG28" s="126" t="s">
        <v>918</v>
      </c>
      <c r="AH28" s="126" t="s">
        <v>558</v>
      </c>
      <c r="AI28" s="126" t="s">
        <v>916</v>
      </c>
      <c r="AJ28" s="126" t="s">
        <v>916</v>
      </c>
      <c r="AK28" s="126" t="s">
        <v>565</v>
      </c>
      <c r="AL28" s="272" t="s">
        <v>546</v>
      </c>
      <c r="AM28" s="273" t="s">
        <v>919</v>
      </c>
      <c r="AN28" s="273" t="s">
        <v>606</v>
      </c>
    </row>
    <row r="29" spans="1:40" ht="15.75" customHeight="1" thickBot="1" x14ac:dyDescent="0.35">
      <c r="A29" s="289" t="s">
        <v>76</v>
      </c>
      <c r="B29" s="346">
        <f>2035.06+0.3+10.5</f>
        <v>2045.86</v>
      </c>
      <c r="C29" s="318">
        <f>+B29</f>
        <v>2045.86</v>
      </c>
      <c r="D29" s="318">
        <f>+C29</f>
        <v>2045.86</v>
      </c>
      <c r="E29" s="289" t="s">
        <v>41</v>
      </c>
      <c r="J29" s="289" t="s">
        <v>79</v>
      </c>
      <c r="K29" s="403">
        <v>7.4</v>
      </c>
      <c r="L29" s="461">
        <v>6.2</v>
      </c>
      <c r="M29" s="460">
        <v>7.3</v>
      </c>
      <c r="N29" s="119"/>
      <c r="T29" s="125">
        <v>100</v>
      </c>
      <c r="U29" s="126">
        <v>4</v>
      </c>
      <c r="V29" s="126" t="s">
        <v>575</v>
      </c>
      <c r="W29" s="126" t="s">
        <v>553</v>
      </c>
      <c r="X29" s="126" t="s">
        <v>551</v>
      </c>
      <c r="Y29" s="126" t="s">
        <v>530</v>
      </c>
      <c r="Z29" s="126" t="s">
        <v>532</v>
      </c>
      <c r="AA29" s="126" t="s">
        <v>558</v>
      </c>
      <c r="AB29" s="126" t="s">
        <v>510</v>
      </c>
      <c r="AC29" s="126" t="s">
        <v>558</v>
      </c>
      <c r="AD29" s="126" t="s">
        <v>545</v>
      </c>
      <c r="AE29" s="126" t="s">
        <v>510</v>
      </c>
      <c r="AF29" s="126" t="s">
        <v>920</v>
      </c>
      <c r="AG29" s="126" t="s">
        <v>550</v>
      </c>
      <c r="AH29" s="126" t="s">
        <v>575</v>
      </c>
      <c r="AI29" s="126" t="s">
        <v>906</v>
      </c>
      <c r="AJ29" s="126" t="s">
        <v>906</v>
      </c>
      <c r="AK29" s="126" t="s">
        <v>921</v>
      </c>
      <c r="AL29" s="272" t="s">
        <v>545</v>
      </c>
      <c r="AM29" s="273" t="s">
        <v>914</v>
      </c>
      <c r="AN29" s="273" t="s">
        <v>922</v>
      </c>
    </row>
    <row r="30" spans="1:40" ht="15.75" customHeight="1" thickBot="1" x14ac:dyDescent="0.35">
      <c r="B30" s="3"/>
      <c r="C30" s="122"/>
      <c r="D30" s="122"/>
      <c r="J30" s="289" t="s">
        <v>83</v>
      </c>
      <c r="K30" s="460">
        <v>2.8</v>
      </c>
      <c r="L30" s="461">
        <v>2.6</v>
      </c>
      <c r="M30" s="460">
        <v>2.4</v>
      </c>
      <c r="N30" s="6" t="s">
        <v>98</v>
      </c>
      <c r="T30" s="125">
        <v>125</v>
      </c>
      <c r="U30" s="126">
        <v>5</v>
      </c>
      <c r="V30" s="126" t="s">
        <v>527</v>
      </c>
      <c r="W30" s="126" t="s">
        <v>556</v>
      </c>
      <c r="X30" s="126" t="s">
        <v>602</v>
      </c>
      <c r="Y30" s="126" t="s">
        <v>567</v>
      </c>
      <c r="Z30" s="126" t="s">
        <v>558</v>
      </c>
      <c r="AA30" s="126" t="s">
        <v>575</v>
      </c>
      <c r="AB30" s="126" t="s">
        <v>513</v>
      </c>
      <c r="AC30" s="126" t="s">
        <v>536</v>
      </c>
      <c r="AD30" s="126" t="s">
        <v>569</v>
      </c>
      <c r="AE30" s="126" t="s">
        <v>513</v>
      </c>
      <c r="AF30" s="126" t="s">
        <v>923</v>
      </c>
      <c r="AG30" s="126" t="s">
        <v>915</v>
      </c>
      <c r="AH30" s="126" t="s">
        <v>527</v>
      </c>
      <c r="AI30" s="126" t="s">
        <v>534</v>
      </c>
      <c r="AJ30" s="126" t="s">
        <v>534</v>
      </c>
      <c r="AK30" s="126" t="s">
        <v>924</v>
      </c>
      <c r="AL30" s="272" t="s">
        <v>569</v>
      </c>
      <c r="AM30" s="273" t="s">
        <v>570</v>
      </c>
      <c r="AN30" s="273" t="s">
        <v>601</v>
      </c>
    </row>
    <row r="31" spans="1:40" ht="15.75" customHeight="1" thickBot="1" x14ac:dyDescent="0.35">
      <c r="A31" s="616" t="s">
        <v>84</v>
      </c>
      <c r="B31" s="616"/>
      <c r="C31" s="616"/>
      <c r="D31" s="616"/>
      <c r="E31" s="616"/>
      <c r="J31" s="296" t="s">
        <v>985</v>
      </c>
      <c r="K31" s="458">
        <f t="shared" ref="K31" si="1">SUM(K26:K30)</f>
        <v>129.70000000000002</v>
      </c>
      <c r="L31" s="458">
        <f>SUM(L26:L30)</f>
        <v>112.1</v>
      </c>
      <c r="M31" s="458">
        <f>SUM(M26:M30)</f>
        <v>129</v>
      </c>
      <c r="N31" s="119"/>
      <c r="T31" s="125">
        <v>150</v>
      </c>
      <c r="U31" s="126">
        <v>6</v>
      </c>
      <c r="V31" s="126" t="s">
        <v>551</v>
      </c>
      <c r="W31" s="126" t="s">
        <v>566</v>
      </c>
      <c r="X31" s="126" t="s">
        <v>540</v>
      </c>
      <c r="Y31" s="126" t="s">
        <v>511</v>
      </c>
      <c r="Z31" s="126" t="s">
        <v>567</v>
      </c>
      <c r="AA31" s="126" t="s">
        <v>516</v>
      </c>
      <c r="AB31" s="126" t="s">
        <v>507</v>
      </c>
      <c r="AC31" s="126" t="s">
        <v>516</v>
      </c>
      <c r="AD31" s="126" t="s">
        <v>573</v>
      </c>
      <c r="AE31" s="126" t="s">
        <v>507</v>
      </c>
      <c r="AF31" s="126" t="s">
        <v>925</v>
      </c>
      <c r="AG31" s="126" t="s">
        <v>917</v>
      </c>
      <c r="AH31" s="126" t="s">
        <v>551</v>
      </c>
      <c r="AI31" s="126" t="s">
        <v>572</v>
      </c>
      <c r="AJ31" s="126" t="s">
        <v>572</v>
      </c>
      <c r="AK31" s="126" t="s">
        <v>926</v>
      </c>
      <c r="AL31" s="272" t="s">
        <v>573</v>
      </c>
      <c r="AM31" s="273" t="s">
        <v>562</v>
      </c>
      <c r="AN31" s="273" t="s">
        <v>592</v>
      </c>
    </row>
    <row r="32" spans="1:40" ht="15.75" customHeight="1" thickBot="1" x14ac:dyDescent="0.35">
      <c r="A32" s="289" t="s">
        <v>69</v>
      </c>
      <c r="B32" s="334">
        <f>1+0.5+POTABILIZADORA!$B$270</f>
        <v>5.0999999999999996</v>
      </c>
      <c r="C32" s="324">
        <f>+B32</f>
        <v>5.0999999999999996</v>
      </c>
      <c r="D32" s="324">
        <f>+C32</f>
        <v>5.0999999999999996</v>
      </c>
      <c r="E32" s="297" t="s">
        <v>41</v>
      </c>
      <c r="J32" s="309" t="s">
        <v>76</v>
      </c>
      <c r="K32" s="457">
        <f>+B13</f>
        <v>500</v>
      </c>
      <c r="L32" s="457">
        <f>+C13</f>
        <v>450</v>
      </c>
      <c r="M32" s="457">
        <f>+D13</f>
        <v>300</v>
      </c>
      <c r="N32" s="119"/>
      <c r="T32" s="125">
        <v>200</v>
      </c>
      <c r="U32" s="126">
        <v>8</v>
      </c>
      <c r="V32" s="126" t="s">
        <v>566</v>
      </c>
      <c r="W32" s="126" t="s">
        <v>577</v>
      </c>
      <c r="X32" s="126" t="s">
        <v>914</v>
      </c>
      <c r="Y32" s="126" t="s">
        <v>927</v>
      </c>
      <c r="Z32" s="126" t="s">
        <v>523</v>
      </c>
      <c r="AA32" s="126" t="s">
        <v>554</v>
      </c>
      <c r="AB32" s="126" t="s">
        <v>530</v>
      </c>
      <c r="AC32" s="126" t="s">
        <v>559</v>
      </c>
      <c r="AD32" s="126" t="s">
        <v>928</v>
      </c>
      <c r="AE32" s="126" t="s">
        <v>539</v>
      </c>
      <c r="AF32" s="126" t="s">
        <v>929</v>
      </c>
      <c r="AG32" s="126" t="s">
        <v>920</v>
      </c>
      <c r="AH32" s="126" t="s">
        <v>566</v>
      </c>
      <c r="AI32" s="126" t="s">
        <v>918</v>
      </c>
      <c r="AJ32" s="126" t="s">
        <v>918</v>
      </c>
      <c r="AK32" s="126" t="s">
        <v>930</v>
      </c>
      <c r="AL32" s="272" t="s">
        <v>928</v>
      </c>
      <c r="AM32" s="273" t="s">
        <v>571</v>
      </c>
      <c r="AN32" s="273" t="s">
        <v>560</v>
      </c>
    </row>
    <row r="33" spans="1:40" ht="15.75" customHeight="1" thickBot="1" x14ac:dyDescent="0.35">
      <c r="A33" s="289" t="s">
        <v>76</v>
      </c>
      <c r="B33" s="334">
        <v>18</v>
      </c>
      <c r="C33" s="324">
        <f>+B33</f>
        <v>18</v>
      </c>
      <c r="D33" s="324">
        <f>+C33</f>
        <v>18</v>
      </c>
      <c r="E33" s="297" t="s">
        <v>41</v>
      </c>
      <c r="J33" s="289" t="s">
        <v>79</v>
      </c>
      <c r="K33" s="460">
        <v>6.2</v>
      </c>
      <c r="L33" s="334">
        <v>5.6</v>
      </c>
      <c r="M33" s="463">
        <v>6.1</v>
      </c>
      <c r="N33" s="119"/>
      <c r="T33" s="125">
        <v>250</v>
      </c>
      <c r="U33" s="126">
        <v>10</v>
      </c>
      <c r="V33" s="126" t="s">
        <v>577</v>
      </c>
      <c r="W33" s="126" t="s">
        <v>906</v>
      </c>
      <c r="X33" s="126" t="s">
        <v>931</v>
      </c>
      <c r="Y33" s="126" t="s">
        <v>533</v>
      </c>
      <c r="Z33" s="126" t="s">
        <v>927</v>
      </c>
      <c r="AA33" s="126" t="s">
        <v>528</v>
      </c>
      <c r="AB33" s="126" t="s">
        <v>538</v>
      </c>
      <c r="AC33" s="126" t="s">
        <v>608</v>
      </c>
      <c r="AD33" s="126" t="s">
        <v>579</v>
      </c>
      <c r="AE33" s="126" t="s">
        <v>557</v>
      </c>
      <c r="AF33" s="126" t="s">
        <v>932</v>
      </c>
      <c r="AG33" s="126" t="s">
        <v>923</v>
      </c>
      <c r="AH33" s="126" t="s">
        <v>577</v>
      </c>
      <c r="AI33" s="126" t="s">
        <v>571</v>
      </c>
      <c r="AJ33" s="126" t="s">
        <v>571</v>
      </c>
      <c r="AK33" s="126" t="s">
        <v>933</v>
      </c>
      <c r="AL33" s="272" t="s">
        <v>579</v>
      </c>
      <c r="AM33" s="273" t="s">
        <v>565</v>
      </c>
      <c r="AN33" s="273" t="s">
        <v>934</v>
      </c>
    </row>
    <row r="34" spans="1:40" ht="15.75" customHeight="1" thickBot="1" x14ac:dyDescent="0.35">
      <c r="B34" s="3"/>
      <c r="C34" s="3"/>
      <c r="D34" s="3"/>
      <c r="J34" s="289" t="s">
        <v>89</v>
      </c>
      <c r="K34" s="460">
        <v>24.1</v>
      </c>
      <c r="L34" s="334">
        <v>20.100000000000001</v>
      </c>
      <c r="M34" s="460">
        <v>24</v>
      </c>
      <c r="N34" s="6" t="s">
        <v>106</v>
      </c>
      <c r="T34" s="277">
        <v>300</v>
      </c>
      <c r="U34" s="280">
        <v>11</v>
      </c>
      <c r="V34" s="274" t="s">
        <v>529</v>
      </c>
      <c r="W34" s="280" t="s">
        <v>931</v>
      </c>
      <c r="X34" s="280" t="s">
        <v>526</v>
      </c>
      <c r="Y34" s="280" t="s">
        <v>537</v>
      </c>
      <c r="Z34" s="280" t="s">
        <v>517</v>
      </c>
      <c r="AA34" s="280" t="s">
        <v>910</v>
      </c>
      <c r="AB34" s="280" t="s">
        <v>546</v>
      </c>
      <c r="AC34" s="280" t="s">
        <v>577</v>
      </c>
      <c r="AD34" s="280" t="s">
        <v>935</v>
      </c>
      <c r="AE34" s="274" t="s">
        <v>546</v>
      </c>
      <c r="AF34" s="280" t="s">
        <v>936</v>
      </c>
      <c r="AG34" s="280" t="s">
        <v>925</v>
      </c>
      <c r="AH34" s="280" t="s">
        <v>529</v>
      </c>
      <c r="AI34" s="274" t="s">
        <v>564</v>
      </c>
      <c r="AJ34" s="280" t="s">
        <v>564</v>
      </c>
      <c r="AK34" s="280" t="s">
        <v>937</v>
      </c>
      <c r="AL34" s="283" t="s">
        <v>935</v>
      </c>
      <c r="AM34" s="284" t="s">
        <v>938</v>
      </c>
      <c r="AN34" s="284" t="s">
        <v>563</v>
      </c>
    </row>
    <row r="35" spans="1:40" ht="15.75" customHeight="1" thickBot="1" x14ac:dyDescent="0.35">
      <c r="A35" s="616" t="s">
        <v>90</v>
      </c>
      <c r="B35" s="616"/>
      <c r="C35" s="616"/>
      <c r="D35" s="616"/>
      <c r="E35" s="616"/>
      <c r="J35" s="289" t="s">
        <v>83</v>
      </c>
      <c r="K35" s="460">
        <v>2.6</v>
      </c>
      <c r="L35" s="334">
        <v>1.3</v>
      </c>
      <c r="M35" s="460">
        <v>2.2000000000000002</v>
      </c>
      <c r="N35" s="119"/>
      <c r="T35" s="278">
        <v>350</v>
      </c>
      <c r="U35" s="281">
        <v>12</v>
      </c>
      <c r="V35" s="275" t="s">
        <v>547</v>
      </c>
      <c r="W35" s="281" t="s">
        <v>526</v>
      </c>
      <c r="X35" s="281" t="s">
        <v>543</v>
      </c>
      <c r="Y35" s="280" t="s">
        <v>939</v>
      </c>
      <c r="Z35" s="280" t="s">
        <v>607</v>
      </c>
      <c r="AA35" s="281" t="s">
        <v>574</v>
      </c>
      <c r="AB35" s="281" t="s">
        <v>516</v>
      </c>
      <c r="AC35" s="281" t="s">
        <v>940</v>
      </c>
      <c r="AD35" s="281" t="s">
        <v>941</v>
      </c>
      <c r="AE35" s="275" t="s">
        <v>523</v>
      </c>
      <c r="AF35" s="281" t="s">
        <v>942</v>
      </c>
      <c r="AG35" s="281" t="s">
        <v>943</v>
      </c>
      <c r="AH35" s="281" t="s">
        <v>547</v>
      </c>
      <c r="AI35" s="281" t="s">
        <v>542</v>
      </c>
      <c r="AJ35" s="275" t="s">
        <v>542</v>
      </c>
      <c r="AK35" s="275" t="s">
        <v>944</v>
      </c>
      <c r="AL35" s="285" t="s">
        <v>941</v>
      </c>
      <c r="AM35" s="284" t="s">
        <v>945</v>
      </c>
      <c r="AN35" s="284" t="s">
        <v>946</v>
      </c>
    </row>
    <row r="36" spans="1:40" ht="15.75" customHeight="1" thickBot="1" x14ac:dyDescent="0.35">
      <c r="A36" s="289" t="s">
        <v>69</v>
      </c>
      <c r="B36" s="293">
        <f>+$B$7/(PI()*((B12/1000)^2)/4)</f>
        <v>0.78061158997217606</v>
      </c>
      <c r="C36" s="293">
        <f>+$B$7/(PI()*((C12/1000)^2)/4)</f>
        <v>0.94454002386633318</v>
      </c>
      <c r="D36" s="293">
        <f>+B7/(PI()*((D12/1000)^2)/4)</f>
        <v>1.9276327017680273</v>
      </c>
      <c r="E36" s="297" t="s">
        <v>51</v>
      </c>
      <c r="J36" s="289" t="s">
        <v>93</v>
      </c>
      <c r="K36" s="460">
        <v>19</v>
      </c>
      <c r="L36" s="334">
        <v>16</v>
      </c>
      <c r="M36" s="460">
        <v>19</v>
      </c>
      <c r="N36" s="6" t="s">
        <v>108</v>
      </c>
      <c r="T36" s="125">
        <v>400</v>
      </c>
      <c r="U36" s="126">
        <v>13.5</v>
      </c>
      <c r="V36" s="126" t="s">
        <v>607</v>
      </c>
      <c r="W36" s="126" t="s">
        <v>576</v>
      </c>
      <c r="X36" s="126" t="s">
        <v>947</v>
      </c>
      <c r="Y36" s="126" t="s">
        <v>948</v>
      </c>
      <c r="Z36" s="126" t="s">
        <v>516</v>
      </c>
      <c r="AA36" s="126" t="s">
        <v>551</v>
      </c>
      <c r="AB36" s="126" t="s">
        <v>595</v>
      </c>
      <c r="AC36" s="126" t="s">
        <v>517</v>
      </c>
      <c r="AD36" s="126" t="s">
        <v>529</v>
      </c>
      <c r="AE36" s="126" t="s">
        <v>594</v>
      </c>
      <c r="AF36" s="126" t="s">
        <v>949</v>
      </c>
      <c r="AG36" s="126" t="s">
        <v>950</v>
      </c>
      <c r="AH36" s="126" t="s">
        <v>607</v>
      </c>
      <c r="AI36" s="126" t="s">
        <v>918</v>
      </c>
      <c r="AJ36" s="126" t="s">
        <v>918</v>
      </c>
      <c r="AK36" s="126" t="s">
        <v>951</v>
      </c>
      <c r="AL36" s="272" t="s">
        <v>529</v>
      </c>
      <c r="AM36" s="273" t="s">
        <v>601</v>
      </c>
      <c r="AN36" s="273" t="s">
        <v>952</v>
      </c>
    </row>
    <row r="37" spans="1:40" ht="15.75" customHeight="1" thickBot="1" x14ac:dyDescent="0.35">
      <c r="A37" s="299" t="s">
        <v>76</v>
      </c>
      <c r="B37" s="444">
        <f>+$B$7/(PI()*((B13/1000)^2)/4)</f>
        <v>0.94454002386633318</v>
      </c>
      <c r="C37" s="444">
        <f>+$B$7/(PI()*((C13/1000)^2)/4)</f>
        <v>1.1660987948967074</v>
      </c>
      <c r="D37" s="444">
        <f>+B7/(PI()*((D13/1000)^2)/4)</f>
        <v>2.6237222885175919</v>
      </c>
      <c r="E37" s="445" t="s">
        <v>51</v>
      </c>
      <c r="J37" s="296" t="s">
        <v>985</v>
      </c>
      <c r="K37" s="458">
        <f t="shared" ref="K37" si="2">SUM(K33:K36)</f>
        <v>51.9</v>
      </c>
      <c r="L37" s="458">
        <f>SUM(L33:L36)</f>
        <v>43</v>
      </c>
      <c r="M37" s="458">
        <f>SUM(M33:M36)</f>
        <v>51.300000000000004</v>
      </c>
      <c r="T37" s="279">
        <v>450</v>
      </c>
      <c r="U37" s="282">
        <v>14.8</v>
      </c>
      <c r="V37" s="276" t="s">
        <v>576</v>
      </c>
      <c r="W37" s="282" t="s">
        <v>548</v>
      </c>
      <c r="X37" s="282" t="s">
        <v>953</v>
      </c>
      <c r="Y37" s="282" t="s">
        <v>954</v>
      </c>
      <c r="Z37" s="282" t="s">
        <v>604</v>
      </c>
      <c r="AA37" s="282" t="s">
        <v>596</v>
      </c>
      <c r="AB37" s="282" t="s">
        <v>598</v>
      </c>
      <c r="AC37" s="282" t="s">
        <v>537</v>
      </c>
      <c r="AD37" s="282" t="s">
        <v>552</v>
      </c>
      <c r="AE37" s="276" t="s">
        <v>597</v>
      </c>
      <c r="AF37" s="282" t="s">
        <v>955</v>
      </c>
      <c r="AG37" s="282" t="s">
        <v>956</v>
      </c>
      <c r="AH37" s="282" t="s">
        <v>576</v>
      </c>
      <c r="AI37" s="276" t="s">
        <v>571</v>
      </c>
      <c r="AJ37" s="282" t="s">
        <v>571</v>
      </c>
      <c r="AK37" s="282" t="s">
        <v>957</v>
      </c>
      <c r="AL37" s="286" t="s">
        <v>552</v>
      </c>
      <c r="AM37" s="287" t="s">
        <v>600</v>
      </c>
      <c r="AN37" s="287" t="s">
        <v>958</v>
      </c>
    </row>
    <row r="38" spans="1:40" ht="15.75" customHeight="1" thickBot="1" x14ac:dyDescent="0.35">
      <c r="A38" s="448"/>
      <c r="B38" s="449"/>
      <c r="C38" s="449"/>
      <c r="D38" s="449"/>
      <c r="E38" s="450"/>
      <c r="T38" s="279">
        <v>500</v>
      </c>
      <c r="U38" s="282">
        <v>16.100000000000001</v>
      </c>
      <c r="V38" s="276" t="s">
        <v>940</v>
      </c>
      <c r="W38" s="282" t="s">
        <v>953</v>
      </c>
      <c r="X38" s="282" t="s">
        <v>605</v>
      </c>
      <c r="Y38" s="282" t="s">
        <v>959</v>
      </c>
      <c r="Z38" s="282" t="s">
        <v>593</v>
      </c>
      <c r="AA38" s="282" t="s">
        <v>960</v>
      </c>
      <c r="AB38" s="282" t="s">
        <v>553</v>
      </c>
      <c r="AC38" s="282" t="s">
        <v>576</v>
      </c>
      <c r="AD38" s="282" t="s">
        <v>549</v>
      </c>
      <c r="AE38" s="276" t="s">
        <v>568</v>
      </c>
      <c r="AF38" s="282" t="s">
        <v>961</v>
      </c>
      <c r="AG38" s="282" t="s">
        <v>962</v>
      </c>
      <c r="AH38" s="282" t="s">
        <v>940</v>
      </c>
      <c r="AI38" s="276" t="s">
        <v>564</v>
      </c>
      <c r="AJ38" s="276" t="s">
        <v>564</v>
      </c>
      <c r="AK38" s="276" t="s">
        <v>963</v>
      </c>
      <c r="AL38" s="286" t="s">
        <v>549</v>
      </c>
      <c r="AM38" s="287" t="s">
        <v>964</v>
      </c>
      <c r="AN38" s="287" t="s">
        <v>965</v>
      </c>
    </row>
    <row r="39" spans="1:40" ht="15.75" customHeight="1" thickBot="1" x14ac:dyDescent="0.35">
      <c r="A39" s="300" t="s">
        <v>99</v>
      </c>
      <c r="B39" s="446">
        <v>1</v>
      </c>
      <c r="C39" s="447">
        <f t="shared" ref="C39:D39" si="3">+B39</f>
        <v>1</v>
      </c>
      <c r="D39" s="447">
        <f t="shared" si="3"/>
        <v>1</v>
      </c>
      <c r="E39" s="441" t="s">
        <v>41</v>
      </c>
      <c r="T39" s="278">
        <v>550</v>
      </c>
      <c r="U39" s="281">
        <v>17.399999999999999</v>
      </c>
      <c r="V39" s="275" t="s">
        <v>541</v>
      </c>
      <c r="W39" s="281" t="s">
        <v>605</v>
      </c>
      <c r="X39" s="281" t="s">
        <v>603</v>
      </c>
      <c r="Y39" s="280" t="s">
        <v>574</v>
      </c>
      <c r="Z39" s="280" t="s">
        <v>608</v>
      </c>
      <c r="AA39" s="281" t="s">
        <v>577</v>
      </c>
      <c r="AB39" s="281" t="s">
        <v>591</v>
      </c>
      <c r="AC39" s="281" t="s">
        <v>919</v>
      </c>
      <c r="AD39" s="281" t="s">
        <v>518</v>
      </c>
      <c r="AE39" s="275" t="s">
        <v>553</v>
      </c>
      <c r="AF39" s="281" t="s">
        <v>966</v>
      </c>
      <c r="AG39" s="281" t="s">
        <v>967</v>
      </c>
      <c r="AH39" s="281" t="s">
        <v>541</v>
      </c>
      <c r="AI39" s="281" t="s">
        <v>542</v>
      </c>
      <c r="AJ39" s="275" t="s">
        <v>542</v>
      </c>
      <c r="AK39" s="275" t="s">
        <v>968</v>
      </c>
      <c r="AL39" s="285" t="s">
        <v>518</v>
      </c>
      <c r="AM39" s="284" t="s">
        <v>969</v>
      </c>
      <c r="AN39" s="284" t="s">
        <v>970</v>
      </c>
    </row>
    <row r="40" spans="1:40" ht="15.75" customHeight="1" x14ac:dyDescent="0.3">
      <c r="B40" s="3"/>
      <c r="C40" s="3"/>
      <c r="D40" s="3"/>
    </row>
    <row r="41" spans="1:40" ht="15.75" customHeight="1" x14ac:dyDescent="0.3">
      <c r="A41" s="616" t="s">
        <v>100</v>
      </c>
      <c r="B41" s="616"/>
      <c r="C41" s="616"/>
      <c r="D41" s="616"/>
      <c r="E41" s="616"/>
    </row>
    <row r="42" spans="1:40" ht="15.75" customHeight="1" x14ac:dyDescent="0.3">
      <c r="A42" s="289" t="s">
        <v>69</v>
      </c>
      <c r="B42" s="293">
        <f t="shared" ref="B42:D42" si="4">+B32+(B28+B24)*B20+((B36^2)/(2*9.8))</f>
        <v>5.3466781332888162</v>
      </c>
      <c r="C42" s="293">
        <f>+C32+(C28+C24)*C20+((C36^2)/(2*9.8))</f>
        <v>5.444606746307934</v>
      </c>
      <c r="D42" s="293">
        <f t="shared" si="4"/>
        <v>7.2360902340909101</v>
      </c>
      <c r="E42" s="297" t="s">
        <v>73</v>
      </c>
    </row>
    <row r="43" spans="1:40" ht="15.75" customHeight="1" x14ac:dyDescent="0.3">
      <c r="A43" s="289" t="s">
        <v>76</v>
      </c>
      <c r="B43" s="293">
        <f t="shared" ref="B43:D43" si="5">+B33+(B29+B25)*B21+((B37^2)/(2*9.8))</f>
        <v>23.309075884999135</v>
      </c>
      <c r="C43" s="293">
        <f>+C33+(C29+C25)*C21+((C37^2)/(2*9.8))</f>
        <v>26.833646210582579</v>
      </c>
      <c r="D43" s="293">
        <f t="shared" si="5"/>
        <v>81.988313388405544</v>
      </c>
      <c r="E43" s="297" t="s">
        <v>73</v>
      </c>
    </row>
    <row r="44" spans="1:40" ht="15.75" customHeight="1" thickBot="1" x14ac:dyDescent="0.35">
      <c r="A44" s="289" t="s">
        <v>103</v>
      </c>
      <c r="B44" s="293">
        <f t="shared" ref="B44:D44" si="6">+B43+B42+B39</f>
        <v>29.655754018287951</v>
      </c>
      <c r="C44" s="293">
        <f>+C43+C42+C39</f>
        <v>33.278252956890512</v>
      </c>
      <c r="D44" s="293">
        <f t="shared" si="6"/>
        <v>90.224403622496453</v>
      </c>
      <c r="E44" s="297" t="s">
        <v>73</v>
      </c>
    </row>
    <row r="45" spans="1:40" ht="15.75" customHeight="1" thickBot="1" x14ac:dyDescent="0.35">
      <c r="B45" s="3"/>
      <c r="C45" s="3"/>
      <c r="D45" s="3"/>
      <c r="L45" s="652" t="s">
        <v>982</v>
      </c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4"/>
    </row>
    <row r="46" spans="1:40" ht="15.75" customHeight="1" thickBot="1" x14ac:dyDescent="0.35">
      <c r="B46" s="3"/>
      <c r="C46" s="3"/>
      <c r="D46" s="3"/>
      <c r="L46" s="127" t="s">
        <v>578</v>
      </c>
      <c r="M46" s="123">
        <v>2.5</v>
      </c>
      <c r="N46" s="123">
        <v>5</v>
      </c>
      <c r="O46" s="123" t="s">
        <v>579</v>
      </c>
      <c r="P46" s="123">
        <v>10</v>
      </c>
      <c r="Q46" s="123">
        <v>15</v>
      </c>
      <c r="R46" s="123">
        <v>20</v>
      </c>
      <c r="S46" s="123">
        <v>25</v>
      </c>
      <c r="T46" s="123">
        <v>30</v>
      </c>
      <c r="U46" s="123">
        <v>40</v>
      </c>
      <c r="V46" s="123">
        <v>50</v>
      </c>
      <c r="W46" s="123">
        <v>100</v>
      </c>
      <c r="X46" s="123">
        <v>200</v>
      </c>
    </row>
    <row r="47" spans="1:40" ht="15.75" customHeight="1" thickBot="1" x14ac:dyDescent="0.35">
      <c r="A47" s="616" t="s">
        <v>105</v>
      </c>
      <c r="B47" s="616"/>
      <c r="C47" s="616"/>
      <c r="D47" s="616"/>
      <c r="E47" s="616"/>
      <c r="L47" s="128" t="s">
        <v>580</v>
      </c>
      <c r="M47" s="123">
        <v>45</v>
      </c>
      <c r="N47" s="123">
        <v>52</v>
      </c>
      <c r="O47" s="123">
        <v>61</v>
      </c>
      <c r="P47" s="123">
        <v>66</v>
      </c>
      <c r="Q47" s="123">
        <v>68</v>
      </c>
      <c r="R47" s="123">
        <v>71</v>
      </c>
      <c r="S47" s="123">
        <v>75</v>
      </c>
      <c r="T47" s="123">
        <v>80</v>
      </c>
      <c r="U47" s="123">
        <v>84</v>
      </c>
      <c r="V47" s="123">
        <v>85</v>
      </c>
      <c r="W47" s="123">
        <v>87</v>
      </c>
      <c r="X47" s="123">
        <v>88</v>
      </c>
    </row>
    <row r="48" spans="1:40" ht="15.75" customHeight="1" thickBot="1" x14ac:dyDescent="0.4">
      <c r="A48" s="289" t="s">
        <v>107</v>
      </c>
      <c r="B48" s="293">
        <f>1000*B44*$B$7/75/H49</f>
        <v>83.332668791389139</v>
      </c>
      <c r="C48" s="293">
        <f t="shared" ref="C48:D48" si="7">1000*C44*$B$7/75/I49</f>
        <v>93.511890808862333</v>
      </c>
      <c r="D48" s="293">
        <f t="shared" si="7"/>
        <v>253.53057417921505</v>
      </c>
      <c r="E48" s="297" t="s">
        <v>113</v>
      </c>
    </row>
    <row r="49" spans="1:31" ht="15.75" customHeight="1" thickBot="1" x14ac:dyDescent="0.4">
      <c r="A49" s="289"/>
      <c r="B49" s="293">
        <f t="shared" ref="B49:D49" si="8">1.014*B48</f>
        <v>84.499326154468591</v>
      </c>
      <c r="C49" s="293">
        <f t="shared" si="8"/>
        <v>94.821057280186409</v>
      </c>
      <c r="D49" s="293">
        <f t="shared" si="8"/>
        <v>257.08000221772409</v>
      </c>
      <c r="E49" s="297" t="s">
        <v>116</v>
      </c>
      <c r="F49" s="456">
        <f>+B2*1000/86400</f>
        <v>154.55000000000001</v>
      </c>
      <c r="G49" s="289" t="s">
        <v>117</v>
      </c>
      <c r="H49" s="453">
        <v>0.88</v>
      </c>
      <c r="I49" s="454">
        <f>+H49</f>
        <v>0.88</v>
      </c>
      <c r="J49" s="454">
        <f>+I49</f>
        <v>0.88</v>
      </c>
      <c r="K49" s="121"/>
      <c r="L49" s="655" t="s">
        <v>994</v>
      </c>
      <c r="M49" s="656"/>
      <c r="N49" s="656"/>
      <c r="O49" s="656"/>
      <c r="P49" s="656"/>
      <c r="Q49" s="656"/>
      <c r="R49" s="656"/>
      <c r="S49" s="656"/>
      <c r="T49" s="656"/>
      <c r="U49" s="656"/>
      <c r="V49" s="656"/>
      <c r="W49" s="656"/>
      <c r="X49" s="656"/>
      <c r="Y49" s="656"/>
      <c r="Z49" s="656"/>
      <c r="AA49" s="656"/>
      <c r="AB49" s="656"/>
      <c r="AC49" s="656"/>
      <c r="AD49" s="656"/>
      <c r="AE49" s="657"/>
    </row>
    <row r="50" spans="1:31" ht="15.75" customHeight="1" thickBot="1" x14ac:dyDescent="0.4">
      <c r="A50" s="289" t="s">
        <v>120</v>
      </c>
      <c r="B50" s="293">
        <f>+B49/H50</f>
        <v>93.888140171631761</v>
      </c>
      <c r="C50" s="293">
        <f>+C49/I50</f>
        <v>105.35673031131823</v>
      </c>
      <c r="D50" s="293">
        <f t="shared" ref="D50" si="9">+D49/I50</f>
        <v>285.64444690858232</v>
      </c>
      <c r="E50" s="297" t="s">
        <v>116</v>
      </c>
      <c r="F50" s="141"/>
      <c r="G50" s="289" t="s">
        <v>124</v>
      </c>
      <c r="H50" s="453">
        <v>0.9</v>
      </c>
      <c r="I50" s="453">
        <v>0.9</v>
      </c>
      <c r="J50" s="453">
        <v>0.9</v>
      </c>
      <c r="L50" s="129" t="s">
        <v>116</v>
      </c>
      <c r="M50" s="130" t="s">
        <v>581</v>
      </c>
      <c r="N50" s="131"/>
      <c r="O50" s="130" t="s">
        <v>506</v>
      </c>
      <c r="P50" s="130" t="s">
        <v>520</v>
      </c>
      <c r="Q50" s="130">
        <v>1</v>
      </c>
      <c r="R50" s="130" t="s">
        <v>582</v>
      </c>
      <c r="S50" s="130">
        <v>2</v>
      </c>
      <c r="T50" s="130">
        <v>3</v>
      </c>
      <c r="U50" s="130">
        <v>4</v>
      </c>
      <c r="V50" s="130">
        <v>5</v>
      </c>
      <c r="W50" s="130">
        <v>6</v>
      </c>
      <c r="X50" s="130" t="s">
        <v>583</v>
      </c>
      <c r="Y50" s="130">
        <v>10</v>
      </c>
      <c r="Z50" s="130">
        <v>12</v>
      </c>
      <c r="AA50" s="130">
        <v>15</v>
      </c>
      <c r="AB50" s="130">
        <v>20</v>
      </c>
      <c r="AC50" s="130">
        <v>30</v>
      </c>
      <c r="AD50" s="130">
        <v>50</v>
      </c>
      <c r="AE50" s="130">
        <v>100</v>
      </c>
    </row>
    <row r="51" spans="1:31" ht="15.75" customHeight="1" thickBot="1" x14ac:dyDescent="0.35">
      <c r="A51" s="289" t="s">
        <v>126</v>
      </c>
      <c r="B51" s="334">
        <v>10</v>
      </c>
      <c r="C51" s="334">
        <v>11</v>
      </c>
      <c r="D51" s="334">
        <v>10</v>
      </c>
      <c r="E51" s="297" t="s">
        <v>22</v>
      </c>
      <c r="L51" s="132" t="s">
        <v>584</v>
      </c>
      <c r="M51" s="130">
        <v>61</v>
      </c>
      <c r="N51" s="130">
        <v>63</v>
      </c>
      <c r="O51" s="130">
        <v>64</v>
      </c>
      <c r="P51" s="130">
        <v>67</v>
      </c>
      <c r="Q51" s="130">
        <v>72</v>
      </c>
      <c r="R51" s="130">
        <v>73</v>
      </c>
      <c r="S51" s="130">
        <v>75</v>
      </c>
      <c r="T51" s="130">
        <v>77</v>
      </c>
      <c r="U51" s="130">
        <v>79</v>
      </c>
      <c r="V51" s="130">
        <v>81</v>
      </c>
      <c r="W51" s="130">
        <v>82</v>
      </c>
      <c r="X51" s="130">
        <v>82.4</v>
      </c>
      <c r="Y51" s="130">
        <v>83</v>
      </c>
      <c r="Z51" s="130">
        <v>84</v>
      </c>
      <c r="AA51" s="130">
        <v>85</v>
      </c>
      <c r="AB51" s="130">
        <v>86</v>
      </c>
      <c r="AC51" s="130">
        <v>87</v>
      </c>
      <c r="AD51" s="130">
        <v>88</v>
      </c>
      <c r="AE51" s="130">
        <v>90</v>
      </c>
    </row>
    <row r="52" spans="1:31" ht="15.75" customHeight="1" x14ac:dyDescent="0.35">
      <c r="A52" s="289" t="s">
        <v>127</v>
      </c>
      <c r="B52" s="293">
        <f t="shared" ref="B52:D52" si="10">(1+B51/100)*B50</f>
        <v>103.27695418879495</v>
      </c>
      <c r="C52" s="293">
        <f t="shared" ref="C52" si="11">(1+C51/100)*C50</f>
        <v>116.94597064556325</v>
      </c>
      <c r="D52" s="293">
        <f t="shared" si="10"/>
        <v>314.20889159944056</v>
      </c>
      <c r="E52" s="297" t="s">
        <v>116</v>
      </c>
    </row>
    <row r="53" spans="1:31" ht="15.75" customHeight="1" thickBot="1" x14ac:dyDescent="0.35">
      <c r="A53" s="451" t="s">
        <v>130</v>
      </c>
      <c r="B53" s="452"/>
      <c r="C53" s="334">
        <v>120</v>
      </c>
      <c r="D53" s="297" t="s">
        <v>116</v>
      </c>
      <c r="E53" s="101"/>
      <c r="F53" s="629" t="s">
        <v>136</v>
      </c>
      <c r="G53" s="630"/>
      <c r="H53" s="631"/>
    </row>
    <row r="54" spans="1:31" ht="15.75" customHeight="1" x14ac:dyDescent="0.3">
      <c r="B54" s="3"/>
      <c r="C54" s="3"/>
      <c r="F54" s="649" t="s">
        <v>137</v>
      </c>
      <c r="G54" s="650"/>
      <c r="H54" s="650"/>
    </row>
    <row r="55" spans="1:31" ht="15.75" customHeight="1" x14ac:dyDescent="0.3">
      <c r="A55" s="620" t="s">
        <v>138</v>
      </c>
      <c r="B55" s="620"/>
      <c r="C55" s="620"/>
      <c r="D55" s="620"/>
      <c r="E55" s="620"/>
      <c r="F55" s="650"/>
      <c r="G55" s="650"/>
      <c r="H55" s="650"/>
    </row>
    <row r="56" spans="1:31" ht="15.75" customHeight="1" x14ac:dyDescent="0.3">
      <c r="A56" s="608" t="s">
        <v>992</v>
      </c>
      <c r="B56" s="690"/>
      <c r="C56" s="690"/>
      <c r="D56" s="690"/>
      <c r="E56" s="691"/>
      <c r="F56" s="650"/>
      <c r="G56" s="650"/>
      <c r="H56" s="650"/>
    </row>
    <row r="57" spans="1:31" ht="15.75" customHeight="1" x14ac:dyDescent="0.3">
      <c r="A57" s="343" t="s">
        <v>139</v>
      </c>
      <c r="B57" s="293">
        <f>+((B36^2)/(2*9.8))+0.2</f>
        <v>0.23108951297953514</v>
      </c>
      <c r="C57" s="293">
        <f t="shared" ref="C57:D57" si="12">+((C36^2)/(2*9.8))+0.2</f>
        <v>0.24551815595333742</v>
      </c>
      <c r="D57" s="293">
        <f t="shared" si="12"/>
        <v>0.38957999147579103</v>
      </c>
      <c r="E57" s="297" t="s">
        <v>41</v>
      </c>
      <c r="F57" s="650"/>
      <c r="G57" s="650"/>
      <c r="H57" s="650"/>
    </row>
    <row r="58" spans="1:31" ht="15.75" customHeight="1" x14ac:dyDescent="0.3">
      <c r="A58" s="343" t="s">
        <v>140</v>
      </c>
      <c r="B58" s="293">
        <v>0.5</v>
      </c>
      <c r="C58" s="297"/>
      <c r="D58" s="297"/>
      <c r="E58" s="297" t="s">
        <v>41</v>
      </c>
      <c r="F58" s="650"/>
      <c r="G58" s="650"/>
      <c r="H58" s="650"/>
    </row>
    <row r="59" spans="1:31" ht="15.75" customHeight="1" x14ac:dyDescent="0.3">
      <c r="A59" s="343" t="s">
        <v>141</v>
      </c>
      <c r="B59" s="334">
        <v>0.5</v>
      </c>
      <c r="C59" s="297"/>
      <c r="D59" s="297"/>
      <c r="E59" s="297" t="s">
        <v>41</v>
      </c>
      <c r="F59" s="650"/>
      <c r="G59" s="650"/>
      <c r="H59" s="650"/>
    </row>
    <row r="60" spans="1:31" ht="15.75" customHeight="1" x14ac:dyDescent="0.3">
      <c r="B60" s="3"/>
      <c r="C60" s="3"/>
    </row>
    <row r="61" spans="1:31" ht="15.75" customHeight="1" x14ac:dyDescent="0.3">
      <c r="A61" s="620" t="s">
        <v>142</v>
      </c>
      <c r="B61" s="620"/>
      <c r="C61" s="620"/>
      <c r="D61" s="620"/>
      <c r="E61" s="620"/>
      <c r="F61" s="620"/>
      <c r="G61" s="455"/>
    </row>
    <row r="62" spans="1:31" ht="15.75" customHeight="1" x14ac:dyDescent="0.3">
      <c r="A62" s="684" t="s">
        <v>585</v>
      </c>
      <c r="B62" s="685"/>
      <c r="C62" s="685"/>
      <c r="D62" s="685"/>
      <c r="E62" s="685"/>
      <c r="F62" s="686"/>
    </row>
    <row r="63" spans="1:31" ht="15" customHeight="1" x14ac:dyDescent="0.3">
      <c r="A63" s="297" t="s">
        <v>143</v>
      </c>
      <c r="B63" s="291"/>
      <c r="C63" s="291"/>
      <c r="D63" s="297"/>
      <c r="E63" s="297" t="s">
        <v>145</v>
      </c>
      <c r="F63" s="297"/>
    </row>
    <row r="64" spans="1:31" ht="15.75" customHeight="1" x14ac:dyDescent="0.3">
      <c r="A64" s="297" t="s">
        <v>146</v>
      </c>
      <c r="B64" s="291"/>
      <c r="C64" s="291"/>
      <c r="D64" s="297" t="s">
        <v>147</v>
      </c>
      <c r="E64" s="297" t="s">
        <v>148</v>
      </c>
      <c r="F64" s="297" t="s">
        <v>149</v>
      </c>
      <c r="H64" s="2"/>
      <c r="I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6" ht="15.75" customHeight="1" x14ac:dyDescent="0.3">
      <c r="A65" s="297" t="s">
        <v>150</v>
      </c>
      <c r="B65" s="291"/>
      <c r="C65" s="291"/>
      <c r="D65" s="297" t="s">
        <v>151</v>
      </c>
      <c r="E65" s="297" t="s">
        <v>152</v>
      </c>
      <c r="F65" s="297" t="s">
        <v>153</v>
      </c>
      <c r="H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97" t="s">
        <v>154</v>
      </c>
      <c r="B66" s="291"/>
      <c r="C66" s="291"/>
      <c r="D66" s="342" t="s">
        <v>984</v>
      </c>
      <c r="E66" s="297" t="s">
        <v>155</v>
      </c>
      <c r="F66" s="297" t="s">
        <v>156</v>
      </c>
      <c r="H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B67" s="2"/>
    </row>
    <row r="68" spans="1:26" ht="15.75" customHeight="1" x14ac:dyDescent="0.3">
      <c r="B68" s="2"/>
    </row>
    <row r="69" spans="1:26" ht="15.75" customHeight="1" x14ac:dyDescent="0.3">
      <c r="B69" s="2"/>
    </row>
    <row r="70" spans="1:26" ht="15.75" customHeight="1" x14ac:dyDescent="0.3">
      <c r="B70" s="2"/>
    </row>
    <row r="71" spans="1:26" ht="15.75" customHeight="1" x14ac:dyDescent="0.3">
      <c r="B71" s="2"/>
    </row>
    <row r="72" spans="1:26" ht="15.75" customHeight="1" x14ac:dyDescent="0.3">
      <c r="B72" s="2"/>
    </row>
    <row r="73" spans="1:26" ht="15.75" customHeight="1" x14ac:dyDescent="0.3">
      <c r="B73" s="2"/>
    </row>
    <row r="74" spans="1:26" ht="15.75" customHeight="1" x14ac:dyDescent="0.3">
      <c r="B74" s="2"/>
    </row>
    <row r="75" spans="1:26" ht="15.75" customHeight="1" x14ac:dyDescent="0.3">
      <c r="B75" s="2"/>
    </row>
    <row r="76" spans="1:26" ht="15.75" customHeight="1" x14ac:dyDescent="0.3">
      <c r="B76" s="2"/>
    </row>
    <row r="77" spans="1:26" ht="15.75" customHeight="1" x14ac:dyDescent="0.3">
      <c r="B77" s="2"/>
    </row>
    <row r="78" spans="1:26" ht="15.75" customHeight="1" x14ac:dyDescent="0.3">
      <c r="B78" s="2"/>
    </row>
    <row r="79" spans="1:26" ht="15.75" customHeight="1" x14ac:dyDescent="0.3">
      <c r="B79" s="2"/>
    </row>
    <row r="80" spans="1:26" ht="15.75" customHeight="1" x14ac:dyDescent="0.3">
      <c r="B80" s="2"/>
    </row>
    <row r="81" spans="2:2" ht="15.75" customHeight="1" x14ac:dyDescent="0.3">
      <c r="B81" s="2"/>
    </row>
    <row r="82" spans="2:2" ht="15.75" customHeight="1" x14ac:dyDescent="0.3">
      <c r="B82" s="2"/>
    </row>
    <row r="83" spans="2:2" ht="15.75" customHeight="1" x14ac:dyDescent="0.3">
      <c r="B83" s="2"/>
    </row>
    <row r="84" spans="2:2" ht="15.75" customHeight="1" x14ac:dyDescent="0.3">
      <c r="B84" s="2"/>
    </row>
    <row r="85" spans="2:2" ht="15.75" customHeight="1" x14ac:dyDescent="0.3">
      <c r="B85" s="2"/>
    </row>
    <row r="86" spans="2:2" ht="15.75" customHeight="1" x14ac:dyDescent="0.3">
      <c r="B86" s="2"/>
    </row>
    <row r="87" spans="2:2" ht="15.75" customHeight="1" x14ac:dyDescent="0.3">
      <c r="B87" s="2"/>
    </row>
    <row r="88" spans="2:2" ht="15.75" customHeight="1" x14ac:dyDescent="0.3">
      <c r="B88" s="2"/>
    </row>
    <row r="89" spans="2:2" ht="15.75" customHeight="1" x14ac:dyDescent="0.3">
      <c r="B89" s="2"/>
    </row>
    <row r="90" spans="2:2" ht="15.75" customHeight="1" x14ac:dyDescent="0.3">
      <c r="B90" s="2"/>
    </row>
    <row r="91" spans="2:2" ht="15.75" customHeight="1" x14ac:dyDescent="0.3">
      <c r="B91" s="2"/>
    </row>
    <row r="92" spans="2:2" ht="15.75" customHeight="1" x14ac:dyDescent="0.3">
      <c r="B92" s="2"/>
    </row>
    <row r="93" spans="2:2" ht="15.75" customHeight="1" x14ac:dyDescent="0.3">
      <c r="B93" s="2"/>
    </row>
    <row r="94" spans="2:2" ht="15.75" customHeight="1" x14ac:dyDescent="0.3">
      <c r="B94" s="2"/>
    </row>
    <row r="95" spans="2:2" ht="15.75" customHeight="1" x14ac:dyDescent="0.3">
      <c r="B95" s="2"/>
    </row>
    <row r="96" spans="2:2" ht="15.75" customHeight="1" x14ac:dyDescent="0.3">
      <c r="B96" s="2"/>
    </row>
    <row r="97" spans="2:2" ht="15.75" customHeight="1" x14ac:dyDescent="0.3">
      <c r="B97" s="2"/>
    </row>
    <row r="98" spans="2:2" ht="15.75" customHeight="1" x14ac:dyDescent="0.3">
      <c r="B98" s="2"/>
    </row>
    <row r="99" spans="2:2" ht="15.75" customHeight="1" x14ac:dyDescent="0.3">
      <c r="B99" s="2"/>
    </row>
    <row r="100" spans="2:2" ht="15.75" customHeight="1" x14ac:dyDescent="0.3">
      <c r="B100" s="2"/>
    </row>
    <row r="101" spans="2:2" ht="15.75" customHeight="1" x14ac:dyDescent="0.3">
      <c r="B101" s="2"/>
    </row>
    <row r="102" spans="2:2" ht="15.75" customHeight="1" x14ac:dyDescent="0.3">
      <c r="B102" s="2"/>
    </row>
    <row r="103" spans="2:2" ht="15.75" customHeight="1" x14ac:dyDescent="0.3">
      <c r="B103" s="2"/>
    </row>
    <row r="104" spans="2:2" ht="15.75" customHeight="1" x14ac:dyDescent="0.3">
      <c r="B104" s="2"/>
    </row>
    <row r="105" spans="2:2" ht="15.75" customHeight="1" x14ac:dyDescent="0.3">
      <c r="B105" s="2"/>
    </row>
    <row r="106" spans="2:2" ht="15.75" customHeight="1" x14ac:dyDescent="0.3">
      <c r="B106" s="2"/>
    </row>
    <row r="107" spans="2:2" ht="15.75" customHeight="1" x14ac:dyDescent="0.3">
      <c r="B107" s="2"/>
    </row>
    <row r="108" spans="2:2" ht="15.75" customHeight="1" x14ac:dyDescent="0.3">
      <c r="B108" s="2"/>
    </row>
    <row r="109" spans="2:2" ht="15.75" customHeight="1" x14ac:dyDescent="0.3">
      <c r="B109" s="2"/>
    </row>
    <row r="110" spans="2:2" ht="15.75" customHeight="1" x14ac:dyDescent="0.3">
      <c r="B110" s="2"/>
    </row>
    <row r="111" spans="2:2" ht="15.75" customHeight="1" x14ac:dyDescent="0.3">
      <c r="B111" s="2"/>
    </row>
    <row r="112" spans="2:2" ht="15.75" customHeight="1" x14ac:dyDescent="0.3">
      <c r="B112" s="2"/>
    </row>
    <row r="113" spans="2:2" ht="15.75" customHeight="1" x14ac:dyDescent="0.3">
      <c r="B113" s="2"/>
    </row>
    <row r="114" spans="2:2" ht="15.75" customHeight="1" x14ac:dyDescent="0.3">
      <c r="B114" s="2"/>
    </row>
    <row r="115" spans="2:2" ht="15.75" customHeight="1" x14ac:dyDescent="0.3">
      <c r="B115" s="2"/>
    </row>
    <row r="116" spans="2:2" ht="15.75" customHeight="1" x14ac:dyDescent="0.3">
      <c r="B116" s="2"/>
    </row>
    <row r="117" spans="2:2" ht="15.75" customHeight="1" x14ac:dyDescent="0.3">
      <c r="B117" s="2"/>
    </row>
    <row r="118" spans="2:2" ht="15.75" customHeight="1" x14ac:dyDescent="0.3">
      <c r="B118" s="2"/>
    </row>
    <row r="119" spans="2:2" ht="15.75" customHeight="1" x14ac:dyDescent="0.3">
      <c r="B119" s="2"/>
    </row>
    <row r="120" spans="2:2" ht="15.75" customHeight="1" x14ac:dyDescent="0.3">
      <c r="B120" s="2"/>
    </row>
    <row r="121" spans="2:2" ht="15.75" customHeight="1" x14ac:dyDescent="0.3">
      <c r="B121" s="2"/>
    </row>
    <row r="122" spans="2:2" ht="15.75" customHeight="1" x14ac:dyDescent="0.3">
      <c r="B122" s="2"/>
    </row>
    <row r="123" spans="2:2" ht="15.75" customHeight="1" x14ac:dyDescent="0.3">
      <c r="B123" s="2"/>
    </row>
    <row r="124" spans="2:2" ht="15.75" customHeight="1" x14ac:dyDescent="0.3">
      <c r="B124" s="2"/>
    </row>
    <row r="125" spans="2:2" ht="15.75" customHeight="1" x14ac:dyDescent="0.3">
      <c r="B125" s="2"/>
    </row>
    <row r="126" spans="2:2" ht="15.75" customHeight="1" x14ac:dyDescent="0.3">
      <c r="B126" s="2"/>
    </row>
    <row r="127" spans="2:2" ht="15.75" customHeight="1" x14ac:dyDescent="0.3">
      <c r="B127" s="2"/>
    </row>
    <row r="128" spans="2:2" ht="15.75" customHeight="1" x14ac:dyDescent="0.3">
      <c r="B128" s="2"/>
    </row>
    <row r="129" spans="2:2" ht="15.75" customHeight="1" x14ac:dyDescent="0.3">
      <c r="B129" s="2"/>
    </row>
    <row r="130" spans="2:2" ht="15.75" customHeight="1" x14ac:dyDescent="0.3">
      <c r="B130" s="2"/>
    </row>
    <row r="131" spans="2:2" ht="15.75" customHeight="1" x14ac:dyDescent="0.3">
      <c r="B131" s="2"/>
    </row>
    <row r="132" spans="2:2" ht="15.75" customHeight="1" x14ac:dyDescent="0.3">
      <c r="B132" s="2"/>
    </row>
    <row r="133" spans="2:2" ht="15.75" customHeight="1" x14ac:dyDescent="0.3">
      <c r="B133" s="2"/>
    </row>
    <row r="134" spans="2:2" ht="15.75" customHeight="1" x14ac:dyDescent="0.3">
      <c r="B134" s="2"/>
    </row>
    <row r="135" spans="2:2" ht="15.75" customHeight="1" x14ac:dyDescent="0.3">
      <c r="B135" s="2"/>
    </row>
    <row r="136" spans="2:2" ht="15.75" customHeight="1" x14ac:dyDescent="0.3">
      <c r="B136" s="2"/>
    </row>
    <row r="137" spans="2:2" ht="15.75" customHeight="1" x14ac:dyDescent="0.3">
      <c r="B137" s="2"/>
    </row>
    <row r="138" spans="2:2" ht="15.75" customHeight="1" x14ac:dyDescent="0.3">
      <c r="B138" s="2"/>
    </row>
    <row r="139" spans="2:2" ht="15.75" customHeight="1" x14ac:dyDescent="0.3">
      <c r="B139" s="2"/>
    </row>
    <row r="140" spans="2:2" ht="15.75" customHeight="1" x14ac:dyDescent="0.3">
      <c r="B140" s="2"/>
    </row>
    <row r="141" spans="2:2" ht="15.75" customHeight="1" x14ac:dyDescent="0.3">
      <c r="B141" s="2"/>
    </row>
    <row r="142" spans="2:2" ht="15.75" customHeight="1" x14ac:dyDescent="0.3">
      <c r="B142" s="2"/>
    </row>
    <row r="143" spans="2:2" ht="15.75" customHeight="1" x14ac:dyDescent="0.3">
      <c r="B143" s="2"/>
    </row>
    <row r="144" spans="2:2" ht="15.75" customHeight="1" x14ac:dyDescent="0.3">
      <c r="B144" s="2"/>
    </row>
    <row r="145" spans="2:2" ht="15.75" customHeight="1" x14ac:dyDescent="0.3">
      <c r="B145" s="2"/>
    </row>
    <row r="146" spans="2:2" ht="15.75" customHeight="1" x14ac:dyDescent="0.3">
      <c r="B146" s="2"/>
    </row>
    <row r="147" spans="2:2" ht="15.75" customHeight="1" x14ac:dyDescent="0.3">
      <c r="B147" s="2"/>
    </row>
    <row r="148" spans="2:2" ht="15.75" customHeight="1" x14ac:dyDescent="0.3">
      <c r="B148" s="2"/>
    </row>
    <row r="149" spans="2:2" ht="15.75" customHeight="1" x14ac:dyDescent="0.3">
      <c r="B149" s="2"/>
    </row>
    <row r="150" spans="2:2" ht="15.75" customHeight="1" x14ac:dyDescent="0.3">
      <c r="B150" s="2"/>
    </row>
    <row r="151" spans="2:2" ht="15.75" customHeight="1" x14ac:dyDescent="0.3">
      <c r="B151" s="2"/>
    </row>
    <row r="152" spans="2:2" ht="15.75" customHeight="1" x14ac:dyDescent="0.3">
      <c r="B152" s="2"/>
    </row>
    <row r="153" spans="2:2" ht="15.75" customHeight="1" x14ac:dyDescent="0.3">
      <c r="B153" s="2"/>
    </row>
    <row r="154" spans="2:2" ht="15.75" customHeight="1" x14ac:dyDescent="0.3">
      <c r="B154" s="2"/>
    </row>
    <row r="155" spans="2:2" ht="15.75" customHeight="1" x14ac:dyDescent="0.3">
      <c r="B155" s="2"/>
    </row>
    <row r="156" spans="2:2" ht="15.75" customHeight="1" x14ac:dyDescent="0.3">
      <c r="B156" s="2"/>
    </row>
    <row r="157" spans="2:2" ht="15.75" customHeight="1" x14ac:dyDescent="0.3">
      <c r="B157" s="2"/>
    </row>
    <row r="158" spans="2:2" ht="15.75" customHeight="1" x14ac:dyDescent="0.3">
      <c r="B158" s="2"/>
    </row>
    <row r="159" spans="2:2" ht="15.75" customHeight="1" x14ac:dyDescent="0.3">
      <c r="B159" s="2"/>
    </row>
    <row r="160" spans="2:2" ht="15.75" customHeight="1" x14ac:dyDescent="0.3">
      <c r="B160" s="2"/>
    </row>
    <row r="161" spans="2:2" ht="15.75" customHeight="1" x14ac:dyDescent="0.3">
      <c r="B161" s="2"/>
    </row>
    <row r="162" spans="2:2" ht="15.75" customHeight="1" x14ac:dyDescent="0.3">
      <c r="B162" s="2"/>
    </row>
    <row r="163" spans="2:2" ht="15.75" customHeight="1" x14ac:dyDescent="0.3">
      <c r="B163" s="2"/>
    </row>
    <row r="164" spans="2:2" ht="15.75" customHeight="1" x14ac:dyDescent="0.3">
      <c r="B164" s="2"/>
    </row>
    <row r="165" spans="2:2" ht="15.75" customHeight="1" x14ac:dyDescent="0.3">
      <c r="B165" s="2"/>
    </row>
    <row r="166" spans="2:2" ht="15.75" customHeight="1" x14ac:dyDescent="0.3">
      <c r="B166" s="2"/>
    </row>
    <row r="167" spans="2:2" ht="15.75" customHeight="1" x14ac:dyDescent="0.3">
      <c r="B167" s="2"/>
    </row>
    <row r="168" spans="2:2" ht="15.75" customHeight="1" x14ac:dyDescent="0.3">
      <c r="B168" s="2"/>
    </row>
    <row r="169" spans="2:2" ht="15.75" customHeight="1" x14ac:dyDescent="0.3">
      <c r="B169" s="2"/>
    </row>
    <row r="170" spans="2:2" ht="15.75" customHeight="1" x14ac:dyDescent="0.3">
      <c r="B170" s="2"/>
    </row>
    <row r="171" spans="2:2" ht="15.75" customHeight="1" x14ac:dyDescent="0.3">
      <c r="B171" s="2"/>
    </row>
    <row r="172" spans="2:2" ht="15.75" customHeight="1" x14ac:dyDescent="0.3">
      <c r="B172" s="2"/>
    </row>
    <row r="173" spans="2:2" ht="15.75" customHeight="1" x14ac:dyDescent="0.3">
      <c r="B173" s="2"/>
    </row>
    <row r="174" spans="2:2" ht="15.75" customHeight="1" x14ac:dyDescent="0.3">
      <c r="B174" s="2"/>
    </row>
    <row r="175" spans="2:2" ht="15.75" customHeight="1" x14ac:dyDescent="0.3">
      <c r="B175" s="2"/>
    </row>
    <row r="176" spans="2:2" ht="15.75" customHeight="1" x14ac:dyDescent="0.3">
      <c r="B176" s="2"/>
    </row>
    <row r="177" spans="2:2" ht="15.75" customHeight="1" x14ac:dyDescent="0.3">
      <c r="B177" s="2"/>
    </row>
    <row r="178" spans="2:2" ht="15.75" customHeight="1" x14ac:dyDescent="0.3">
      <c r="B178" s="2"/>
    </row>
    <row r="179" spans="2:2" ht="15.75" customHeight="1" x14ac:dyDescent="0.3">
      <c r="B179" s="2"/>
    </row>
    <row r="180" spans="2:2" ht="15.75" customHeight="1" x14ac:dyDescent="0.3">
      <c r="B180" s="2"/>
    </row>
    <row r="181" spans="2:2" ht="15.75" customHeight="1" x14ac:dyDescent="0.3">
      <c r="B181" s="2"/>
    </row>
    <row r="182" spans="2:2" ht="15.75" customHeight="1" x14ac:dyDescent="0.3">
      <c r="B182" s="2"/>
    </row>
    <row r="183" spans="2:2" ht="15.75" customHeight="1" x14ac:dyDescent="0.3">
      <c r="B183" s="2"/>
    </row>
    <row r="184" spans="2:2" ht="15.75" customHeight="1" x14ac:dyDescent="0.3">
      <c r="B184" s="2"/>
    </row>
    <row r="185" spans="2:2" ht="15.75" customHeight="1" x14ac:dyDescent="0.3">
      <c r="B185" s="2"/>
    </row>
    <row r="186" spans="2:2" ht="15.75" customHeight="1" x14ac:dyDescent="0.3">
      <c r="B186" s="2"/>
    </row>
    <row r="187" spans="2:2" ht="15.75" customHeight="1" x14ac:dyDescent="0.3">
      <c r="B187" s="2"/>
    </row>
    <row r="188" spans="2:2" ht="15.75" customHeight="1" x14ac:dyDescent="0.3">
      <c r="B188" s="2"/>
    </row>
    <row r="189" spans="2:2" ht="15.75" customHeight="1" x14ac:dyDescent="0.3">
      <c r="B189" s="2"/>
    </row>
    <row r="190" spans="2:2" ht="15.75" customHeight="1" x14ac:dyDescent="0.3">
      <c r="B190" s="2"/>
    </row>
    <row r="191" spans="2:2" ht="15.75" customHeight="1" x14ac:dyDescent="0.3">
      <c r="B191" s="2"/>
    </row>
    <row r="192" spans="2:2" ht="15.75" customHeight="1" x14ac:dyDescent="0.3">
      <c r="B192" s="2"/>
    </row>
    <row r="193" spans="2:2" ht="15.75" customHeight="1" x14ac:dyDescent="0.3">
      <c r="B193" s="2"/>
    </row>
    <row r="194" spans="2:2" ht="15.75" customHeight="1" x14ac:dyDescent="0.3">
      <c r="B194" s="2"/>
    </row>
    <row r="195" spans="2:2" ht="15.75" customHeight="1" x14ac:dyDescent="0.3">
      <c r="B195" s="2"/>
    </row>
    <row r="196" spans="2:2" ht="15.75" customHeight="1" x14ac:dyDescent="0.3">
      <c r="B196" s="2"/>
    </row>
    <row r="197" spans="2:2" ht="15.75" customHeight="1" x14ac:dyDescent="0.3">
      <c r="B197" s="2"/>
    </row>
    <row r="198" spans="2:2" ht="15.75" customHeight="1" x14ac:dyDescent="0.3">
      <c r="B198" s="2"/>
    </row>
    <row r="199" spans="2:2" ht="15.75" customHeight="1" x14ac:dyDescent="0.3">
      <c r="B199" s="2"/>
    </row>
    <row r="200" spans="2:2" ht="15.75" customHeight="1" x14ac:dyDescent="0.3">
      <c r="B200" s="2"/>
    </row>
    <row r="201" spans="2:2" ht="15.75" customHeight="1" x14ac:dyDescent="0.3">
      <c r="B201" s="2"/>
    </row>
    <row r="202" spans="2:2" ht="15.75" customHeight="1" x14ac:dyDescent="0.3">
      <c r="B202" s="2"/>
    </row>
    <row r="203" spans="2:2" ht="15.75" customHeight="1" x14ac:dyDescent="0.3">
      <c r="B203" s="2"/>
    </row>
    <row r="204" spans="2:2" ht="15.75" customHeight="1" x14ac:dyDescent="0.3">
      <c r="B204" s="2"/>
    </row>
    <row r="205" spans="2:2" ht="15.75" customHeight="1" x14ac:dyDescent="0.3">
      <c r="B205" s="2"/>
    </row>
    <row r="206" spans="2:2" ht="15.75" customHeight="1" x14ac:dyDescent="0.3">
      <c r="B206" s="2"/>
    </row>
    <row r="207" spans="2:2" ht="15.75" customHeight="1" x14ac:dyDescent="0.3">
      <c r="B207" s="2"/>
    </row>
    <row r="208" spans="2:2" ht="15.75" customHeight="1" x14ac:dyDescent="0.3">
      <c r="B208" s="2"/>
    </row>
    <row r="209" spans="2:2" ht="15.75" customHeight="1" x14ac:dyDescent="0.3">
      <c r="B209" s="2"/>
    </row>
    <row r="210" spans="2:2" ht="15.75" customHeight="1" x14ac:dyDescent="0.3">
      <c r="B210" s="2"/>
    </row>
    <row r="211" spans="2:2" ht="15.75" customHeight="1" x14ac:dyDescent="0.3">
      <c r="B211" s="2"/>
    </row>
    <row r="212" spans="2:2" ht="15.75" customHeight="1" x14ac:dyDescent="0.3">
      <c r="B212" s="2"/>
    </row>
    <row r="213" spans="2:2" ht="15.75" customHeight="1" x14ac:dyDescent="0.3">
      <c r="B213" s="2"/>
    </row>
    <row r="214" spans="2:2" ht="15.75" customHeight="1" x14ac:dyDescent="0.3">
      <c r="B214" s="2"/>
    </row>
    <row r="215" spans="2:2" ht="15.75" customHeight="1" x14ac:dyDescent="0.3">
      <c r="B215" s="2"/>
    </row>
    <row r="216" spans="2:2" ht="15.75" customHeight="1" x14ac:dyDescent="0.3">
      <c r="B216" s="2"/>
    </row>
    <row r="217" spans="2:2" ht="15.75" customHeight="1" x14ac:dyDescent="0.3">
      <c r="B217" s="2"/>
    </row>
    <row r="218" spans="2:2" ht="15.75" customHeight="1" x14ac:dyDescent="0.3">
      <c r="B218" s="2"/>
    </row>
    <row r="219" spans="2:2" ht="15.75" customHeight="1" x14ac:dyDescent="0.3">
      <c r="B219" s="2"/>
    </row>
    <row r="220" spans="2:2" ht="15.75" customHeight="1" x14ac:dyDescent="0.3">
      <c r="B220" s="2"/>
    </row>
    <row r="221" spans="2:2" ht="15.75" customHeight="1" x14ac:dyDescent="0.3">
      <c r="B221" s="2"/>
    </row>
    <row r="222" spans="2:2" ht="15.75" customHeight="1" x14ac:dyDescent="0.3">
      <c r="B222" s="2"/>
    </row>
    <row r="223" spans="2:2" ht="15.75" customHeight="1" x14ac:dyDescent="0.3">
      <c r="B223" s="2"/>
    </row>
    <row r="224" spans="2:2" ht="15.75" customHeight="1" x14ac:dyDescent="0.3">
      <c r="B224" s="2"/>
    </row>
    <row r="225" spans="2:2" ht="15.75" customHeight="1" x14ac:dyDescent="0.3">
      <c r="B225" s="2"/>
    </row>
    <row r="226" spans="2:2" ht="15.75" customHeight="1" x14ac:dyDescent="0.3">
      <c r="B226" s="2"/>
    </row>
    <row r="227" spans="2:2" ht="15.75" customHeight="1" x14ac:dyDescent="0.3">
      <c r="B227" s="2"/>
    </row>
    <row r="228" spans="2:2" ht="15.75" customHeight="1" x14ac:dyDescent="0.3">
      <c r="B228" s="2"/>
    </row>
    <row r="229" spans="2:2" ht="15.75" customHeight="1" x14ac:dyDescent="0.3">
      <c r="B229" s="2"/>
    </row>
    <row r="230" spans="2:2" ht="15.75" customHeight="1" x14ac:dyDescent="0.3">
      <c r="B230" s="2"/>
    </row>
    <row r="231" spans="2:2" ht="15.75" customHeight="1" x14ac:dyDescent="0.3">
      <c r="B231" s="2"/>
    </row>
    <row r="232" spans="2:2" ht="15.75" customHeight="1" x14ac:dyDescent="0.3">
      <c r="B232" s="2"/>
    </row>
    <row r="233" spans="2:2" ht="15.75" customHeight="1" x14ac:dyDescent="0.3">
      <c r="B233" s="2"/>
    </row>
    <row r="234" spans="2:2" ht="15.75" customHeight="1" x14ac:dyDescent="0.3">
      <c r="B234" s="2"/>
    </row>
    <row r="235" spans="2:2" ht="15.75" customHeight="1" x14ac:dyDescent="0.3">
      <c r="B235" s="2"/>
    </row>
    <row r="236" spans="2:2" ht="15.75" customHeight="1" x14ac:dyDescent="0.3">
      <c r="B236" s="2"/>
    </row>
    <row r="237" spans="2:2" ht="15.75" customHeight="1" x14ac:dyDescent="0.3">
      <c r="B237" s="2"/>
    </row>
    <row r="238" spans="2:2" ht="15.75" customHeight="1" x14ac:dyDescent="0.3">
      <c r="B238" s="2"/>
    </row>
    <row r="239" spans="2:2" ht="15.75" customHeight="1" x14ac:dyDescent="0.3">
      <c r="B239" s="2"/>
    </row>
    <row r="240" spans="2:2" ht="15.75" customHeight="1" x14ac:dyDescent="0.3">
      <c r="B240" s="2"/>
    </row>
    <row r="241" spans="2:2" ht="15.75" customHeight="1" x14ac:dyDescent="0.3">
      <c r="B241" s="2"/>
    </row>
    <row r="242" spans="2:2" ht="15.75" customHeight="1" x14ac:dyDescent="0.3">
      <c r="B242" s="2"/>
    </row>
    <row r="243" spans="2:2" ht="15.75" customHeight="1" x14ac:dyDescent="0.3">
      <c r="B243" s="2"/>
    </row>
    <row r="244" spans="2:2" ht="15.75" customHeight="1" x14ac:dyDescent="0.3">
      <c r="B244" s="2"/>
    </row>
    <row r="245" spans="2:2" ht="15.75" customHeight="1" x14ac:dyDescent="0.3">
      <c r="B245" s="2"/>
    </row>
    <row r="246" spans="2:2" ht="15.75" customHeight="1" x14ac:dyDescent="0.3">
      <c r="B246" s="2"/>
    </row>
    <row r="247" spans="2:2" ht="15.75" customHeight="1" x14ac:dyDescent="0.3">
      <c r="B247" s="2"/>
    </row>
    <row r="248" spans="2:2" ht="15.75" customHeight="1" x14ac:dyDescent="0.3">
      <c r="B248" s="2"/>
    </row>
    <row r="249" spans="2:2" ht="15.75" customHeight="1" x14ac:dyDescent="0.3">
      <c r="B249" s="2"/>
    </row>
    <row r="250" spans="2:2" ht="15.75" customHeight="1" x14ac:dyDescent="0.3">
      <c r="B250" s="2"/>
    </row>
    <row r="251" spans="2:2" ht="15.75" customHeight="1" x14ac:dyDescent="0.3">
      <c r="B251" s="2"/>
    </row>
    <row r="252" spans="2:2" ht="15.75" customHeight="1" x14ac:dyDescent="0.3">
      <c r="B252" s="2"/>
    </row>
    <row r="253" spans="2:2" ht="15.75" customHeight="1" x14ac:dyDescent="0.3">
      <c r="B253" s="2"/>
    </row>
    <row r="254" spans="2:2" ht="15.75" customHeight="1" x14ac:dyDescent="0.3">
      <c r="B254" s="2"/>
    </row>
    <row r="255" spans="2:2" ht="15.75" customHeight="1" x14ac:dyDescent="0.3">
      <c r="B255" s="2"/>
    </row>
    <row r="256" spans="2:2" ht="15.75" customHeight="1" x14ac:dyDescent="0.3">
      <c r="B256" s="2"/>
    </row>
    <row r="257" spans="2:2" ht="15.75" customHeight="1" x14ac:dyDescent="0.3">
      <c r="B257" s="2"/>
    </row>
    <row r="258" spans="2:2" ht="15.75" customHeight="1" x14ac:dyDescent="0.3">
      <c r="B258" s="2"/>
    </row>
    <row r="259" spans="2:2" ht="15.75" customHeight="1" x14ac:dyDescent="0.3">
      <c r="B259" s="2"/>
    </row>
    <row r="260" spans="2:2" ht="15.75" customHeight="1" x14ac:dyDescent="0.3">
      <c r="B260" s="2"/>
    </row>
    <row r="261" spans="2:2" ht="15.75" customHeight="1" x14ac:dyDescent="0.3">
      <c r="B261" s="2"/>
    </row>
    <row r="262" spans="2:2" ht="15.75" customHeight="1" x14ac:dyDescent="0.3">
      <c r="B262" s="2"/>
    </row>
    <row r="263" spans="2:2" ht="15.75" customHeight="1" x14ac:dyDescent="0.3">
      <c r="B263" s="2"/>
    </row>
    <row r="264" spans="2:2" ht="15.75" customHeight="1" x14ac:dyDescent="0.3">
      <c r="B264" s="2"/>
    </row>
    <row r="265" spans="2:2" ht="15.75" customHeight="1" x14ac:dyDescent="0.3">
      <c r="B265" s="2"/>
    </row>
    <row r="266" spans="2:2" ht="15.75" customHeight="1" x14ac:dyDescent="0.3">
      <c r="B266" s="2"/>
    </row>
    <row r="267" spans="2:2" ht="15.75" customHeight="1" x14ac:dyDescent="0.3">
      <c r="B267" s="2"/>
    </row>
    <row r="268" spans="2:2" ht="15.75" customHeight="1" x14ac:dyDescent="0.3">
      <c r="B268" s="2"/>
    </row>
    <row r="269" spans="2:2" ht="15.75" customHeight="1" x14ac:dyDescent="0.3">
      <c r="B269" s="2"/>
    </row>
    <row r="270" spans="2:2" ht="15.75" customHeight="1" x14ac:dyDescent="0.3">
      <c r="B270" s="2"/>
    </row>
    <row r="271" spans="2:2" ht="15.75" customHeight="1" x14ac:dyDescent="0.3">
      <c r="B271" s="2"/>
    </row>
    <row r="272" spans="2:2" ht="15.75" customHeight="1" x14ac:dyDescent="0.3">
      <c r="B272" s="2"/>
    </row>
    <row r="273" spans="2:2" ht="15.75" customHeight="1" x14ac:dyDescent="0.3">
      <c r="B273" s="2"/>
    </row>
    <row r="274" spans="2:2" ht="15.75" customHeight="1" x14ac:dyDescent="0.3">
      <c r="B274" s="2"/>
    </row>
    <row r="275" spans="2:2" ht="15.75" customHeight="1" x14ac:dyDescent="0.3">
      <c r="B275" s="2"/>
    </row>
    <row r="276" spans="2:2" ht="15.75" customHeight="1" x14ac:dyDescent="0.3">
      <c r="B276" s="2"/>
    </row>
    <row r="277" spans="2:2" ht="15.75" customHeight="1" x14ac:dyDescent="0.3">
      <c r="B277" s="2"/>
    </row>
    <row r="278" spans="2:2" ht="15.75" customHeight="1" x14ac:dyDescent="0.3">
      <c r="B278" s="2"/>
    </row>
    <row r="279" spans="2:2" ht="15.75" customHeight="1" x14ac:dyDescent="0.3">
      <c r="B279" s="2"/>
    </row>
    <row r="280" spans="2:2" ht="15.75" customHeight="1" x14ac:dyDescent="0.3">
      <c r="B280" s="2"/>
    </row>
    <row r="281" spans="2:2" ht="15.75" customHeight="1" x14ac:dyDescent="0.3">
      <c r="B281" s="2"/>
    </row>
    <row r="282" spans="2:2" ht="15.75" customHeight="1" x14ac:dyDescent="0.3">
      <c r="B282" s="2"/>
    </row>
    <row r="283" spans="2:2" ht="15.75" customHeight="1" x14ac:dyDescent="0.3">
      <c r="B283" s="2"/>
    </row>
    <row r="284" spans="2:2" ht="15.75" customHeight="1" x14ac:dyDescent="0.3">
      <c r="B284" s="2"/>
    </row>
    <row r="285" spans="2:2" ht="15.75" customHeight="1" x14ac:dyDescent="0.3">
      <c r="B285" s="2"/>
    </row>
    <row r="286" spans="2:2" ht="15.75" customHeight="1" x14ac:dyDescent="0.3">
      <c r="B286" s="2"/>
    </row>
    <row r="287" spans="2:2" ht="15.75" customHeight="1" x14ac:dyDescent="0.3">
      <c r="B287" s="2"/>
    </row>
    <row r="288" spans="2:2" ht="15.75" customHeight="1" x14ac:dyDescent="0.3">
      <c r="B288" s="2"/>
    </row>
    <row r="289" spans="2:2" ht="15.75" customHeight="1" x14ac:dyDescent="0.3">
      <c r="B289" s="2"/>
    </row>
    <row r="290" spans="2:2" ht="15.75" customHeight="1" x14ac:dyDescent="0.3">
      <c r="B290" s="2"/>
    </row>
    <row r="291" spans="2:2" ht="15.75" customHeight="1" x14ac:dyDescent="0.3">
      <c r="B291" s="2"/>
    </row>
    <row r="292" spans="2:2" ht="15.75" customHeight="1" x14ac:dyDescent="0.3">
      <c r="B292" s="2"/>
    </row>
    <row r="293" spans="2:2" ht="15.75" customHeight="1" x14ac:dyDescent="0.3">
      <c r="B293" s="2"/>
    </row>
    <row r="294" spans="2:2" ht="15.75" customHeight="1" x14ac:dyDescent="0.3">
      <c r="B294" s="2"/>
    </row>
    <row r="295" spans="2:2" ht="15.75" customHeight="1" x14ac:dyDescent="0.3">
      <c r="B295" s="2"/>
    </row>
    <row r="296" spans="2:2" ht="15.75" customHeight="1" x14ac:dyDescent="0.3">
      <c r="B296" s="2"/>
    </row>
    <row r="297" spans="2:2" ht="15.75" customHeight="1" x14ac:dyDescent="0.3">
      <c r="B297" s="2"/>
    </row>
    <row r="298" spans="2:2" ht="15.75" customHeight="1" x14ac:dyDescent="0.3">
      <c r="B298" s="2"/>
    </row>
    <row r="299" spans="2:2" ht="15.75" customHeight="1" x14ac:dyDescent="0.3">
      <c r="B299" s="2"/>
    </row>
    <row r="300" spans="2:2" ht="15.75" customHeight="1" x14ac:dyDescent="0.3">
      <c r="B300" s="2"/>
    </row>
    <row r="301" spans="2:2" ht="15.75" customHeight="1" x14ac:dyDescent="0.3">
      <c r="B301" s="2"/>
    </row>
    <row r="302" spans="2:2" ht="15.75" customHeight="1" x14ac:dyDescent="0.3">
      <c r="B302" s="2"/>
    </row>
    <row r="303" spans="2:2" ht="15.75" customHeight="1" x14ac:dyDescent="0.3">
      <c r="B303" s="2"/>
    </row>
    <row r="304" spans="2:2" ht="15.75" customHeight="1" x14ac:dyDescent="0.3">
      <c r="B304" s="2"/>
    </row>
    <row r="305" spans="2:2" ht="15.75" customHeight="1" x14ac:dyDescent="0.3">
      <c r="B305" s="2"/>
    </row>
    <row r="306" spans="2:2" ht="15.75" customHeight="1" x14ac:dyDescent="0.3">
      <c r="B306" s="2"/>
    </row>
    <row r="307" spans="2:2" ht="15.75" customHeight="1" x14ac:dyDescent="0.3">
      <c r="B307" s="2"/>
    </row>
    <row r="308" spans="2:2" ht="15.75" customHeight="1" x14ac:dyDescent="0.3">
      <c r="B308" s="2"/>
    </row>
    <row r="309" spans="2:2" ht="15.75" customHeight="1" x14ac:dyDescent="0.3">
      <c r="B309" s="2"/>
    </row>
    <row r="310" spans="2:2" ht="15.75" customHeight="1" x14ac:dyDescent="0.3">
      <c r="B310" s="2"/>
    </row>
    <row r="311" spans="2:2" ht="15.75" customHeight="1" x14ac:dyDescent="0.3">
      <c r="B311" s="2"/>
    </row>
    <row r="312" spans="2:2" ht="15.75" customHeight="1" x14ac:dyDescent="0.3">
      <c r="B312" s="2"/>
    </row>
    <row r="313" spans="2:2" ht="15.75" customHeight="1" x14ac:dyDescent="0.3">
      <c r="B313" s="2"/>
    </row>
    <row r="314" spans="2:2" ht="15.75" customHeight="1" x14ac:dyDescent="0.3">
      <c r="B314" s="2"/>
    </row>
    <row r="315" spans="2:2" ht="15.75" customHeight="1" x14ac:dyDescent="0.3">
      <c r="B315" s="2"/>
    </row>
    <row r="316" spans="2:2" ht="15.75" customHeight="1" x14ac:dyDescent="0.3">
      <c r="B316" s="2"/>
    </row>
    <row r="317" spans="2:2" ht="15.75" customHeight="1" x14ac:dyDescent="0.3">
      <c r="B317" s="2"/>
    </row>
    <row r="318" spans="2:2" ht="15.75" customHeight="1" x14ac:dyDescent="0.3">
      <c r="B318" s="2"/>
    </row>
    <row r="319" spans="2:2" ht="15.75" customHeight="1" x14ac:dyDescent="0.3">
      <c r="B319" s="2"/>
    </row>
    <row r="320" spans="2:2" ht="15.75" customHeight="1" x14ac:dyDescent="0.3">
      <c r="B320" s="2"/>
    </row>
    <row r="321" spans="2:2" ht="15.75" customHeight="1" x14ac:dyDescent="0.3">
      <c r="B321" s="2"/>
    </row>
    <row r="322" spans="2:2" ht="15.75" customHeight="1" x14ac:dyDescent="0.3">
      <c r="B322" s="2"/>
    </row>
    <row r="323" spans="2:2" ht="15.75" customHeight="1" x14ac:dyDescent="0.3">
      <c r="B323" s="2"/>
    </row>
    <row r="324" spans="2:2" ht="15.75" customHeight="1" x14ac:dyDescent="0.3">
      <c r="B324" s="2"/>
    </row>
    <row r="325" spans="2:2" ht="15.75" customHeight="1" x14ac:dyDescent="0.3">
      <c r="B325" s="2"/>
    </row>
    <row r="326" spans="2:2" ht="15.75" customHeight="1" x14ac:dyDescent="0.3">
      <c r="B326" s="2"/>
    </row>
    <row r="327" spans="2:2" ht="15.75" customHeight="1" x14ac:dyDescent="0.3">
      <c r="B327" s="2"/>
    </row>
    <row r="328" spans="2:2" ht="15.75" customHeight="1" x14ac:dyDescent="0.3">
      <c r="B328" s="2"/>
    </row>
    <row r="329" spans="2:2" ht="15.75" customHeight="1" x14ac:dyDescent="0.3">
      <c r="B329" s="2"/>
    </row>
    <row r="330" spans="2:2" ht="15.75" customHeight="1" x14ac:dyDescent="0.3">
      <c r="B330" s="2"/>
    </row>
    <row r="331" spans="2:2" ht="15.75" customHeight="1" x14ac:dyDescent="0.3">
      <c r="B331" s="2"/>
    </row>
    <row r="332" spans="2:2" ht="15.75" customHeight="1" x14ac:dyDescent="0.3">
      <c r="B332" s="2"/>
    </row>
    <row r="333" spans="2:2" ht="15.75" customHeight="1" x14ac:dyDescent="0.3">
      <c r="B333" s="2"/>
    </row>
    <row r="334" spans="2:2" ht="15.75" customHeight="1" x14ac:dyDescent="0.3">
      <c r="B334" s="2"/>
    </row>
    <row r="335" spans="2:2" ht="15.75" customHeight="1" x14ac:dyDescent="0.3">
      <c r="B335" s="2"/>
    </row>
    <row r="336" spans="2:2" ht="15.75" customHeight="1" x14ac:dyDescent="0.3">
      <c r="B336" s="2"/>
    </row>
    <row r="337" spans="2:2" ht="15.75" customHeight="1" x14ac:dyDescent="0.3">
      <c r="B337" s="2"/>
    </row>
    <row r="338" spans="2:2" ht="15.75" customHeight="1" x14ac:dyDescent="0.3">
      <c r="B338" s="2"/>
    </row>
    <row r="339" spans="2:2" ht="15.75" customHeight="1" x14ac:dyDescent="0.3">
      <c r="B339" s="2"/>
    </row>
    <row r="340" spans="2:2" ht="15.75" customHeight="1" x14ac:dyDescent="0.3">
      <c r="B340" s="2"/>
    </row>
    <row r="341" spans="2:2" ht="15.75" customHeight="1" x14ac:dyDescent="0.3">
      <c r="B341" s="2"/>
    </row>
    <row r="342" spans="2:2" ht="15.75" customHeight="1" x14ac:dyDescent="0.3">
      <c r="B342" s="2"/>
    </row>
    <row r="343" spans="2:2" ht="15.75" customHeight="1" x14ac:dyDescent="0.3">
      <c r="B343" s="2"/>
    </row>
    <row r="344" spans="2:2" ht="15.75" customHeight="1" x14ac:dyDescent="0.3">
      <c r="B344" s="2"/>
    </row>
    <row r="345" spans="2:2" ht="15.75" customHeight="1" x14ac:dyDescent="0.3">
      <c r="B345" s="2"/>
    </row>
    <row r="346" spans="2:2" ht="15.75" customHeight="1" x14ac:dyDescent="0.3">
      <c r="B346" s="2"/>
    </row>
    <row r="347" spans="2:2" ht="15.75" customHeight="1" x14ac:dyDescent="0.3">
      <c r="B347" s="2"/>
    </row>
    <row r="348" spans="2:2" ht="15.75" customHeight="1" x14ac:dyDescent="0.3">
      <c r="B348" s="2"/>
    </row>
    <row r="349" spans="2:2" ht="15.75" customHeight="1" x14ac:dyDescent="0.3">
      <c r="B349" s="2"/>
    </row>
    <row r="350" spans="2:2" ht="15.75" customHeight="1" x14ac:dyDescent="0.3">
      <c r="B350" s="2"/>
    </row>
    <row r="351" spans="2:2" ht="15.75" customHeight="1" x14ac:dyDescent="0.3">
      <c r="B351" s="2"/>
    </row>
    <row r="352" spans="2:2" ht="15.75" customHeight="1" x14ac:dyDescent="0.3">
      <c r="B352" s="2"/>
    </row>
    <row r="353" spans="2:2" ht="15.75" customHeight="1" x14ac:dyDescent="0.3">
      <c r="B353" s="2"/>
    </row>
    <row r="354" spans="2:2" ht="15.75" customHeight="1" x14ac:dyDescent="0.3">
      <c r="B354" s="2"/>
    </row>
    <row r="355" spans="2:2" ht="15.75" customHeight="1" x14ac:dyDescent="0.3">
      <c r="B355" s="2"/>
    </row>
    <row r="356" spans="2:2" ht="15.75" customHeight="1" x14ac:dyDescent="0.3">
      <c r="B356" s="2"/>
    </row>
    <row r="357" spans="2:2" ht="15.75" customHeight="1" x14ac:dyDescent="0.3">
      <c r="B357" s="2"/>
    </row>
    <row r="358" spans="2:2" ht="15.75" customHeight="1" x14ac:dyDescent="0.3">
      <c r="B358" s="2"/>
    </row>
    <row r="359" spans="2:2" ht="15.75" customHeight="1" x14ac:dyDescent="0.3">
      <c r="B359" s="2"/>
    </row>
    <row r="360" spans="2:2" ht="15.75" customHeight="1" x14ac:dyDescent="0.3">
      <c r="B360" s="2"/>
    </row>
    <row r="361" spans="2:2" ht="15.75" customHeight="1" x14ac:dyDescent="0.3">
      <c r="B361" s="2"/>
    </row>
    <row r="362" spans="2:2" ht="15.75" customHeight="1" x14ac:dyDescent="0.3">
      <c r="B362" s="2"/>
    </row>
    <row r="363" spans="2:2" ht="15.75" customHeight="1" x14ac:dyDescent="0.3">
      <c r="B363" s="2"/>
    </row>
    <row r="364" spans="2:2" ht="15.75" customHeight="1" x14ac:dyDescent="0.3">
      <c r="B364" s="2"/>
    </row>
    <row r="365" spans="2:2" ht="15.75" customHeight="1" x14ac:dyDescent="0.3">
      <c r="B365" s="2"/>
    </row>
    <row r="366" spans="2:2" ht="15.75" customHeight="1" x14ac:dyDescent="0.3">
      <c r="B366" s="2"/>
    </row>
    <row r="367" spans="2:2" ht="15.75" customHeight="1" x14ac:dyDescent="0.3">
      <c r="B367" s="2"/>
    </row>
    <row r="368" spans="2:2" ht="15.75" customHeight="1" x14ac:dyDescent="0.3">
      <c r="B368" s="2"/>
    </row>
    <row r="369" spans="2:2" ht="15.75" customHeight="1" x14ac:dyDescent="0.3">
      <c r="B369" s="2"/>
    </row>
    <row r="370" spans="2:2" ht="15.75" customHeight="1" x14ac:dyDescent="0.3">
      <c r="B370" s="2"/>
    </row>
    <row r="371" spans="2:2" ht="15.75" customHeight="1" x14ac:dyDescent="0.3">
      <c r="B371" s="2"/>
    </row>
    <row r="372" spans="2:2" ht="15.75" customHeight="1" x14ac:dyDescent="0.3">
      <c r="B372" s="2"/>
    </row>
    <row r="373" spans="2:2" ht="15.75" customHeight="1" x14ac:dyDescent="0.3">
      <c r="B373" s="2"/>
    </row>
    <row r="374" spans="2:2" ht="15.75" customHeight="1" x14ac:dyDescent="0.3">
      <c r="B374" s="2"/>
    </row>
    <row r="375" spans="2:2" ht="15.75" customHeight="1" x14ac:dyDescent="0.3">
      <c r="B375" s="2"/>
    </row>
    <row r="376" spans="2:2" ht="15.75" customHeight="1" x14ac:dyDescent="0.3">
      <c r="B376" s="2"/>
    </row>
    <row r="377" spans="2:2" ht="15.75" customHeight="1" x14ac:dyDescent="0.3">
      <c r="B377" s="2"/>
    </row>
    <row r="378" spans="2:2" ht="15.75" customHeight="1" x14ac:dyDescent="0.3">
      <c r="B378" s="2"/>
    </row>
    <row r="379" spans="2:2" ht="15.75" customHeight="1" x14ac:dyDescent="0.3">
      <c r="B379" s="2"/>
    </row>
    <row r="380" spans="2:2" ht="15.75" customHeight="1" x14ac:dyDescent="0.3">
      <c r="B380" s="2"/>
    </row>
    <row r="381" spans="2:2" ht="15.75" customHeight="1" x14ac:dyDescent="0.3">
      <c r="B381" s="2"/>
    </row>
    <row r="382" spans="2:2" ht="15.75" customHeight="1" x14ac:dyDescent="0.3">
      <c r="B382" s="2"/>
    </row>
    <row r="383" spans="2:2" ht="15.75" customHeight="1" x14ac:dyDescent="0.3">
      <c r="B383" s="2"/>
    </row>
    <row r="384" spans="2:2" ht="15.75" customHeight="1" x14ac:dyDescent="0.3">
      <c r="B384" s="2"/>
    </row>
    <row r="385" spans="2:2" ht="15.75" customHeight="1" x14ac:dyDescent="0.3">
      <c r="B385" s="2"/>
    </row>
    <row r="386" spans="2:2" ht="15.75" customHeight="1" x14ac:dyDescent="0.3">
      <c r="B386" s="2"/>
    </row>
    <row r="387" spans="2:2" ht="15.75" customHeight="1" x14ac:dyDescent="0.3">
      <c r="B387" s="2"/>
    </row>
    <row r="388" spans="2:2" ht="15.75" customHeight="1" x14ac:dyDescent="0.3">
      <c r="B388" s="2"/>
    </row>
    <row r="389" spans="2:2" ht="15.75" customHeight="1" x14ac:dyDescent="0.3">
      <c r="B389" s="2"/>
    </row>
    <row r="390" spans="2:2" ht="15.75" customHeight="1" x14ac:dyDescent="0.3">
      <c r="B390" s="2"/>
    </row>
    <row r="391" spans="2:2" ht="15.75" customHeight="1" x14ac:dyDescent="0.3">
      <c r="B391" s="2"/>
    </row>
    <row r="392" spans="2:2" ht="15.75" customHeight="1" x14ac:dyDescent="0.3">
      <c r="B392" s="2"/>
    </row>
    <row r="393" spans="2:2" ht="15.75" customHeight="1" x14ac:dyDescent="0.3">
      <c r="B393" s="2"/>
    </row>
    <row r="394" spans="2:2" ht="15.75" customHeight="1" x14ac:dyDescent="0.3">
      <c r="B394" s="2"/>
    </row>
    <row r="395" spans="2:2" ht="15.75" customHeight="1" x14ac:dyDescent="0.3">
      <c r="B395" s="2"/>
    </row>
    <row r="396" spans="2:2" ht="15.75" customHeight="1" x14ac:dyDescent="0.3">
      <c r="B396" s="2"/>
    </row>
    <row r="397" spans="2:2" ht="15.75" customHeight="1" x14ac:dyDescent="0.3">
      <c r="B397" s="2"/>
    </row>
    <row r="398" spans="2:2" ht="15.75" customHeight="1" x14ac:dyDescent="0.3">
      <c r="B398" s="2"/>
    </row>
    <row r="399" spans="2:2" ht="15.75" customHeight="1" x14ac:dyDescent="0.3">
      <c r="B399" s="2"/>
    </row>
    <row r="400" spans="2:2" ht="15.75" customHeight="1" x14ac:dyDescent="0.3">
      <c r="B400" s="2"/>
    </row>
    <row r="401" spans="2:2" ht="15.75" customHeight="1" x14ac:dyDescent="0.3">
      <c r="B401" s="2"/>
    </row>
    <row r="402" spans="2:2" ht="15.75" customHeight="1" x14ac:dyDescent="0.3">
      <c r="B402" s="2"/>
    </row>
    <row r="403" spans="2:2" ht="15.75" customHeight="1" x14ac:dyDescent="0.3">
      <c r="B403" s="2"/>
    </row>
    <row r="404" spans="2:2" ht="15.75" customHeight="1" x14ac:dyDescent="0.3">
      <c r="B404" s="2"/>
    </row>
    <row r="405" spans="2:2" ht="15.75" customHeight="1" x14ac:dyDescent="0.3">
      <c r="B405" s="2"/>
    </row>
    <row r="406" spans="2:2" ht="15.75" customHeight="1" x14ac:dyDescent="0.3">
      <c r="B406" s="2"/>
    </row>
    <row r="407" spans="2:2" ht="15.75" customHeight="1" x14ac:dyDescent="0.3">
      <c r="B407" s="2"/>
    </row>
    <row r="408" spans="2:2" ht="15.75" customHeight="1" x14ac:dyDescent="0.3">
      <c r="B408" s="2"/>
    </row>
    <row r="409" spans="2:2" ht="15.75" customHeight="1" x14ac:dyDescent="0.3">
      <c r="B409" s="2"/>
    </row>
    <row r="410" spans="2:2" ht="15.75" customHeight="1" x14ac:dyDescent="0.3">
      <c r="B410" s="2"/>
    </row>
    <row r="411" spans="2:2" ht="15.75" customHeight="1" x14ac:dyDescent="0.3">
      <c r="B411" s="2"/>
    </row>
    <row r="412" spans="2:2" ht="15.75" customHeight="1" x14ac:dyDescent="0.3">
      <c r="B412" s="2"/>
    </row>
    <row r="413" spans="2:2" ht="15.75" customHeight="1" x14ac:dyDescent="0.3">
      <c r="B413" s="2"/>
    </row>
    <row r="414" spans="2:2" ht="15.75" customHeight="1" x14ac:dyDescent="0.3">
      <c r="B414" s="2"/>
    </row>
    <row r="415" spans="2:2" ht="15.75" customHeight="1" x14ac:dyDescent="0.3">
      <c r="B415" s="2"/>
    </row>
    <row r="416" spans="2:2" ht="15.75" customHeight="1" x14ac:dyDescent="0.3">
      <c r="B416" s="2"/>
    </row>
    <row r="417" spans="2:2" ht="15.75" customHeight="1" x14ac:dyDescent="0.3">
      <c r="B417" s="2"/>
    </row>
    <row r="418" spans="2:2" ht="15.75" customHeight="1" x14ac:dyDescent="0.3">
      <c r="B418" s="2"/>
    </row>
    <row r="419" spans="2:2" ht="15.75" customHeight="1" x14ac:dyDescent="0.3">
      <c r="B419" s="2"/>
    </row>
    <row r="420" spans="2:2" ht="15.75" customHeight="1" x14ac:dyDescent="0.3">
      <c r="B420" s="2"/>
    </row>
    <row r="421" spans="2:2" ht="15.75" customHeight="1" x14ac:dyDescent="0.3">
      <c r="B421" s="2"/>
    </row>
    <row r="422" spans="2:2" ht="15.75" customHeight="1" x14ac:dyDescent="0.3">
      <c r="B422" s="2"/>
    </row>
    <row r="423" spans="2:2" ht="15.75" customHeight="1" x14ac:dyDescent="0.3">
      <c r="B423" s="2"/>
    </row>
    <row r="424" spans="2:2" ht="15.75" customHeight="1" x14ac:dyDescent="0.3">
      <c r="B424" s="2"/>
    </row>
    <row r="425" spans="2:2" ht="15.75" customHeight="1" x14ac:dyDescent="0.3">
      <c r="B425" s="2"/>
    </row>
    <row r="426" spans="2:2" ht="15.75" customHeight="1" x14ac:dyDescent="0.3">
      <c r="B426" s="2"/>
    </row>
    <row r="427" spans="2:2" ht="15.75" customHeight="1" x14ac:dyDescent="0.3">
      <c r="B427" s="2"/>
    </row>
    <row r="428" spans="2:2" ht="15.75" customHeight="1" x14ac:dyDescent="0.3">
      <c r="B428" s="2"/>
    </row>
    <row r="429" spans="2:2" ht="15.75" customHeight="1" x14ac:dyDescent="0.3">
      <c r="B429" s="2"/>
    </row>
    <row r="430" spans="2:2" ht="15.75" customHeight="1" x14ac:dyDescent="0.3">
      <c r="B430" s="2"/>
    </row>
    <row r="431" spans="2:2" ht="15.75" customHeight="1" x14ac:dyDescent="0.3">
      <c r="B431" s="2"/>
    </row>
    <row r="432" spans="2:2" ht="15.75" customHeight="1" x14ac:dyDescent="0.3">
      <c r="B432" s="2"/>
    </row>
    <row r="433" spans="2:2" ht="15.75" customHeight="1" x14ac:dyDescent="0.3">
      <c r="B433" s="2"/>
    </row>
    <row r="434" spans="2:2" ht="15.75" customHeight="1" x14ac:dyDescent="0.3">
      <c r="B434" s="2"/>
    </row>
    <row r="435" spans="2:2" ht="15.75" customHeight="1" x14ac:dyDescent="0.3">
      <c r="B435" s="2"/>
    </row>
    <row r="436" spans="2:2" ht="15.75" customHeight="1" x14ac:dyDescent="0.3">
      <c r="B436" s="2"/>
    </row>
    <row r="437" spans="2:2" ht="15.75" customHeight="1" x14ac:dyDescent="0.3">
      <c r="B437" s="2"/>
    </row>
    <row r="438" spans="2:2" ht="15.75" customHeight="1" x14ac:dyDescent="0.3">
      <c r="B438" s="2"/>
    </row>
    <row r="439" spans="2:2" ht="15.75" customHeight="1" x14ac:dyDescent="0.3">
      <c r="B439" s="2"/>
    </row>
    <row r="440" spans="2:2" ht="15.75" customHeight="1" x14ac:dyDescent="0.3">
      <c r="B440" s="2"/>
    </row>
    <row r="441" spans="2:2" ht="15.75" customHeight="1" x14ac:dyDescent="0.3">
      <c r="B441" s="2"/>
    </row>
    <row r="442" spans="2:2" ht="15.75" customHeight="1" x14ac:dyDescent="0.3">
      <c r="B442" s="2"/>
    </row>
    <row r="443" spans="2:2" ht="15.75" customHeight="1" x14ac:dyDescent="0.3">
      <c r="B443" s="2"/>
    </row>
    <row r="444" spans="2:2" ht="15.75" customHeight="1" x14ac:dyDescent="0.3">
      <c r="B444" s="2"/>
    </row>
    <row r="445" spans="2:2" ht="15.75" customHeight="1" x14ac:dyDescent="0.3">
      <c r="B445" s="2"/>
    </row>
    <row r="446" spans="2:2" ht="15.75" customHeight="1" x14ac:dyDescent="0.3">
      <c r="B446" s="2"/>
    </row>
    <row r="447" spans="2:2" ht="15.75" customHeight="1" x14ac:dyDescent="0.3">
      <c r="B447" s="2"/>
    </row>
    <row r="448" spans="2:2" ht="15.75" customHeight="1" x14ac:dyDescent="0.3">
      <c r="B448" s="2"/>
    </row>
    <row r="449" spans="2:2" ht="15.75" customHeight="1" x14ac:dyDescent="0.3">
      <c r="B449" s="2"/>
    </row>
    <row r="450" spans="2:2" ht="15.75" customHeight="1" x14ac:dyDescent="0.3">
      <c r="B450" s="2"/>
    </row>
    <row r="451" spans="2:2" ht="15.75" customHeight="1" x14ac:dyDescent="0.3">
      <c r="B451" s="2"/>
    </row>
    <row r="452" spans="2:2" ht="15.75" customHeight="1" x14ac:dyDescent="0.3">
      <c r="B452" s="2"/>
    </row>
    <row r="453" spans="2:2" ht="15.75" customHeight="1" x14ac:dyDescent="0.3">
      <c r="B453" s="2"/>
    </row>
    <row r="454" spans="2:2" ht="15.75" customHeight="1" x14ac:dyDescent="0.3">
      <c r="B454" s="2"/>
    </row>
    <row r="455" spans="2:2" ht="15.75" customHeight="1" x14ac:dyDescent="0.3">
      <c r="B455" s="2"/>
    </row>
    <row r="456" spans="2:2" ht="15.75" customHeight="1" x14ac:dyDescent="0.3">
      <c r="B456" s="2"/>
    </row>
    <row r="457" spans="2:2" ht="15.75" customHeight="1" x14ac:dyDescent="0.3">
      <c r="B457" s="2"/>
    </row>
    <row r="458" spans="2:2" ht="15.75" customHeight="1" x14ac:dyDescent="0.3">
      <c r="B458" s="2"/>
    </row>
    <row r="459" spans="2:2" ht="15.75" customHeight="1" x14ac:dyDescent="0.3">
      <c r="B459" s="2"/>
    </row>
    <row r="460" spans="2:2" ht="15.75" customHeight="1" x14ac:dyDescent="0.3">
      <c r="B460" s="2"/>
    </row>
    <row r="461" spans="2:2" ht="15.75" customHeight="1" x14ac:dyDescent="0.3">
      <c r="B461" s="2"/>
    </row>
    <row r="462" spans="2:2" ht="15.75" customHeight="1" x14ac:dyDescent="0.3">
      <c r="B462" s="2"/>
    </row>
    <row r="463" spans="2:2" ht="15.75" customHeight="1" x14ac:dyDescent="0.3">
      <c r="B463" s="2"/>
    </row>
    <row r="464" spans="2:2" ht="15.75" customHeight="1" x14ac:dyDescent="0.3">
      <c r="B464" s="2"/>
    </row>
    <row r="465" spans="2:2" ht="15.75" customHeight="1" x14ac:dyDescent="0.3">
      <c r="B465" s="2"/>
    </row>
    <row r="466" spans="2:2" ht="15.75" customHeight="1" x14ac:dyDescent="0.3">
      <c r="B466" s="2"/>
    </row>
    <row r="467" spans="2:2" ht="15.75" customHeight="1" x14ac:dyDescent="0.3">
      <c r="B467" s="2"/>
    </row>
    <row r="468" spans="2:2" ht="15.75" customHeight="1" x14ac:dyDescent="0.3">
      <c r="B468" s="2"/>
    </row>
    <row r="469" spans="2:2" ht="15.75" customHeight="1" x14ac:dyDescent="0.3">
      <c r="B469" s="2"/>
    </row>
    <row r="470" spans="2:2" ht="15.75" customHeight="1" x14ac:dyDescent="0.3">
      <c r="B470" s="2"/>
    </row>
    <row r="471" spans="2:2" ht="15.75" customHeight="1" x14ac:dyDescent="0.3">
      <c r="B471" s="2"/>
    </row>
    <row r="472" spans="2:2" ht="15.75" customHeight="1" x14ac:dyDescent="0.3">
      <c r="B472" s="2"/>
    </row>
    <row r="473" spans="2:2" ht="15.75" customHeight="1" x14ac:dyDescent="0.3">
      <c r="B473" s="2"/>
    </row>
    <row r="474" spans="2:2" ht="15.75" customHeight="1" x14ac:dyDescent="0.3">
      <c r="B474" s="2"/>
    </row>
    <row r="475" spans="2:2" ht="15.75" customHeight="1" x14ac:dyDescent="0.3">
      <c r="B475" s="2"/>
    </row>
    <row r="476" spans="2:2" ht="15.75" customHeight="1" x14ac:dyDescent="0.3">
      <c r="B476" s="2"/>
    </row>
    <row r="477" spans="2:2" ht="15.75" customHeight="1" x14ac:dyDescent="0.3">
      <c r="B477" s="2"/>
    </row>
    <row r="478" spans="2:2" ht="15.75" customHeight="1" x14ac:dyDescent="0.3">
      <c r="B478" s="2"/>
    </row>
    <row r="479" spans="2:2" ht="15.75" customHeight="1" x14ac:dyDescent="0.3">
      <c r="B479" s="2"/>
    </row>
    <row r="480" spans="2:2" ht="15.75" customHeight="1" x14ac:dyDescent="0.3">
      <c r="B480" s="2"/>
    </row>
    <row r="481" spans="2:2" ht="15.75" customHeight="1" x14ac:dyDescent="0.3">
      <c r="B481" s="2"/>
    </row>
    <row r="482" spans="2:2" ht="15.75" customHeight="1" x14ac:dyDescent="0.3">
      <c r="B482" s="2"/>
    </row>
    <row r="483" spans="2:2" ht="15.75" customHeight="1" x14ac:dyDescent="0.3">
      <c r="B483" s="2"/>
    </row>
    <row r="484" spans="2:2" ht="15.75" customHeight="1" x14ac:dyDescent="0.3">
      <c r="B484" s="2"/>
    </row>
    <row r="485" spans="2:2" ht="15.75" customHeight="1" x14ac:dyDescent="0.3">
      <c r="B485" s="2"/>
    </row>
    <row r="486" spans="2:2" ht="15.75" customHeight="1" x14ac:dyDescent="0.3">
      <c r="B486" s="2"/>
    </row>
    <row r="487" spans="2:2" ht="15.75" customHeight="1" x14ac:dyDescent="0.3">
      <c r="B487" s="2"/>
    </row>
    <row r="488" spans="2:2" ht="15.75" customHeight="1" x14ac:dyDescent="0.3">
      <c r="B488" s="2"/>
    </row>
    <row r="489" spans="2:2" ht="15.75" customHeight="1" x14ac:dyDescent="0.3">
      <c r="B489" s="2"/>
    </row>
    <row r="490" spans="2:2" ht="15.75" customHeight="1" x14ac:dyDescent="0.3">
      <c r="B490" s="2"/>
    </row>
    <row r="491" spans="2:2" ht="15.75" customHeight="1" x14ac:dyDescent="0.3">
      <c r="B491" s="2"/>
    </row>
    <row r="492" spans="2:2" ht="15.75" customHeight="1" x14ac:dyDescent="0.3">
      <c r="B492" s="2"/>
    </row>
    <row r="493" spans="2:2" ht="15.75" customHeight="1" x14ac:dyDescent="0.3">
      <c r="B493" s="2"/>
    </row>
    <row r="494" spans="2:2" ht="15.75" customHeight="1" x14ac:dyDescent="0.3">
      <c r="B494" s="2"/>
    </row>
    <row r="495" spans="2:2" ht="15.75" customHeight="1" x14ac:dyDescent="0.3">
      <c r="B495" s="2"/>
    </row>
    <row r="496" spans="2:2" ht="15.75" customHeight="1" x14ac:dyDescent="0.3">
      <c r="B496" s="2"/>
    </row>
    <row r="497" spans="2:2" ht="15.75" customHeight="1" x14ac:dyDescent="0.3">
      <c r="B497" s="2"/>
    </row>
    <row r="498" spans="2:2" ht="15.75" customHeight="1" x14ac:dyDescent="0.3">
      <c r="B498" s="2"/>
    </row>
    <row r="499" spans="2:2" ht="15.75" customHeight="1" x14ac:dyDescent="0.3">
      <c r="B499" s="2"/>
    </row>
    <row r="500" spans="2:2" ht="15.75" customHeight="1" x14ac:dyDescent="0.3">
      <c r="B500" s="2"/>
    </row>
    <row r="501" spans="2:2" ht="15.75" customHeight="1" x14ac:dyDescent="0.3">
      <c r="B501" s="2"/>
    </row>
    <row r="502" spans="2:2" ht="15.75" customHeight="1" x14ac:dyDescent="0.3">
      <c r="B502" s="2"/>
    </row>
    <row r="503" spans="2:2" ht="15.75" customHeight="1" x14ac:dyDescent="0.3">
      <c r="B503" s="2"/>
    </row>
    <row r="504" spans="2:2" ht="15.75" customHeight="1" x14ac:dyDescent="0.3">
      <c r="B504" s="2"/>
    </row>
    <row r="505" spans="2:2" ht="15.75" customHeight="1" x14ac:dyDescent="0.3">
      <c r="B505" s="2"/>
    </row>
    <row r="506" spans="2:2" ht="15.75" customHeight="1" x14ac:dyDescent="0.3">
      <c r="B506" s="2"/>
    </row>
    <row r="507" spans="2:2" ht="15.75" customHeight="1" x14ac:dyDescent="0.3">
      <c r="B507" s="2"/>
    </row>
    <row r="508" spans="2:2" ht="15.75" customHeight="1" x14ac:dyDescent="0.3">
      <c r="B508" s="2"/>
    </row>
    <row r="509" spans="2:2" ht="15.75" customHeight="1" x14ac:dyDescent="0.3">
      <c r="B509" s="2"/>
    </row>
    <row r="510" spans="2:2" ht="15.75" customHeight="1" x14ac:dyDescent="0.3">
      <c r="B510" s="2"/>
    </row>
    <row r="511" spans="2:2" ht="15.75" customHeight="1" x14ac:dyDescent="0.3">
      <c r="B511" s="2"/>
    </row>
    <row r="512" spans="2:2" ht="15.75" customHeight="1" x14ac:dyDescent="0.3">
      <c r="B512" s="2"/>
    </row>
    <row r="513" spans="2:2" ht="15.75" customHeight="1" x14ac:dyDescent="0.3">
      <c r="B513" s="2"/>
    </row>
    <row r="514" spans="2:2" ht="15.75" customHeight="1" x14ac:dyDescent="0.3">
      <c r="B514" s="2"/>
    </row>
    <row r="515" spans="2:2" ht="15.75" customHeight="1" x14ac:dyDescent="0.3">
      <c r="B515" s="2"/>
    </row>
    <row r="516" spans="2:2" ht="15.75" customHeight="1" x14ac:dyDescent="0.3">
      <c r="B516" s="2"/>
    </row>
    <row r="517" spans="2:2" ht="15.75" customHeight="1" x14ac:dyDescent="0.3">
      <c r="B517" s="2"/>
    </row>
    <row r="518" spans="2:2" ht="15.75" customHeight="1" x14ac:dyDescent="0.3">
      <c r="B518" s="2"/>
    </row>
    <row r="519" spans="2:2" ht="15.75" customHeight="1" x14ac:dyDescent="0.3">
      <c r="B519" s="2"/>
    </row>
    <row r="520" spans="2:2" ht="15.75" customHeight="1" x14ac:dyDescent="0.3">
      <c r="B520" s="2"/>
    </row>
    <row r="521" spans="2:2" ht="15.75" customHeight="1" x14ac:dyDescent="0.3">
      <c r="B521" s="2"/>
    </row>
    <row r="522" spans="2:2" ht="15.75" customHeight="1" x14ac:dyDescent="0.3">
      <c r="B522" s="2"/>
    </row>
    <row r="523" spans="2:2" ht="15.75" customHeight="1" x14ac:dyDescent="0.3">
      <c r="B523" s="2"/>
    </row>
    <row r="524" spans="2:2" ht="15.75" customHeight="1" x14ac:dyDescent="0.3">
      <c r="B524" s="2"/>
    </row>
    <row r="525" spans="2:2" ht="15.75" customHeight="1" x14ac:dyDescent="0.3">
      <c r="B525" s="2"/>
    </row>
    <row r="526" spans="2:2" ht="15.75" customHeight="1" x14ac:dyDescent="0.3">
      <c r="B526" s="2"/>
    </row>
    <row r="527" spans="2:2" ht="15.75" customHeight="1" x14ac:dyDescent="0.3">
      <c r="B527" s="2"/>
    </row>
    <row r="528" spans="2:2" ht="15.75" customHeight="1" x14ac:dyDescent="0.3">
      <c r="B528" s="2"/>
    </row>
    <row r="529" spans="2:2" ht="15.75" customHeight="1" x14ac:dyDescent="0.3">
      <c r="B529" s="2"/>
    </row>
    <row r="530" spans="2:2" ht="15.75" customHeight="1" x14ac:dyDescent="0.3">
      <c r="B530" s="2"/>
    </row>
    <row r="531" spans="2:2" ht="15.75" customHeight="1" x14ac:dyDescent="0.3">
      <c r="B531" s="2"/>
    </row>
    <row r="532" spans="2:2" ht="15.75" customHeight="1" x14ac:dyDescent="0.3">
      <c r="B532" s="2"/>
    </row>
    <row r="533" spans="2:2" ht="15.75" customHeight="1" x14ac:dyDescent="0.3">
      <c r="B533" s="2"/>
    </row>
    <row r="534" spans="2:2" ht="15.75" customHeight="1" x14ac:dyDescent="0.3">
      <c r="B534" s="2"/>
    </row>
    <row r="535" spans="2:2" ht="15.75" customHeight="1" x14ac:dyDescent="0.3">
      <c r="B535" s="2"/>
    </row>
    <row r="536" spans="2:2" ht="15.75" customHeight="1" x14ac:dyDescent="0.3">
      <c r="B536" s="2"/>
    </row>
    <row r="537" spans="2:2" ht="15.75" customHeight="1" x14ac:dyDescent="0.3">
      <c r="B537" s="2"/>
    </row>
    <row r="538" spans="2:2" ht="15.75" customHeight="1" x14ac:dyDescent="0.3">
      <c r="B538" s="2"/>
    </row>
    <row r="539" spans="2:2" ht="15.75" customHeight="1" x14ac:dyDescent="0.3">
      <c r="B539" s="2"/>
    </row>
    <row r="540" spans="2:2" ht="15.75" customHeight="1" x14ac:dyDescent="0.3">
      <c r="B540" s="2"/>
    </row>
    <row r="541" spans="2:2" ht="15.75" customHeight="1" x14ac:dyDescent="0.3">
      <c r="B541" s="2"/>
    </row>
    <row r="542" spans="2:2" ht="15.75" customHeight="1" x14ac:dyDescent="0.3">
      <c r="B542" s="2"/>
    </row>
    <row r="543" spans="2:2" ht="15.75" customHeight="1" x14ac:dyDescent="0.3">
      <c r="B543" s="2"/>
    </row>
    <row r="544" spans="2:2" ht="15.75" customHeight="1" x14ac:dyDescent="0.3">
      <c r="B544" s="2"/>
    </row>
    <row r="545" spans="2:2" ht="15.75" customHeight="1" x14ac:dyDescent="0.3">
      <c r="B545" s="2"/>
    </row>
    <row r="546" spans="2:2" ht="15.75" customHeight="1" x14ac:dyDescent="0.3">
      <c r="B546" s="2"/>
    </row>
    <row r="547" spans="2:2" ht="15.75" customHeight="1" x14ac:dyDescent="0.3">
      <c r="B547" s="2"/>
    </row>
    <row r="548" spans="2:2" ht="15.75" customHeight="1" x14ac:dyDescent="0.3">
      <c r="B548" s="2"/>
    </row>
    <row r="549" spans="2:2" ht="15.75" customHeight="1" x14ac:dyDescent="0.3">
      <c r="B549" s="2"/>
    </row>
    <row r="550" spans="2:2" ht="15.75" customHeight="1" x14ac:dyDescent="0.3">
      <c r="B550" s="2"/>
    </row>
    <row r="551" spans="2:2" ht="15.75" customHeight="1" x14ac:dyDescent="0.3">
      <c r="B551" s="2"/>
    </row>
    <row r="552" spans="2:2" ht="15.75" customHeight="1" x14ac:dyDescent="0.3">
      <c r="B552" s="2"/>
    </row>
    <row r="553" spans="2:2" ht="15.75" customHeight="1" x14ac:dyDescent="0.3">
      <c r="B553" s="2"/>
    </row>
    <row r="554" spans="2:2" ht="15.75" customHeight="1" x14ac:dyDescent="0.3">
      <c r="B554" s="2"/>
    </row>
    <row r="555" spans="2:2" ht="15.75" customHeight="1" x14ac:dyDescent="0.3">
      <c r="B555" s="2"/>
    </row>
    <row r="556" spans="2:2" ht="15.75" customHeight="1" x14ac:dyDescent="0.3">
      <c r="B556" s="2"/>
    </row>
    <row r="557" spans="2:2" ht="15.75" customHeight="1" x14ac:dyDescent="0.3">
      <c r="B557" s="2"/>
    </row>
    <row r="558" spans="2:2" ht="15.75" customHeight="1" x14ac:dyDescent="0.3">
      <c r="B558" s="2"/>
    </row>
    <row r="559" spans="2:2" ht="15.75" customHeight="1" x14ac:dyDescent="0.3">
      <c r="B559" s="2"/>
    </row>
    <row r="560" spans="2:2" ht="15.75" customHeight="1" x14ac:dyDescent="0.3">
      <c r="B560" s="2"/>
    </row>
    <row r="561" spans="2:2" ht="15.75" customHeight="1" x14ac:dyDescent="0.3">
      <c r="B561" s="2"/>
    </row>
    <row r="562" spans="2:2" ht="15.75" customHeight="1" x14ac:dyDescent="0.3">
      <c r="B562" s="2"/>
    </row>
    <row r="563" spans="2:2" ht="15.75" customHeight="1" x14ac:dyDescent="0.3">
      <c r="B563" s="2"/>
    </row>
    <row r="564" spans="2:2" ht="15.75" customHeight="1" x14ac:dyDescent="0.3">
      <c r="B564" s="2"/>
    </row>
    <row r="565" spans="2:2" ht="15.75" customHeight="1" x14ac:dyDescent="0.3">
      <c r="B565" s="2"/>
    </row>
    <row r="566" spans="2:2" ht="15.75" customHeight="1" x14ac:dyDescent="0.3">
      <c r="B566" s="2"/>
    </row>
    <row r="567" spans="2:2" ht="15.75" customHeight="1" x14ac:dyDescent="0.3">
      <c r="B567" s="2"/>
    </row>
    <row r="568" spans="2:2" ht="15.75" customHeight="1" x14ac:dyDescent="0.3">
      <c r="B568" s="2"/>
    </row>
    <row r="569" spans="2:2" ht="15.75" customHeight="1" x14ac:dyDescent="0.3">
      <c r="B569" s="2"/>
    </row>
    <row r="570" spans="2:2" ht="15.75" customHeight="1" x14ac:dyDescent="0.3">
      <c r="B570" s="2"/>
    </row>
    <row r="571" spans="2:2" ht="15.75" customHeight="1" x14ac:dyDescent="0.3">
      <c r="B571" s="2"/>
    </row>
    <row r="572" spans="2:2" ht="15.75" customHeight="1" x14ac:dyDescent="0.3">
      <c r="B572" s="2"/>
    </row>
    <row r="573" spans="2:2" ht="15.75" customHeight="1" x14ac:dyDescent="0.3">
      <c r="B573" s="2"/>
    </row>
    <row r="574" spans="2:2" ht="15.75" customHeight="1" x14ac:dyDescent="0.3">
      <c r="B574" s="2"/>
    </row>
    <row r="575" spans="2:2" ht="15.75" customHeight="1" x14ac:dyDescent="0.3">
      <c r="B575" s="2"/>
    </row>
    <row r="576" spans="2:2" ht="15.75" customHeight="1" x14ac:dyDescent="0.3">
      <c r="B576" s="2"/>
    </row>
    <row r="577" spans="2:2" ht="15.75" customHeight="1" x14ac:dyDescent="0.3">
      <c r="B577" s="2"/>
    </row>
    <row r="578" spans="2:2" ht="15.75" customHeight="1" x14ac:dyDescent="0.3">
      <c r="B578" s="2"/>
    </row>
    <row r="579" spans="2:2" ht="15.75" customHeight="1" x14ac:dyDescent="0.3">
      <c r="B579" s="2"/>
    </row>
    <row r="580" spans="2:2" ht="15.75" customHeight="1" x14ac:dyDescent="0.3">
      <c r="B580" s="2"/>
    </row>
    <row r="581" spans="2:2" ht="15.75" customHeight="1" x14ac:dyDescent="0.3">
      <c r="B581" s="2"/>
    </row>
    <row r="582" spans="2:2" ht="15.75" customHeight="1" x14ac:dyDescent="0.3">
      <c r="B582" s="2"/>
    </row>
    <row r="583" spans="2:2" ht="15.75" customHeight="1" x14ac:dyDescent="0.3">
      <c r="B583" s="2"/>
    </row>
    <row r="584" spans="2:2" ht="15.75" customHeight="1" x14ac:dyDescent="0.3">
      <c r="B584" s="2"/>
    </row>
    <row r="585" spans="2:2" ht="15.75" customHeight="1" x14ac:dyDescent="0.3">
      <c r="B585" s="2"/>
    </row>
    <row r="586" spans="2:2" ht="15.75" customHeight="1" x14ac:dyDescent="0.3">
      <c r="B586" s="2"/>
    </row>
    <row r="587" spans="2:2" ht="15.75" customHeight="1" x14ac:dyDescent="0.3">
      <c r="B587" s="2"/>
    </row>
    <row r="588" spans="2:2" ht="15.75" customHeight="1" x14ac:dyDescent="0.3">
      <c r="B588" s="2"/>
    </row>
    <row r="589" spans="2:2" ht="15.75" customHeight="1" x14ac:dyDescent="0.3">
      <c r="B589" s="2"/>
    </row>
    <row r="590" spans="2:2" ht="15.75" customHeight="1" x14ac:dyDescent="0.3">
      <c r="B590" s="2"/>
    </row>
    <row r="591" spans="2:2" ht="15.75" customHeight="1" x14ac:dyDescent="0.3">
      <c r="B591" s="2"/>
    </row>
    <row r="592" spans="2:2" ht="15.75" customHeight="1" x14ac:dyDescent="0.3">
      <c r="B592" s="2"/>
    </row>
    <row r="593" spans="2:2" ht="15.75" customHeight="1" x14ac:dyDescent="0.3">
      <c r="B593" s="2"/>
    </row>
    <row r="594" spans="2:2" ht="15.75" customHeight="1" x14ac:dyDescent="0.3">
      <c r="B594" s="2"/>
    </row>
    <row r="595" spans="2:2" ht="15.75" customHeight="1" x14ac:dyDescent="0.3">
      <c r="B595" s="2"/>
    </row>
    <row r="596" spans="2:2" ht="15.75" customHeight="1" x14ac:dyDescent="0.3">
      <c r="B596" s="2"/>
    </row>
    <row r="597" spans="2:2" ht="15.75" customHeight="1" x14ac:dyDescent="0.3">
      <c r="B597" s="2"/>
    </row>
    <row r="598" spans="2:2" ht="15.75" customHeight="1" x14ac:dyDescent="0.3">
      <c r="B598" s="2"/>
    </row>
    <row r="599" spans="2:2" ht="15.75" customHeight="1" x14ac:dyDescent="0.3">
      <c r="B599" s="2"/>
    </row>
    <row r="600" spans="2:2" ht="15.75" customHeight="1" x14ac:dyDescent="0.3">
      <c r="B600" s="2"/>
    </row>
    <row r="601" spans="2:2" ht="15.75" customHeight="1" x14ac:dyDescent="0.3">
      <c r="B601" s="2"/>
    </row>
    <row r="602" spans="2:2" ht="15.75" customHeight="1" x14ac:dyDescent="0.3">
      <c r="B602" s="2"/>
    </row>
    <row r="603" spans="2:2" ht="15.75" customHeight="1" x14ac:dyDescent="0.3">
      <c r="B603" s="2"/>
    </row>
    <row r="604" spans="2:2" ht="15.75" customHeight="1" x14ac:dyDescent="0.3">
      <c r="B604" s="2"/>
    </row>
    <row r="605" spans="2:2" ht="15.75" customHeight="1" x14ac:dyDescent="0.3">
      <c r="B605" s="2"/>
    </row>
    <row r="606" spans="2:2" ht="15.75" customHeight="1" x14ac:dyDescent="0.3">
      <c r="B606" s="2"/>
    </row>
    <row r="607" spans="2:2" ht="15.75" customHeight="1" x14ac:dyDescent="0.3">
      <c r="B607" s="2"/>
    </row>
    <row r="608" spans="2:2" ht="15.75" customHeight="1" x14ac:dyDescent="0.3">
      <c r="B608" s="2"/>
    </row>
    <row r="609" spans="2:2" ht="15.75" customHeight="1" x14ac:dyDescent="0.3">
      <c r="B609" s="2"/>
    </row>
    <row r="610" spans="2:2" ht="15.75" customHeight="1" x14ac:dyDescent="0.3">
      <c r="B610" s="2"/>
    </row>
    <row r="611" spans="2:2" ht="15.75" customHeight="1" x14ac:dyDescent="0.3">
      <c r="B611" s="2"/>
    </row>
    <row r="612" spans="2:2" ht="15.75" customHeight="1" x14ac:dyDescent="0.3">
      <c r="B612" s="2"/>
    </row>
    <row r="613" spans="2:2" ht="15.75" customHeight="1" x14ac:dyDescent="0.3">
      <c r="B613" s="2"/>
    </row>
    <row r="614" spans="2:2" ht="15.75" customHeight="1" x14ac:dyDescent="0.3">
      <c r="B614" s="2"/>
    </row>
    <row r="615" spans="2:2" ht="15.75" customHeight="1" x14ac:dyDescent="0.3">
      <c r="B615" s="2"/>
    </row>
    <row r="616" spans="2:2" ht="15.75" customHeight="1" x14ac:dyDescent="0.3">
      <c r="B616" s="2"/>
    </row>
    <row r="617" spans="2:2" ht="15.75" customHeight="1" x14ac:dyDescent="0.3">
      <c r="B617" s="2"/>
    </row>
    <row r="618" spans="2:2" ht="15.75" customHeight="1" x14ac:dyDescent="0.3">
      <c r="B618" s="2"/>
    </row>
    <row r="619" spans="2:2" ht="15.75" customHeight="1" x14ac:dyDescent="0.3">
      <c r="B619" s="2"/>
    </row>
    <row r="620" spans="2:2" ht="15.75" customHeight="1" x14ac:dyDescent="0.3">
      <c r="B620" s="2"/>
    </row>
    <row r="621" spans="2:2" ht="15.75" customHeight="1" x14ac:dyDescent="0.3">
      <c r="B621" s="2"/>
    </row>
    <row r="622" spans="2:2" ht="15.75" customHeight="1" x14ac:dyDescent="0.3">
      <c r="B622" s="2"/>
    </row>
    <row r="623" spans="2:2" ht="15.75" customHeight="1" x14ac:dyDescent="0.3">
      <c r="B623" s="2"/>
    </row>
    <row r="624" spans="2:2" ht="15.75" customHeight="1" x14ac:dyDescent="0.3">
      <c r="B624" s="2"/>
    </row>
    <row r="625" spans="2:2" ht="15.75" customHeight="1" x14ac:dyDescent="0.3">
      <c r="B625" s="2"/>
    </row>
    <row r="626" spans="2:2" ht="15.75" customHeight="1" x14ac:dyDescent="0.3">
      <c r="B626" s="2"/>
    </row>
    <row r="627" spans="2:2" ht="15.75" customHeight="1" x14ac:dyDescent="0.3">
      <c r="B627" s="2"/>
    </row>
    <row r="628" spans="2:2" ht="15.75" customHeight="1" x14ac:dyDescent="0.3">
      <c r="B628" s="2"/>
    </row>
    <row r="629" spans="2:2" ht="15.75" customHeight="1" x14ac:dyDescent="0.3">
      <c r="B629" s="2"/>
    </row>
    <row r="630" spans="2:2" ht="15.75" customHeight="1" x14ac:dyDescent="0.3">
      <c r="B630" s="2"/>
    </row>
    <row r="631" spans="2:2" ht="15.75" customHeight="1" x14ac:dyDescent="0.3">
      <c r="B631" s="2"/>
    </row>
    <row r="632" spans="2:2" ht="15.75" customHeight="1" x14ac:dyDescent="0.3">
      <c r="B632" s="2"/>
    </row>
    <row r="633" spans="2:2" ht="15.75" customHeight="1" x14ac:dyDescent="0.3">
      <c r="B633" s="2"/>
    </row>
    <row r="634" spans="2:2" ht="15.75" customHeight="1" x14ac:dyDescent="0.3">
      <c r="B634" s="2"/>
    </row>
    <row r="635" spans="2:2" ht="15.75" customHeight="1" x14ac:dyDescent="0.3">
      <c r="B635" s="2"/>
    </row>
    <row r="636" spans="2:2" ht="15.75" customHeight="1" x14ac:dyDescent="0.3">
      <c r="B636" s="2"/>
    </row>
    <row r="637" spans="2:2" ht="15.75" customHeight="1" x14ac:dyDescent="0.3">
      <c r="B637" s="2"/>
    </row>
    <row r="638" spans="2:2" ht="15.75" customHeight="1" x14ac:dyDescent="0.3">
      <c r="B638" s="2"/>
    </row>
    <row r="639" spans="2:2" ht="15.75" customHeight="1" x14ac:dyDescent="0.3">
      <c r="B639" s="2"/>
    </row>
    <row r="640" spans="2:2" ht="15.75" customHeight="1" x14ac:dyDescent="0.3">
      <c r="B640" s="2"/>
    </row>
    <row r="641" spans="2:2" ht="15.75" customHeight="1" x14ac:dyDescent="0.3">
      <c r="B641" s="2"/>
    </row>
    <row r="642" spans="2:2" ht="15.75" customHeight="1" x14ac:dyDescent="0.3">
      <c r="B642" s="2"/>
    </row>
    <row r="643" spans="2:2" ht="15.75" customHeight="1" x14ac:dyDescent="0.3">
      <c r="B643" s="2"/>
    </row>
    <row r="644" spans="2:2" ht="15.75" customHeight="1" x14ac:dyDescent="0.3">
      <c r="B644" s="2"/>
    </row>
    <row r="645" spans="2:2" ht="15.75" customHeight="1" x14ac:dyDescent="0.3">
      <c r="B645" s="2"/>
    </row>
    <row r="646" spans="2:2" ht="15.75" customHeight="1" x14ac:dyDescent="0.3">
      <c r="B646" s="2"/>
    </row>
    <row r="647" spans="2:2" ht="15.75" customHeight="1" x14ac:dyDescent="0.3">
      <c r="B647" s="2"/>
    </row>
    <row r="648" spans="2:2" ht="15.75" customHeight="1" x14ac:dyDescent="0.3">
      <c r="B648" s="2"/>
    </row>
    <row r="649" spans="2:2" ht="15.75" customHeight="1" x14ac:dyDescent="0.3">
      <c r="B649" s="2"/>
    </row>
    <row r="650" spans="2:2" ht="15.75" customHeight="1" x14ac:dyDescent="0.3">
      <c r="B650" s="2"/>
    </row>
    <row r="651" spans="2:2" ht="15.75" customHeight="1" x14ac:dyDescent="0.3">
      <c r="B651" s="2"/>
    </row>
    <row r="652" spans="2:2" ht="15.75" customHeight="1" x14ac:dyDescent="0.3">
      <c r="B652" s="2"/>
    </row>
    <row r="653" spans="2:2" ht="15.75" customHeight="1" x14ac:dyDescent="0.3">
      <c r="B653" s="2"/>
    </row>
    <row r="654" spans="2:2" ht="15.75" customHeight="1" x14ac:dyDescent="0.3">
      <c r="B654" s="2"/>
    </row>
    <row r="655" spans="2:2" ht="15.75" customHeight="1" x14ac:dyDescent="0.3">
      <c r="B655" s="2"/>
    </row>
    <row r="656" spans="2:2" ht="15.75" customHeight="1" x14ac:dyDescent="0.3">
      <c r="B656" s="2"/>
    </row>
    <row r="657" spans="2:2" ht="15.75" customHeight="1" x14ac:dyDescent="0.3">
      <c r="B657" s="2"/>
    </row>
    <row r="658" spans="2:2" ht="15.75" customHeight="1" x14ac:dyDescent="0.3">
      <c r="B658" s="2"/>
    </row>
    <row r="659" spans="2:2" ht="15.75" customHeight="1" x14ac:dyDescent="0.3">
      <c r="B659" s="2"/>
    </row>
    <row r="660" spans="2:2" ht="15.75" customHeight="1" x14ac:dyDescent="0.3">
      <c r="B660" s="2"/>
    </row>
    <row r="661" spans="2:2" ht="15.75" customHeight="1" x14ac:dyDescent="0.3">
      <c r="B661" s="2"/>
    </row>
    <row r="662" spans="2:2" ht="15.75" customHeight="1" x14ac:dyDescent="0.3">
      <c r="B662" s="2"/>
    </row>
    <row r="663" spans="2:2" ht="15.75" customHeight="1" x14ac:dyDescent="0.3">
      <c r="B663" s="2"/>
    </row>
    <row r="664" spans="2:2" ht="15.75" customHeight="1" x14ac:dyDescent="0.3">
      <c r="B664" s="2"/>
    </row>
    <row r="665" spans="2:2" ht="15.75" customHeight="1" x14ac:dyDescent="0.3">
      <c r="B665" s="2"/>
    </row>
    <row r="666" spans="2:2" ht="15.75" customHeight="1" x14ac:dyDescent="0.3">
      <c r="B666" s="2"/>
    </row>
    <row r="667" spans="2:2" ht="15.75" customHeight="1" x14ac:dyDescent="0.3">
      <c r="B667" s="2"/>
    </row>
    <row r="668" spans="2:2" ht="15.75" customHeight="1" x14ac:dyDescent="0.3">
      <c r="B668" s="2"/>
    </row>
    <row r="669" spans="2:2" ht="15.75" customHeight="1" x14ac:dyDescent="0.3">
      <c r="B669" s="2"/>
    </row>
    <row r="670" spans="2:2" ht="15.75" customHeight="1" x14ac:dyDescent="0.3">
      <c r="B670" s="2"/>
    </row>
    <row r="671" spans="2:2" ht="15.75" customHeight="1" x14ac:dyDescent="0.3">
      <c r="B671" s="2"/>
    </row>
    <row r="672" spans="2:2" ht="15.75" customHeight="1" x14ac:dyDescent="0.3">
      <c r="B672" s="2"/>
    </row>
    <row r="673" spans="2:2" ht="15.75" customHeight="1" x14ac:dyDescent="0.3">
      <c r="B673" s="2"/>
    </row>
    <row r="674" spans="2:2" ht="15.75" customHeight="1" x14ac:dyDescent="0.3">
      <c r="B674" s="2"/>
    </row>
    <row r="675" spans="2:2" ht="15.75" customHeight="1" x14ac:dyDescent="0.3">
      <c r="B675" s="2"/>
    </row>
    <row r="676" spans="2:2" ht="15.75" customHeight="1" x14ac:dyDescent="0.3">
      <c r="B676" s="2"/>
    </row>
    <row r="677" spans="2:2" ht="15.75" customHeight="1" x14ac:dyDescent="0.3">
      <c r="B677" s="2"/>
    </row>
    <row r="678" spans="2:2" ht="15.75" customHeight="1" x14ac:dyDescent="0.3">
      <c r="B678" s="2"/>
    </row>
    <row r="679" spans="2:2" ht="15.75" customHeight="1" x14ac:dyDescent="0.3">
      <c r="B679" s="2"/>
    </row>
    <row r="680" spans="2:2" ht="15.75" customHeight="1" x14ac:dyDescent="0.3">
      <c r="B680" s="2"/>
    </row>
    <row r="681" spans="2:2" ht="15.75" customHeight="1" x14ac:dyDescent="0.3">
      <c r="B681" s="2"/>
    </row>
    <row r="682" spans="2:2" ht="15.75" customHeight="1" x14ac:dyDescent="0.3">
      <c r="B682" s="2"/>
    </row>
    <row r="683" spans="2:2" ht="15.75" customHeight="1" x14ac:dyDescent="0.3">
      <c r="B683" s="2"/>
    </row>
    <row r="684" spans="2:2" ht="15.75" customHeight="1" x14ac:dyDescent="0.3">
      <c r="B684" s="2"/>
    </row>
    <row r="685" spans="2:2" ht="15.75" customHeight="1" x14ac:dyDescent="0.3">
      <c r="B685" s="2"/>
    </row>
    <row r="686" spans="2:2" ht="15.75" customHeight="1" x14ac:dyDescent="0.3">
      <c r="B686" s="2"/>
    </row>
    <row r="687" spans="2:2" ht="15.75" customHeight="1" x14ac:dyDescent="0.3">
      <c r="B687" s="2"/>
    </row>
    <row r="688" spans="2:2" ht="15.75" customHeight="1" x14ac:dyDescent="0.3">
      <c r="B688" s="2"/>
    </row>
    <row r="689" spans="2:2" ht="15.75" customHeight="1" x14ac:dyDescent="0.3">
      <c r="B689" s="2"/>
    </row>
    <row r="690" spans="2:2" ht="15.75" customHeight="1" x14ac:dyDescent="0.3">
      <c r="B690" s="2"/>
    </row>
    <row r="691" spans="2:2" ht="15.75" customHeight="1" x14ac:dyDescent="0.3">
      <c r="B691" s="2"/>
    </row>
    <row r="692" spans="2:2" ht="15.75" customHeight="1" x14ac:dyDescent="0.3">
      <c r="B692" s="2"/>
    </row>
    <row r="693" spans="2:2" ht="15.75" customHeight="1" x14ac:dyDescent="0.3">
      <c r="B693" s="2"/>
    </row>
    <row r="694" spans="2:2" ht="15.75" customHeight="1" x14ac:dyDescent="0.3">
      <c r="B694" s="2"/>
    </row>
    <row r="695" spans="2:2" ht="15.75" customHeight="1" x14ac:dyDescent="0.3">
      <c r="B695" s="2"/>
    </row>
    <row r="696" spans="2:2" ht="15.75" customHeight="1" x14ac:dyDescent="0.3">
      <c r="B696" s="2"/>
    </row>
    <row r="697" spans="2:2" ht="15.75" customHeight="1" x14ac:dyDescent="0.3">
      <c r="B697" s="2"/>
    </row>
    <row r="698" spans="2:2" ht="15.75" customHeight="1" x14ac:dyDescent="0.3">
      <c r="B698" s="2"/>
    </row>
    <row r="699" spans="2:2" ht="15.75" customHeight="1" x14ac:dyDescent="0.3">
      <c r="B699" s="2"/>
    </row>
    <row r="700" spans="2:2" ht="15.75" customHeight="1" x14ac:dyDescent="0.3">
      <c r="B700" s="2"/>
    </row>
    <row r="701" spans="2:2" ht="15.75" customHeight="1" x14ac:dyDescent="0.3">
      <c r="B701" s="2"/>
    </row>
    <row r="702" spans="2:2" ht="15.75" customHeight="1" x14ac:dyDescent="0.3">
      <c r="B702" s="2"/>
    </row>
    <row r="703" spans="2:2" ht="15.75" customHeight="1" x14ac:dyDescent="0.3">
      <c r="B703" s="2"/>
    </row>
    <row r="704" spans="2:2" ht="15.75" customHeight="1" x14ac:dyDescent="0.3">
      <c r="B704" s="2"/>
    </row>
    <row r="705" spans="2:2" ht="15.75" customHeight="1" x14ac:dyDescent="0.3">
      <c r="B705" s="2"/>
    </row>
    <row r="706" spans="2:2" ht="15.75" customHeight="1" x14ac:dyDescent="0.3">
      <c r="B706" s="2"/>
    </row>
    <row r="707" spans="2:2" ht="15.75" customHeight="1" x14ac:dyDescent="0.3">
      <c r="B707" s="2"/>
    </row>
    <row r="708" spans="2:2" ht="15.75" customHeight="1" x14ac:dyDescent="0.3">
      <c r="B708" s="2"/>
    </row>
    <row r="709" spans="2:2" ht="15.75" customHeight="1" x14ac:dyDescent="0.3">
      <c r="B709" s="2"/>
    </row>
    <row r="710" spans="2:2" ht="15.75" customHeight="1" x14ac:dyDescent="0.3">
      <c r="B710" s="2"/>
    </row>
    <row r="711" spans="2:2" ht="15.75" customHeight="1" x14ac:dyDescent="0.3">
      <c r="B711" s="2"/>
    </row>
    <row r="712" spans="2:2" ht="15.75" customHeight="1" x14ac:dyDescent="0.3">
      <c r="B712" s="2"/>
    </row>
    <row r="713" spans="2:2" ht="15.75" customHeight="1" x14ac:dyDescent="0.3">
      <c r="B713" s="2"/>
    </row>
    <row r="714" spans="2:2" ht="15.75" customHeight="1" x14ac:dyDescent="0.3">
      <c r="B714" s="2"/>
    </row>
    <row r="715" spans="2:2" ht="15.75" customHeight="1" x14ac:dyDescent="0.3">
      <c r="B715" s="2"/>
    </row>
    <row r="716" spans="2:2" ht="15.75" customHeight="1" x14ac:dyDescent="0.3">
      <c r="B716" s="2"/>
    </row>
    <row r="717" spans="2:2" ht="15.75" customHeight="1" x14ac:dyDescent="0.3">
      <c r="B717" s="2"/>
    </row>
    <row r="718" spans="2:2" ht="15.75" customHeight="1" x14ac:dyDescent="0.3">
      <c r="B718" s="2"/>
    </row>
    <row r="719" spans="2:2" ht="15.75" customHeight="1" x14ac:dyDescent="0.3">
      <c r="B719" s="2"/>
    </row>
    <row r="720" spans="2:2" ht="15.75" customHeight="1" x14ac:dyDescent="0.3">
      <c r="B720" s="2"/>
    </row>
    <row r="721" spans="2:2" ht="15.75" customHeight="1" x14ac:dyDescent="0.3">
      <c r="B721" s="2"/>
    </row>
    <row r="722" spans="2:2" ht="15.75" customHeight="1" x14ac:dyDescent="0.3">
      <c r="B722" s="2"/>
    </row>
    <row r="723" spans="2:2" ht="15.75" customHeight="1" x14ac:dyDescent="0.3">
      <c r="B723" s="2"/>
    </row>
    <row r="724" spans="2:2" ht="15.75" customHeight="1" x14ac:dyDescent="0.3">
      <c r="B724" s="2"/>
    </row>
    <row r="725" spans="2:2" ht="15.75" customHeight="1" x14ac:dyDescent="0.3">
      <c r="B725" s="2"/>
    </row>
    <row r="726" spans="2:2" ht="15.75" customHeight="1" x14ac:dyDescent="0.3">
      <c r="B726" s="2"/>
    </row>
    <row r="727" spans="2:2" ht="15.75" customHeight="1" x14ac:dyDescent="0.3">
      <c r="B727" s="2"/>
    </row>
    <row r="728" spans="2:2" ht="15.75" customHeight="1" x14ac:dyDescent="0.3">
      <c r="B728" s="2"/>
    </row>
    <row r="729" spans="2:2" ht="15.75" customHeight="1" x14ac:dyDescent="0.3">
      <c r="B729" s="2"/>
    </row>
    <row r="730" spans="2:2" ht="15.75" customHeight="1" x14ac:dyDescent="0.3">
      <c r="B730" s="2"/>
    </row>
    <row r="731" spans="2:2" ht="15.75" customHeight="1" x14ac:dyDescent="0.3">
      <c r="B731" s="2"/>
    </row>
    <row r="732" spans="2:2" ht="15.75" customHeight="1" x14ac:dyDescent="0.3">
      <c r="B732" s="2"/>
    </row>
    <row r="733" spans="2:2" ht="15.75" customHeight="1" x14ac:dyDescent="0.3">
      <c r="B733" s="2"/>
    </row>
    <row r="734" spans="2:2" ht="15.75" customHeight="1" x14ac:dyDescent="0.3">
      <c r="B734" s="2"/>
    </row>
    <row r="735" spans="2:2" ht="15.75" customHeight="1" x14ac:dyDescent="0.3">
      <c r="B735" s="2"/>
    </row>
    <row r="736" spans="2:2" ht="15.75" customHeight="1" x14ac:dyDescent="0.3">
      <c r="B736" s="2"/>
    </row>
    <row r="737" spans="2:2" ht="15.75" customHeight="1" x14ac:dyDescent="0.3">
      <c r="B737" s="2"/>
    </row>
    <row r="738" spans="2:2" ht="15.75" customHeight="1" x14ac:dyDescent="0.3">
      <c r="B738" s="2"/>
    </row>
    <row r="739" spans="2:2" ht="15.75" customHeight="1" x14ac:dyDescent="0.3">
      <c r="B739" s="2"/>
    </row>
    <row r="740" spans="2:2" ht="15.75" customHeight="1" x14ac:dyDescent="0.3">
      <c r="B740" s="2"/>
    </row>
    <row r="741" spans="2:2" ht="15.75" customHeight="1" x14ac:dyDescent="0.3">
      <c r="B741" s="2"/>
    </row>
    <row r="742" spans="2:2" ht="15.75" customHeight="1" x14ac:dyDescent="0.3">
      <c r="B742" s="2"/>
    </row>
    <row r="743" spans="2:2" ht="15.75" customHeight="1" x14ac:dyDescent="0.3">
      <c r="B743" s="2"/>
    </row>
    <row r="744" spans="2:2" ht="15.75" customHeight="1" x14ac:dyDescent="0.3">
      <c r="B744" s="2"/>
    </row>
    <row r="745" spans="2:2" ht="15.75" customHeight="1" x14ac:dyDescent="0.3">
      <c r="B745" s="2"/>
    </row>
    <row r="746" spans="2:2" ht="15.75" customHeight="1" x14ac:dyDescent="0.3">
      <c r="B746" s="2"/>
    </row>
    <row r="747" spans="2:2" ht="15.75" customHeight="1" x14ac:dyDescent="0.3">
      <c r="B747" s="2"/>
    </row>
    <row r="748" spans="2:2" ht="15.75" customHeight="1" x14ac:dyDescent="0.3">
      <c r="B748" s="2"/>
    </row>
    <row r="749" spans="2:2" ht="15.75" customHeight="1" x14ac:dyDescent="0.3">
      <c r="B749" s="2"/>
    </row>
    <row r="750" spans="2:2" ht="15.75" customHeight="1" x14ac:dyDescent="0.3">
      <c r="B750" s="2"/>
    </row>
    <row r="751" spans="2:2" ht="15.75" customHeight="1" x14ac:dyDescent="0.3">
      <c r="B751" s="2"/>
    </row>
    <row r="752" spans="2:2" ht="15.75" customHeight="1" x14ac:dyDescent="0.3">
      <c r="B752" s="2"/>
    </row>
    <row r="753" spans="2:2" ht="15.75" customHeight="1" x14ac:dyDescent="0.3">
      <c r="B753" s="2"/>
    </row>
    <row r="754" spans="2:2" ht="15.75" customHeight="1" x14ac:dyDescent="0.3">
      <c r="B754" s="2"/>
    </row>
    <row r="755" spans="2:2" ht="15.75" customHeight="1" x14ac:dyDescent="0.3">
      <c r="B755" s="2"/>
    </row>
    <row r="756" spans="2:2" ht="15.75" customHeight="1" x14ac:dyDescent="0.3">
      <c r="B756" s="2"/>
    </row>
    <row r="757" spans="2:2" ht="15.75" customHeight="1" x14ac:dyDescent="0.3">
      <c r="B757" s="2"/>
    </row>
    <row r="758" spans="2:2" ht="15.75" customHeight="1" x14ac:dyDescent="0.3">
      <c r="B758" s="2"/>
    </row>
    <row r="759" spans="2:2" ht="15.75" customHeight="1" x14ac:dyDescent="0.3">
      <c r="B759" s="2"/>
    </row>
    <row r="760" spans="2:2" ht="15.75" customHeight="1" x14ac:dyDescent="0.3">
      <c r="B760" s="2"/>
    </row>
    <row r="761" spans="2:2" ht="15.75" customHeight="1" x14ac:dyDescent="0.3">
      <c r="B761" s="2"/>
    </row>
    <row r="762" spans="2:2" ht="15.75" customHeight="1" x14ac:dyDescent="0.3">
      <c r="B762" s="2"/>
    </row>
    <row r="763" spans="2:2" ht="15.75" customHeight="1" x14ac:dyDescent="0.3">
      <c r="B763" s="2"/>
    </row>
    <row r="764" spans="2:2" ht="15.75" customHeight="1" x14ac:dyDescent="0.3">
      <c r="B764" s="2"/>
    </row>
    <row r="765" spans="2:2" ht="15.75" customHeight="1" x14ac:dyDescent="0.3">
      <c r="B765" s="2"/>
    </row>
    <row r="766" spans="2:2" ht="15.75" customHeight="1" x14ac:dyDescent="0.3">
      <c r="B766" s="2"/>
    </row>
    <row r="767" spans="2:2" ht="15.75" customHeight="1" x14ac:dyDescent="0.3">
      <c r="B767" s="2"/>
    </row>
    <row r="768" spans="2:2" ht="15.75" customHeight="1" x14ac:dyDescent="0.3">
      <c r="B768" s="2"/>
    </row>
    <row r="769" spans="2:2" ht="15.75" customHeight="1" x14ac:dyDescent="0.3">
      <c r="B769" s="2"/>
    </row>
    <row r="770" spans="2:2" ht="15.75" customHeight="1" x14ac:dyDescent="0.3">
      <c r="B770" s="2"/>
    </row>
    <row r="771" spans="2:2" ht="15.75" customHeight="1" x14ac:dyDescent="0.3">
      <c r="B771" s="2"/>
    </row>
    <row r="772" spans="2:2" ht="15.75" customHeight="1" x14ac:dyDescent="0.3">
      <c r="B772" s="2"/>
    </row>
    <row r="773" spans="2:2" ht="15.75" customHeight="1" x14ac:dyDescent="0.3">
      <c r="B773" s="2"/>
    </row>
    <row r="774" spans="2:2" ht="15.75" customHeight="1" x14ac:dyDescent="0.3">
      <c r="B774" s="2"/>
    </row>
    <row r="775" spans="2:2" ht="15.75" customHeight="1" x14ac:dyDescent="0.3">
      <c r="B775" s="2"/>
    </row>
    <row r="776" spans="2:2" ht="15.75" customHeight="1" x14ac:dyDescent="0.3">
      <c r="B776" s="2"/>
    </row>
    <row r="777" spans="2:2" ht="15.75" customHeight="1" x14ac:dyDescent="0.3">
      <c r="B777" s="2"/>
    </row>
    <row r="778" spans="2:2" ht="15.75" customHeight="1" x14ac:dyDescent="0.3">
      <c r="B778" s="2"/>
    </row>
    <row r="779" spans="2:2" ht="15.75" customHeight="1" x14ac:dyDescent="0.3">
      <c r="B779" s="2"/>
    </row>
    <row r="780" spans="2:2" ht="15.75" customHeight="1" x14ac:dyDescent="0.3">
      <c r="B780" s="2"/>
    </row>
    <row r="781" spans="2:2" ht="15.75" customHeight="1" x14ac:dyDescent="0.3">
      <c r="B781" s="2"/>
    </row>
    <row r="782" spans="2:2" ht="15.75" customHeight="1" x14ac:dyDescent="0.3">
      <c r="B782" s="2"/>
    </row>
    <row r="783" spans="2:2" ht="15.75" customHeight="1" x14ac:dyDescent="0.3">
      <c r="B783" s="2"/>
    </row>
    <row r="784" spans="2:2" ht="15.75" customHeight="1" x14ac:dyDescent="0.3">
      <c r="B784" s="2"/>
    </row>
    <row r="785" spans="2:2" ht="15.75" customHeight="1" x14ac:dyDescent="0.3">
      <c r="B785" s="2"/>
    </row>
    <row r="786" spans="2:2" ht="15.75" customHeight="1" x14ac:dyDescent="0.3">
      <c r="B786" s="2"/>
    </row>
    <row r="787" spans="2:2" ht="15.75" customHeight="1" x14ac:dyDescent="0.3">
      <c r="B787" s="2"/>
    </row>
    <row r="788" spans="2:2" ht="15.75" customHeight="1" x14ac:dyDescent="0.3">
      <c r="B788" s="2"/>
    </row>
    <row r="789" spans="2:2" ht="15.75" customHeight="1" x14ac:dyDescent="0.3">
      <c r="B789" s="2"/>
    </row>
    <row r="790" spans="2:2" ht="15.75" customHeight="1" x14ac:dyDescent="0.3">
      <c r="B790" s="2"/>
    </row>
    <row r="791" spans="2:2" ht="15.75" customHeight="1" x14ac:dyDescent="0.3">
      <c r="B791" s="2"/>
    </row>
    <row r="792" spans="2:2" ht="15.75" customHeight="1" x14ac:dyDescent="0.3">
      <c r="B792" s="2"/>
    </row>
    <row r="793" spans="2:2" ht="15.75" customHeight="1" x14ac:dyDescent="0.3">
      <c r="B793" s="2"/>
    </row>
    <row r="794" spans="2:2" ht="15.75" customHeight="1" x14ac:dyDescent="0.3">
      <c r="B794" s="2"/>
    </row>
    <row r="795" spans="2:2" ht="15.75" customHeight="1" x14ac:dyDescent="0.3">
      <c r="B795" s="2"/>
    </row>
    <row r="796" spans="2:2" ht="15.75" customHeight="1" x14ac:dyDescent="0.3">
      <c r="B796" s="2"/>
    </row>
    <row r="797" spans="2:2" ht="15.75" customHeight="1" x14ac:dyDescent="0.3">
      <c r="B797" s="2"/>
    </row>
    <row r="798" spans="2:2" ht="15.75" customHeight="1" x14ac:dyDescent="0.3">
      <c r="B798" s="2"/>
    </row>
    <row r="799" spans="2:2" ht="15.75" customHeight="1" x14ac:dyDescent="0.3">
      <c r="B799" s="2"/>
    </row>
    <row r="800" spans="2:2" ht="15.75" customHeight="1" x14ac:dyDescent="0.3">
      <c r="B800" s="2"/>
    </row>
    <row r="801" spans="2:2" ht="15.75" customHeight="1" x14ac:dyDescent="0.3">
      <c r="B801" s="2"/>
    </row>
    <row r="802" spans="2:2" ht="15.75" customHeight="1" x14ac:dyDescent="0.3">
      <c r="B802" s="2"/>
    </row>
    <row r="803" spans="2:2" ht="15.75" customHeight="1" x14ac:dyDescent="0.3">
      <c r="B803" s="2"/>
    </row>
    <row r="804" spans="2:2" ht="15.75" customHeight="1" x14ac:dyDescent="0.3">
      <c r="B804" s="2"/>
    </row>
    <row r="805" spans="2:2" ht="15.75" customHeight="1" x14ac:dyDescent="0.3">
      <c r="B805" s="2"/>
    </row>
    <row r="806" spans="2:2" ht="15.75" customHeight="1" x14ac:dyDescent="0.3">
      <c r="B806" s="2"/>
    </row>
    <row r="807" spans="2:2" ht="15.75" customHeight="1" x14ac:dyDescent="0.3">
      <c r="B807" s="2"/>
    </row>
    <row r="808" spans="2:2" ht="15.75" customHeight="1" x14ac:dyDescent="0.3">
      <c r="B808" s="2"/>
    </row>
    <row r="809" spans="2:2" ht="15.75" customHeight="1" x14ac:dyDescent="0.3">
      <c r="B809" s="2"/>
    </row>
    <row r="810" spans="2:2" ht="15.75" customHeight="1" x14ac:dyDescent="0.3">
      <c r="B810" s="2"/>
    </row>
    <row r="811" spans="2:2" ht="15.75" customHeight="1" x14ac:dyDescent="0.3">
      <c r="B811" s="2"/>
    </row>
    <row r="812" spans="2:2" ht="15.75" customHeight="1" x14ac:dyDescent="0.3">
      <c r="B812" s="2"/>
    </row>
    <row r="813" spans="2:2" ht="15.75" customHeight="1" x14ac:dyDescent="0.3">
      <c r="B813" s="2"/>
    </row>
    <row r="814" spans="2:2" ht="15.75" customHeight="1" x14ac:dyDescent="0.3">
      <c r="B814" s="2"/>
    </row>
    <row r="815" spans="2:2" ht="15.75" customHeight="1" x14ac:dyDescent="0.3">
      <c r="B815" s="2"/>
    </row>
    <row r="816" spans="2:2" ht="15.75" customHeight="1" x14ac:dyDescent="0.3">
      <c r="B816" s="2"/>
    </row>
    <row r="817" spans="2:2" ht="15.75" customHeight="1" x14ac:dyDescent="0.3">
      <c r="B817" s="2"/>
    </row>
    <row r="818" spans="2:2" ht="15.75" customHeight="1" x14ac:dyDescent="0.3">
      <c r="B818" s="2"/>
    </row>
    <row r="819" spans="2:2" ht="15.75" customHeight="1" x14ac:dyDescent="0.3">
      <c r="B819" s="2"/>
    </row>
    <row r="820" spans="2:2" ht="15.75" customHeight="1" x14ac:dyDescent="0.3">
      <c r="B820" s="2"/>
    </row>
    <row r="821" spans="2:2" ht="15.75" customHeight="1" x14ac:dyDescent="0.3">
      <c r="B821" s="2"/>
    </row>
    <row r="822" spans="2:2" ht="15.75" customHeight="1" x14ac:dyDescent="0.3">
      <c r="B822" s="2"/>
    </row>
    <row r="823" spans="2:2" ht="15.75" customHeight="1" x14ac:dyDescent="0.3">
      <c r="B823" s="2"/>
    </row>
    <row r="824" spans="2:2" ht="15.75" customHeight="1" x14ac:dyDescent="0.3">
      <c r="B824" s="2"/>
    </row>
    <row r="825" spans="2:2" ht="15.75" customHeight="1" x14ac:dyDescent="0.3">
      <c r="B825" s="2"/>
    </row>
    <row r="826" spans="2:2" ht="15.75" customHeight="1" x14ac:dyDescent="0.3">
      <c r="B826" s="2"/>
    </row>
    <row r="827" spans="2:2" ht="15.75" customHeight="1" x14ac:dyDescent="0.3">
      <c r="B827" s="2"/>
    </row>
    <row r="828" spans="2:2" ht="15.75" customHeight="1" x14ac:dyDescent="0.3">
      <c r="B828" s="2"/>
    </row>
    <row r="829" spans="2:2" ht="15.75" customHeight="1" x14ac:dyDescent="0.3">
      <c r="B829" s="2"/>
    </row>
    <row r="830" spans="2:2" ht="15.75" customHeight="1" x14ac:dyDescent="0.3">
      <c r="B830" s="2"/>
    </row>
    <row r="831" spans="2:2" ht="15.75" customHeight="1" x14ac:dyDescent="0.3">
      <c r="B831" s="2"/>
    </row>
    <row r="832" spans="2:2" ht="15.75" customHeight="1" x14ac:dyDescent="0.3">
      <c r="B832" s="2"/>
    </row>
    <row r="833" spans="2:2" ht="15.75" customHeight="1" x14ac:dyDescent="0.3">
      <c r="B833" s="2"/>
    </row>
    <row r="834" spans="2:2" ht="15.75" customHeight="1" x14ac:dyDescent="0.3">
      <c r="B834" s="2"/>
    </row>
    <row r="835" spans="2:2" ht="15.75" customHeight="1" x14ac:dyDescent="0.3">
      <c r="B835" s="2"/>
    </row>
    <row r="836" spans="2:2" ht="15.75" customHeight="1" x14ac:dyDescent="0.3">
      <c r="B836" s="2"/>
    </row>
    <row r="837" spans="2:2" ht="15.75" customHeight="1" x14ac:dyDescent="0.3">
      <c r="B837" s="2"/>
    </row>
    <row r="838" spans="2:2" ht="15.75" customHeight="1" x14ac:dyDescent="0.3">
      <c r="B838" s="2"/>
    </row>
    <row r="839" spans="2:2" ht="15.75" customHeight="1" x14ac:dyDescent="0.3">
      <c r="B839" s="2"/>
    </row>
    <row r="840" spans="2:2" ht="15.75" customHeight="1" x14ac:dyDescent="0.3">
      <c r="B840" s="2"/>
    </row>
    <row r="841" spans="2:2" ht="15.75" customHeight="1" x14ac:dyDescent="0.3">
      <c r="B841" s="2"/>
    </row>
    <row r="842" spans="2:2" ht="15.75" customHeight="1" x14ac:dyDescent="0.3">
      <c r="B842" s="2"/>
    </row>
    <row r="843" spans="2:2" ht="15.75" customHeight="1" x14ac:dyDescent="0.3">
      <c r="B843" s="2"/>
    </row>
    <row r="844" spans="2:2" ht="15.75" customHeight="1" x14ac:dyDescent="0.3">
      <c r="B844" s="2"/>
    </row>
    <row r="845" spans="2:2" ht="15.75" customHeight="1" x14ac:dyDescent="0.3">
      <c r="B845" s="2"/>
    </row>
    <row r="846" spans="2:2" ht="15.75" customHeight="1" x14ac:dyDescent="0.3">
      <c r="B846" s="2"/>
    </row>
    <row r="847" spans="2:2" ht="15.75" customHeight="1" x14ac:dyDescent="0.3">
      <c r="B847" s="2"/>
    </row>
    <row r="848" spans="2:2" ht="15.75" customHeight="1" x14ac:dyDescent="0.3">
      <c r="B848" s="2"/>
    </row>
    <row r="849" spans="2:2" ht="15.75" customHeight="1" x14ac:dyDescent="0.3">
      <c r="B849" s="2"/>
    </row>
    <row r="850" spans="2:2" ht="15.75" customHeight="1" x14ac:dyDescent="0.3">
      <c r="B850" s="2"/>
    </row>
    <row r="851" spans="2:2" ht="15.75" customHeight="1" x14ac:dyDescent="0.3">
      <c r="B851" s="2"/>
    </row>
    <row r="852" spans="2:2" ht="15.75" customHeight="1" x14ac:dyDescent="0.3">
      <c r="B852" s="2"/>
    </row>
    <row r="853" spans="2:2" ht="15.75" customHeight="1" x14ac:dyDescent="0.3">
      <c r="B853" s="2"/>
    </row>
    <row r="854" spans="2:2" ht="15.75" customHeight="1" x14ac:dyDescent="0.3">
      <c r="B854" s="2"/>
    </row>
    <row r="855" spans="2:2" ht="15.75" customHeight="1" x14ac:dyDescent="0.3">
      <c r="B855" s="2"/>
    </row>
    <row r="856" spans="2:2" ht="15.75" customHeight="1" x14ac:dyDescent="0.3">
      <c r="B856" s="2"/>
    </row>
    <row r="857" spans="2:2" ht="15.75" customHeight="1" x14ac:dyDescent="0.3">
      <c r="B857" s="2"/>
    </row>
    <row r="858" spans="2:2" ht="15.75" customHeight="1" x14ac:dyDescent="0.3">
      <c r="B858" s="2"/>
    </row>
    <row r="859" spans="2:2" ht="15.75" customHeight="1" x14ac:dyDescent="0.3">
      <c r="B859" s="2"/>
    </row>
    <row r="860" spans="2:2" ht="15.75" customHeight="1" x14ac:dyDescent="0.3">
      <c r="B860" s="2"/>
    </row>
    <row r="861" spans="2:2" ht="15.75" customHeight="1" x14ac:dyDescent="0.3">
      <c r="B861" s="2"/>
    </row>
    <row r="862" spans="2:2" ht="15.75" customHeight="1" x14ac:dyDescent="0.3">
      <c r="B862" s="2"/>
    </row>
    <row r="863" spans="2:2" ht="15.75" customHeight="1" x14ac:dyDescent="0.3">
      <c r="B863" s="2"/>
    </row>
    <row r="864" spans="2:2" ht="15.75" customHeight="1" x14ac:dyDescent="0.3">
      <c r="B864" s="2"/>
    </row>
    <row r="865" spans="2:2" ht="15.75" customHeight="1" x14ac:dyDescent="0.3">
      <c r="B865" s="2"/>
    </row>
    <row r="866" spans="2:2" ht="15.75" customHeight="1" x14ac:dyDescent="0.3">
      <c r="B866" s="2"/>
    </row>
    <row r="867" spans="2:2" ht="15.75" customHeight="1" x14ac:dyDescent="0.3">
      <c r="B867" s="2"/>
    </row>
    <row r="868" spans="2:2" ht="15.75" customHeight="1" x14ac:dyDescent="0.3">
      <c r="B868" s="2"/>
    </row>
    <row r="869" spans="2:2" ht="15.75" customHeight="1" x14ac:dyDescent="0.3">
      <c r="B869" s="2"/>
    </row>
    <row r="870" spans="2:2" ht="15.75" customHeight="1" x14ac:dyDescent="0.3">
      <c r="B870" s="2"/>
    </row>
    <row r="871" spans="2:2" ht="15.75" customHeight="1" x14ac:dyDescent="0.3">
      <c r="B871" s="2"/>
    </row>
    <row r="872" spans="2:2" ht="15.75" customHeight="1" x14ac:dyDescent="0.3">
      <c r="B872" s="2"/>
    </row>
    <row r="873" spans="2:2" ht="15.75" customHeight="1" x14ac:dyDescent="0.3">
      <c r="B873" s="2"/>
    </row>
    <row r="874" spans="2:2" ht="15.75" customHeight="1" x14ac:dyDescent="0.3">
      <c r="B874" s="2"/>
    </row>
    <row r="875" spans="2:2" ht="15.75" customHeight="1" x14ac:dyDescent="0.3">
      <c r="B875" s="2"/>
    </row>
    <row r="876" spans="2:2" ht="15.75" customHeight="1" x14ac:dyDescent="0.3">
      <c r="B876" s="2"/>
    </row>
    <row r="877" spans="2:2" ht="15.75" customHeight="1" x14ac:dyDescent="0.3">
      <c r="B877" s="2"/>
    </row>
    <row r="878" spans="2:2" ht="15.75" customHeight="1" x14ac:dyDescent="0.3">
      <c r="B878" s="2"/>
    </row>
    <row r="879" spans="2:2" ht="15.75" customHeight="1" x14ac:dyDescent="0.3">
      <c r="B879" s="2"/>
    </row>
    <row r="880" spans="2:2" ht="15.75" customHeight="1" x14ac:dyDescent="0.3">
      <c r="B880" s="2"/>
    </row>
    <row r="881" spans="2:2" ht="15.75" customHeight="1" x14ac:dyDescent="0.3">
      <c r="B881" s="2"/>
    </row>
    <row r="882" spans="2:2" ht="15.75" customHeight="1" x14ac:dyDescent="0.3">
      <c r="B882" s="2"/>
    </row>
    <row r="883" spans="2:2" ht="15.75" customHeight="1" x14ac:dyDescent="0.3">
      <c r="B883" s="2"/>
    </row>
    <row r="884" spans="2:2" ht="15.75" customHeight="1" x14ac:dyDescent="0.3">
      <c r="B884" s="2"/>
    </row>
    <row r="885" spans="2:2" ht="15.75" customHeight="1" x14ac:dyDescent="0.3">
      <c r="B885" s="2"/>
    </row>
    <row r="886" spans="2:2" ht="15.75" customHeight="1" x14ac:dyDescent="0.3">
      <c r="B886" s="2"/>
    </row>
    <row r="887" spans="2:2" ht="15.75" customHeight="1" x14ac:dyDescent="0.3">
      <c r="B887" s="2"/>
    </row>
    <row r="888" spans="2:2" ht="15.75" customHeight="1" x14ac:dyDescent="0.3">
      <c r="B888" s="2"/>
    </row>
    <row r="889" spans="2:2" ht="15.75" customHeight="1" x14ac:dyDescent="0.3">
      <c r="B889" s="2"/>
    </row>
    <row r="890" spans="2:2" ht="15.75" customHeight="1" x14ac:dyDescent="0.3">
      <c r="B890" s="2"/>
    </row>
    <row r="891" spans="2:2" ht="15.75" customHeight="1" x14ac:dyDescent="0.3">
      <c r="B891" s="2"/>
    </row>
    <row r="892" spans="2:2" ht="15.75" customHeight="1" x14ac:dyDescent="0.3">
      <c r="B892" s="2"/>
    </row>
    <row r="893" spans="2:2" ht="15.75" customHeight="1" x14ac:dyDescent="0.3">
      <c r="B893" s="2"/>
    </row>
    <row r="894" spans="2:2" ht="15.75" customHeight="1" x14ac:dyDescent="0.3">
      <c r="B894" s="2"/>
    </row>
    <row r="895" spans="2:2" ht="15.75" customHeight="1" x14ac:dyDescent="0.3">
      <c r="B895" s="2"/>
    </row>
    <row r="896" spans="2:2" ht="15.75" customHeight="1" x14ac:dyDescent="0.3">
      <c r="B896" s="2"/>
    </row>
    <row r="897" spans="2:2" ht="15.75" customHeight="1" x14ac:dyDescent="0.3">
      <c r="B897" s="2"/>
    </row>
    <row r="898" spans="2:2" ht="15.75" customHeight="1" x14ac:dyDescent="0.3">
      <c r="B898" s="2"/>
    </row>
    <row r="899" spans="2:2" ht="15.75" customHeight="1" x14ac:dyDescent="0.3">
      <c r="B899" s="2"/>
    </row>
    <row r="900" spans="2:2" ht="15.75" customHeight="1" x14ac:dyDescent="0.3">
      <c r="B900" s="2"/>
    </row>
    <row r="901" spans="2:2" ht="15.75" customHeight="1" x14ac:dyDescent="0.3">
      <c r="B901" s="2"/>
    </row>
    <row r="902" spans="2:2" ht="15.75" customHeight="1" x14ac:dyDescent="0.3">
      <c r="B902" s="2"/>
    </row>
    <row r="903" spans="2:2" ht="15.75" customHeight="1" x14ac:dyDescent="0.3">
      <c r="B903" s="2"/>
    </row>
    <row r="904" spans="2:2" ht="15.75" customHeight="1" x14ac:dyDescent="0.3">
      <c r="B904" s="2"/>
    </row>
    <row r="905" spans="2:2" ht="15.75" customHeight="1" x14ac:dyDescent="0.3">
      <c r="B905" s="2"/>
    </row>
    <row r="906" spans="2:2" ht="15.75" customHeight="1" x14ac:dyDescent="0.3">
      <c r="B906" s="2"/>
    </row>
    <row r="907" spans="2:2" ht="15.75" customHeight="1" x14ac:dyDescent="0.3">
      <c r="B907" s="2"/>
    </row>
    <row r="908" spans="2:2" ht="15.75" customHeight="1" x14ac:dyDescent="0.3">
      <c r="B908" s="2"/>
    </row>
    <row r="909" spans="2:2" ht="15.75" customHeight="1" x14ac:dyDescent="0.3">
      <c r="B909" s="2"/>
    </row>
    <row r="910" spans="2:2" ht="15.75" customHeight="1" x14ac:dyDescent="0.3">
      <c r="B910" s="2"/>
    </row>
    <row r="911" spans="2:2" ht="15.75" customHeight="1" x14ac:dyDescent="0.3">
      <c r="B911" s="2"/>
    </row>
    <row r="912" spans="2:2" ht="15.75" customHeight="1" x14ac:dyDescent="0.3">
      <c r="B912" s="2"/>
    </row>
    <row r="913" spans="2:2" ht="15.75" customHeight="1" x14ac:dyDescent="0.3">
      <c r="B913" s="2"/>
    </row>
    <row r="914" spans="2:2" ht="15.75" customHeight="1" x14ac:dyDescent="0.3">
      <c r="B914" s="2"/>
    </row>
    <row r="915" spans="2:2" ht="15.75" customHeight="1" x14ac:dyDescent="0.3">
      <c r="B915" s="2"/>
    </row>
    <row r="916" spans="2:2" ht="15.75" customHeight="1" x14ac:dyDescent="0.3">
      <c r="B916" s="2"/>
    </row>
    <row r="917" spans="2:2" ht="15.75" customHeight="1" x14ac:dyDescent="0.3">
      <c r="B917" s="2"/>
    </row>
    <row r="918" spans="2:2" ht="15.75" customHeight="1" x14ac:dyDescent="0.3">
      <c r="B918" s="2"/>
    </row>
    <row r="919" spans="2:2" ht="15.75" customHeight="1" x14ac:dyDescent="0.3">
      <c r="B919" s="2"/>
    </row>
    <row r="920" spans="2:2" ht="15.75" customHeight="1" x14ac:dyDescent="0.3">
      <c r="B920" s="2"/>
    </row>
    <row r="921" spans="2:2" ht="15.75" customHeight="1" x14ac:dyDescent="0.3">
      <c r="B921" s="2"/>
    </row>
    <row r="922" spans="2:2" ht="15.75" customHeight="1" x14ac:dyDescent="0.3">
      <c r="B922" s="2"/>
    </row>
    <row r="923" spans="2:2" ht="15.75" customHeight="1" x14ac:dyDescent="0.3">
      <c r="B923" s="2"/>
    </row>
    <row r="924" spans="2:2" ht="15.75" customHeight="1" x14ac:dyDescent="0.3">
      <c r="B924" s="2"/>
    </row>
    <row r="925" spans="2:2" ht="15.75" customHeight="1" x14ac:dyDescent="0.3">
      <c r="B925" s="2"/>
    </row>
    <row r="926" spans="2:2" ht="15.75" customHeight="1" x14ac:dyDescent="0.3">
      <c r="B926" s="2"/>
    </row>
    <row r="927" spans="2:2" ht="15.75" customHeight="1" x14ac:dyDescent="0.3">
      <c r="B927" s="2"/>
    </row>
    <row r="928" spans="2:2" ht="15.75" customHeight="1" x14ac:dyDescent="0.3">
      <c r="B928" s="2"/>
    </row>
    <row r="929" spans="2:2" ht="15.75" customHeight="1" x14ac:dyDescent="0.3">
      <c r="B929" s="2"/>
    </row>
    <row r="930" spans="2:2" ht="15.75" customHeight="1" x14ac:dyDescent="0.3">
      <c r="B930" s="2"/>
    </row>
    <row r="931" spans="2:2" ht="15.75" customHeight="1" x14ac:dyDescent="0.3">
      <c r="B931" s="2"/>
    </row>
    <row r="932" spans="2:2" ht="15.75" customHeight="1" x14ac:dyDescent="0.3">
      <c r="B932" s="2"/>
    </row>
    <row r="933" spans="2:2" ht="15.75" customHeight="1" x14ac:dyDescent="0.3">
      <c r="B933" s="2"/>
    </row>
    <row r="934" spans="2:2" ht="15.75" customHeight="1" x14ac:dyDescent="0.3">
      <c r="B934" s="2"/>
    </row>
    <row r="935" spans="2:2" ht="15.75" customHeight="1" x14ac:dyDescent="0.3">
      <c r="B935" s="2"/>
    </row>
    <row r="936" spans="2:2" ht="15.75" customHeight="1" x14ac:dyDescent="0.3">
      <c r="B936" s="2"/>
    </row>
    <row r="937" spans="2:2" ht="15.75" customHeight="1" x14ac:dyDescent="0.3">
      <c r="B937" s="2"/>
    </row>
    <row r="938" spans="2:2" ht="15.75" customHeight="1" x14ac:dyDescent="0.3">
      <c r="B938" s="2"/>
    </row>
    <row r="939" spans="2:2" ht="15.75" customHeight="1" x14ac:dyDescent="0.3">
      <c r="B939" s="2"/>
    </row>
    <row r="940" spans="2:2" ht="15.75" customHeight="1" x14ac:dyDescent="0.3">
      <c r="B940" s="2"/>
    </row>
    <row r="941" spans="2:2" ht="15.75" customHeight="1" x14ac:dyDescent="0.3">
      <c r="B941" s="2"/>
    </row>
    <row r="942" spans="2:2" ht="15.75" customHeight="1" x14ac:dyDescent="0.3">
      <c r="B942" s="2"/>
    </row>
    <row r="943" spans="2:2" ht="15.75" customHeight="1" x14ac:dyDescent="0.3">
      <c r="B943" s="2"/>
    </row>
    <row r="944" spans="2:2" ht="15.75" customHeight="1" x14ac:dyDescent="0.3">
      <c r="B944" s="2"/>
    </row>
    <row r="945" spans="2:2" ht="15.75" customHeight="1" x14ac:dyDescent="0.3">
      <c r="B945" s="2"/>
    </row>
    <row r="946" spans="2:2" ht="15.75" customHeight="1" x14ac:dyDescent="0.3">
      <c r="B946" s="2"/>
    </row>
    <row r="947" spans="2:2" ht="15.75" customHeight="1" x14ac:dyDescent="0.3">
      <c r="B947" s="2"/>
    </row>
    <row r="948" spans="2:2" ht="15.75" customHeight="1" x14ac:dyDescent="0.3">
      <c r="B948" s="2"/>
    </row>
    <row r="949" spans="2:2" ht="15.75" customHeight="1" x14ac:dyDescent="0.3">
      <c r="B949" s="2"/>
    </row>
    <row r="950" spans="2:2" ht="15.75" customHeight="1" x14ac:dyDescent="0.3">
      <c r="B950" s="2"/>
    </row>
    <row r="951" spans="2:2" ht="15.75" customHeight="1" x14ac:dyDescent="0.3">
      <c r="B951" s="2"/>
    </row>
    <row r="952" spans="2:2" ht="15.75" customHeight="1" x14ac:dyDescent="0.3">
      <c r="B952" s="2"/>
    </row>
    <row r="953" spans="2:2" ht="15.75" customHeight="1" x14ac:dyDescent="0.3">
      <c r="B953" s="2"/>
    </row>
    <row r="954" spans="2:2" ht="15.75" customHeight="1" x14ac:dyDescent="0.3">
      <c r="B954" s="2"/>
    </row>
    <row r="955" spans="2:2" ht="15.75" customHeight="1" x14ac:dyDescent="0.3">
      <c r="B955" s="2"/>
    </row>
    <row r="956" spans="2:2" ht="15.75" customHeight="1" x14ac:dyDescent="0.3">
      <c r="B956" s="2"/>
    </row>
    <row r="957" spans="2:2" ht="15.75" customHeight="1" x14ac:dyDescent="0.3">
      <c r="B957" s="2"/>
    </row>
    <row r="958" spans="2:2" ht="15.75" customHeight="1" x14ac:dyDescent="0.3">
      <c r="B958" s="2"/>
    </row>
    <row r="959" spans="2:2" ht="15.75" customHeight="1" x14ac:dyDescent="0.3">
      <c r="B959" s="2"/>
    </row>
    <row r="960" spans="2:2" ht="15.75" customHeight="1" x14ac:dyDescent="0.3">
      <c r="B960" s="2"/>
    </row>
    <row r="961" spans="2:2" ht="15.75" customHeight="1" x14ac:dyDescent="0.3">
      <c r="B961" s="2"/>
    </row>
    <row r="962" spans="2:2" ht="15.75" customHeight="1" x14ac:dyDescent="0.3">
      <c r="B962" s="2"/>
    </row>
    <row r="963" spans="2:2" ht="15.75" customHeight="1" x14ac:dyDescent="0.3">
      <c r="B963" s="2"/>
    </row>
    <row r="964" spans="2:2" ht="15.75" customHeight="1" x14ac:dyDescent="0.3">
      <c r="B964" s="2"/>
    </row>
    <row r="965" spans="2:2" ht="15.75" customHeight="1" x14ac:dyDescent="0.3">
      <c r="B965" s="2"/>
    </row>
    <row r="966" spans="2:2" ht="15.75" customHeight="1" x14ac:dyDescent="0.3">
      <c r="B966" s="2"/>
    </row>
    <row r="967" spans="2:2" ht="15.75" customHeight="1" x14ac:dyDescent="0.3">
      <c r="B967" s="2"/>
    </row>
    <row r="968" spans="2:2" ht="15.75" customHeight="1" x14ac:dyDescent="0.3">
      <c r="B968" s="2"/>
    </row>
    <row r="969" spans="2:2" ht="15.75" customHeight="1" x14ac:dyDescent="0.3">
      <c r="B969" s="2"/>
    </row>
    <row r="970" spans="2:2" ht="15.75" customHeight="1" x14ac:dyDescent="0.3">
      <c r="B970" s="2"/>
    </row>
    <row r="971" spans="2:2" ht="15.75" customHeight="1" x14ac:dyDescent="0.3">
      <c r="B971" s="2"/>
    </row>
    <row r="972" spans="2:2" ht="15.75" customHeight="1" x14ac:dyDescent="0.3">
      <c r="B972" s="2"/>
    </row>
    <row r="973" spans="2:2" ht="15.75" customHeight="1" x14ac:dyDescent="0.3">
      <c r="B973" s="2"/>
    </row>
    <row r="974" spans="2:2" ht="15.75" customHeight="1" x14ac:dyDescent="0.3">
      <c r="B974" s="2"/>
    </row>
    <row r="975" spans="2:2" ht="15.75" customHeight="1" x14ac:dyDescent="0.3">
      <c r="B975" s="2"/>
    </row>
    <row r="976" spans="2:2" ht="15.75" customHeight="1" x14ac:dyDescent="0.3">
      <c r="B976" s="2"/>
    </row>
    <row r="977" spans="2:2" ht="15.75" customHeight="1" x14ac:dyDescent="0.3">
      <c r="B977" s="2"/>
    </row>
    <row r="978" spans="2:2" ht="15.75" customHeight="1" x14ac:dyDescent="0.3">
      <c r="B978" s="2"/>
    </row>
    <row r="979" spans="2:2" ht="15.75" customHeight="1" x14ac:dyDescent="0.3">
      <c r="B979" s="2"/>
    </row>
    <row r="980" spans="2:2" ht="15.75" customHeight="1" x14ac:dyDescent="0.3">
      <c r="B980" s="2"/>
    </row>
    <row r="981" spans="2:2" ht="15.75" customHeight="1" x14ac:dyDescent="0.3">
      <c r="B981" s="2"/>
    </row>
    <row r="982" spans="2:2" ht="15.75" customHeight="1" x14ac:dyDescent="0.3">
      <c r="B982" s="2"/>
    </row>
    <row r="983" spans="2:2" ht="15.75" customHeight="1" x14ac:dyDescent="0.3">
      <c r="B983" s="2"/>
    </row>
    <row r="984" spans="2:2" ht="15.75" customHeight="1" x14ac:dyDescent="0.3">
      <c r="B984" s="2"/>
    </row>
    <row r="985" spans="2:2" ht="15.75" customHeight="1" x14ac:dyDescent="0.3">
      <c r="B985" s="2"/>
    </row>
    <row r="986" spans="2:2" ht="15.75" customHeight="1" x14ac:dyDescent="0.3">
      <c r="B986" s="2"/>
    </row>
    <row r="987" spans="2:2" ht="15.75" customHeight="1" x14ac:dyDescent="0.3">
      <c r="B987" s="2"/>
    </row>
    <row r="988" spans="2:2" ht="15.75" customHeight="1" x14ac:dyDescent="0.3">
      <c r="B988" s="2"/>
    </row>
    <row r="989" spans="2:2" ht="15.75" customHeight="1" x14ac:dyDescent="0.3">
      <c r="B989" s="2"/>
    </row>
    <row r="990" spans="2:2" ht="15.75" customHeight="1" x14ac:dyDescent="0.3">
      <c r="B990" s="2"/>
    </row>
    <row r="991" spans="2:2" ht="15.75" customHeight="1" x14ac:dyDescent="0.3">
      <c r="B991" s="2"/>
    </row>
    <row r="992" spans="2:2" ht="15.75" customHeight="1" x14ac:dyDescent="0.3">
      <c r="B992" s="2"/>
    </row>
    <row r="993" spans="2:2" ht="15.75" customHeight="1" x14ac:dyDescent="0.3">
      <c r="B993" s="2"/>
    </row>
    <row r="994" spans="2:2" ht="15.75" customHeight="1" x14ac:dyDescent="0.3">
      <c r="B994" s="2"/>
    </row>
    <row r="995" spans="2:2" ht="15.75" customHeight="1" x14ac:dyDescent="0.3"/>
    <row r="996" spans="2:2" ht="15.75" customHeight="1" x14ac:dyDescent="0.3"/>
    <row r="997" spans="2:2" ht="15.75" customHeight="1" x14ac:dyDescent="0.3"/>
    <row r="998" spans="2:2" ht="15.75" customHeight="1" x14ac:dyDescent="0.3"/>
    <row r="999" spans="2:2" ht="15.75" customHeight="1" x14ac:dyDescent="0.3"/>
    <row r="1000" spans="2:2" ht="15.75" customHeight="1" x14ac:dyDescent="0.3"/>
  </sheetData>
  <mergeCells count="38">
    <mergeCell ref="L49:AE49"/>
    <mergeCell ref="F54:H59"/>
    <mergeCell ref="F53:H53"/>
    <mergeCell ref="A1:D1"/>
    <mergeCell ref="A15:H15"/>
    <mergeCell ref="B19:E19"/>
    <mergeCell ref="A23:E23"/>
    <mergeCell ref="L45:X45"/>
    <mergeCell ref="A55:E55"/>
    <mergeCell ref="A56:E56"/>
    <mergeCell ref="K24:M24"/>
    <mergeCell ref="T17:AN17"/>
    <mergeCell ref="T18:U18"/>
    <mergeCell ref="V18:V19"/>
    <mergeCell ref="W18:W19"/>
    <mergeCell ref="X18:X19"/>
    <mergeCell ref="A62:F62"/>
    <mergeCell ref="A61:F61"/>
    <mergeCell ref="A27:E27"/>
    <mergeCell ref="A31:E31"/>
    <mergeCell ref="A35:E35"/>
    <mergeCell ref="A41:E41"/>
    <mergeCell ref="A47:E47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H18"/>
    <mergeCell ref="AI18:AI19"/>
    <mergeCell ref="AJ18:AJ19"/>
    <mergeCell ref="AK18:AK19"/>
    <mergeCell ref="AL18:AL19"/>
    <mergeCell ref="AM18:AM19"/>
    <mergeCell ref="AN18:AN19"/>
  </mergeCells>
  <conditionalFormatting sqref="B16:D17">
    <cfRule type="cellIs" dxfId="1" priority="1" operator="notBetween">
      <formula>0.7</formula>
      <formula>4</formula>
    </cfRule>
  </conditionalFormatting>
  <pageMargins left="0.7" right="0.7" top="0.75" bottom="0.75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Equation.3" shapeId="3074" r:id="rId3">
          <objectPr defaultSize="0" autoPict="0" r:id="rId4">
            <anchor moveWithCells="1" sizeWithCells="1">
              <from>
                <xdr:col>13</xdr:col>
                <xdr:colOff>297180</xdr:colOff>
                <xdr:row>49</xdr:row>
                <xdr:rowOff>60960</xdr:rowOff>
              </from>
              <to>
                <xdr:col>13</xdr:col>
                <xdr:colOff>403860</xdr:colOff>
                <xdr:row>49</xdr:row>
                <xdr:rowOff>160020</xdr:rowOff>
              </to>
            </anchor>
          </objectPr>
        </oleObject>
      </mc:Choice>
      <mc:Fallback>
        <oleObject progId="Equation.3" shapeId="3074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DD4"/>
  </sheetPr>
  <dimension ref="A1:O1000"/>
  <sheetViews>
    <sheetView topLeftCell="A85" workbookViewId="0">
      <pane xSplit="1" topLeftCell="B1" activePane="topRight" state="frozen"/>
      <selection pane="topRight" activeCell="O94" sqref="O94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13" ht="15" customHeight="1" thickBot="1" x14ac:dyDescent="0.35"/>
    <row r="2" spans="1:13" ht="23.25" customHeight="1" thickBot="1" x14ac:dyDescent="0.45">
      <c r="A2" s="613" t="s">
        <v>995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5"/>
    </row>
    <row r="6" spans="1:13" ht="14.4" x14ac:dyDescent="0.3">
      <c r="A6" s="698" t="s">
        <v>996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700"/>
    </row>
    <row r="7" spans="1:13" ht="14.4" x14ac:dyDescent="0.3">
      <c r="A7" s="694" t="s">
        <v>239</v>
      </c>
      <c r="B7" s="680"/>
      <c r="C7" s="695" t="s">
        <v>240</v>
      </c>
      <c r="D7" s="695" t="s">
        <v>241</v>
      </c>
      <c r="E7" s="695" t="s">
        <v>244</v>
      </c>
      <c r="F7" s="697" t="s">
        <v>245</v>
      </c>
      <c r="G7" s="695" t="s">
        <v>249</v>
      </c>
      <c r="H7" s="695" t="s">
        <v>250</v>
      </c>
      <c r="I7" s="695" t="s">
        <v>252</v>
      </c>
      <c r="J7" s="695" t="s">
        <v>253</v>
      </c>
      <c r="K7" s="694" t="s">
        <v>254</v>
      </c>
      <c r="L7" s="680"/>
      <c r="M7" s="705" t="s">
        <v>245</v>
      </c>
    </row>
    <row r="8" spans="1:13" ht="14.4" x14ac:dyDescent="0.3">
      <c r="A8" s="34" t="s">
        <v>257</v>
      </c>
      <c r="B8" s="34" t="s">
        <v>258</v>
      </c>
      <c r="C8" s="696"/>
      <c r="D8" s="696"/>
      <c r="E8" s="696"/>
      <c r="F8" s="696"/>
      <c r="G8" s="696"/>
      <c r="H8" s="696"/>
      <c r="I8" s="696"/>
      <c r="J8" s="696"/>
      <c r="K8" s="34" t="s">
        <v>260</v>
      </c>
      <c r="L8" s="34" t="s">
        <v>258</v>
      </c>
      <c r="M8" s="696"/>
    </row>
    <row r="9" spans="1:13" ht="14.4" x14ac:dyDescent="0.3">
      <c r="A9" s="695" t="s">
        <v>262</v>
      </c>
      <c r="B9" s="37"/>
      <c r="C9" s="38" t="str">
        <f>'Datos Inic'!B11</f>
        <v>AB</v>
      </c>
      <c r="D9" s="39">
        <f>'Datos Inic'!L11</f>
        <v>0.2</v>
      </c>
      <c r="E9" s="41">
        <f>'Datos Inic'!C11</f>
        <v>224</v>
      </c>
      <c r="F9" s="42">
        <f>'Datos Inic'!H11/1000</f>
        <v>2.7046250000000008E-2</v>
      </c>
      <c r="G9" s="39">
        <f t="shared" ref="G9:G12" si="0">+F9*4/(3.1415*D9^2)</f>
        <v>0.8609342670698712</v>
      </c>
      <c r="H9" s="39">
        <f t="shared" ref="H9:H12" si="1">10.643*140^(-1.85)*D9^(-4.87)*ABS(F9)^1.85*IF(F9&lt;0,-1,1)</f>
        <v>3.6316933828794556E-3</v>
      </c>
      <c r="I9" s="43">
        <f t="shared" ref="I9:I12" si="2">+H9*E9</f>
        <v>0.81349931776499806</v>
      </c>
      <c r="J9" s="43">
        <f t="shared" ref="J9:J12" si="3">+I9/F9</f>
        <v>30.078081721680373</v>
      </c>
      <c r="K9" s="42">
        <f>-I13/(J13*1.851)</f>
        <v>-1.071584024039198E-2</v>
      </c>
      <c r="L9" s="38"/>
      <c r="M9" s="42">
        <f t="shared" ref="M9:M12" si="4">+F9+K9+L9</f>
        <v>1.6330409759608026E-2</v>
      </c>
    </row>
    <row r="10" spans="1:13" ht="14.4" x14ac:dyDescent="0.3">
      <c r="A10" s="701"/>
      <c r="B10" s="37"/>
      <c r="C10" s="38" t="str">
        <f>'Datos Inic'!B12</f>
        <v>RB</v>
      </c>
      <c r="D10" s="46">
        <f>'Datos Inic'!L12</f>
        <v>0.3</v>
      </c>
      <c r="E10" s="41">
        <f>'Datos Inic'!C12</f>
        <v>336</v>
      </c>
      <c r="F10" s="42">
        <f>-'Datos Inic'!H12/1000</f>
        <v>-7.727500000000001E-2</v>
      </c>
      <c r="G10" s="39">
        <f t="shared" si="0"/>
        <v>-1.0932498629458682</v>
      </c>
      <c r="H10" s="39">
        <f t="shared" si="1"/>
        <v>-3.5157570885663626E-3</v>
      </c>
      <c r="I10" s="43">
        <f t="shared" si="2"/>
        <v>-1.1812943817582979</v>
      </c>
      <c r="J10" s="43">
        <f t="shared" si="3"/>
        <v>15.286889443653157</v>
      </c>
      <c r="K10" s="42">
        <f>-I13/(J13*1.851)</f>
        <v>-1.071584024039198E-2</v>
      </c>
      <c r="L10" s="42"/>
      <c r="M10" s="42">
        <f t="shared" si="4"/>
        <v>-8.7990840240391985E-2</v>
      </c>
    </row>
    <row r="11" spans="1:13" ht="14.4" x14ac:dyDescent="0.3">
      <c r="A11" s="701"/>
      <c r="B11" s="37" t="s">
        <v>282</v>
      </c>
      <c r="C11" s="38" t="str">
        <f>'Datos Inic'!B13</f>
        <v xml:space="preserve">RQ </v>
      </c>
      <c r="D11" s="39">
        <f>'Datos Inic'!L13</f>
        <v>0.35</v>
      </c>
      <c r="E11" s="41">
        <f>'Datos Inic'!C13</f>
        <v>224</v>
      </c>
      <c r="F11" s="42">
        <f>'Datos Inic'!H13/1000</f>
        <v>0.10045750000000001</v>
      </c>
      <c r="G11" s="39">
        <f t="shared" si="0"/>
        <v>1.044165175221768</v>
      </c>
      <c r="H11" s="39">
        <f t="shared" si="1"/>
        <v>2.696393039270677E-3</v>
      </c>
      <c r="I11" s="43">
        <f t="shared" si="2"/>
        <v>0.60399204079663171</v>
      </c>
      <c r="J11" s="43">
        <f t="shared" si="3"/>
        <v>6.0124136156746051</v>
      </c>
      <c r="K11" s="42">
        <f>-I13/(J13*1.851)</f>
        <v>-1.071584024039198E-2</v>
      </c>
      <c r="L11" s="42">
        <f>-K20</f>
        <v>-4.4018000110351931E-2</v>
      </c>
      <c r="M11" s="42">
        <f t="shared" si="4"/>
        <v>4.57236596492561E-2</v>
      </c>
    </row>
    <row r="12" spans="1:13" ht="14.4" x14ac:dyDescent="0.3">
      <c r="A12" s="696"/>
      <c r="B12" s="41"/>
      <c r="C12" s="38" t="str">
        <f>'Datos Inic'!B14</f>
        <v>QA</v>
      </c>
      <c r="D12" s="39">
        <f>'Datos Inic'!L14</f>
        <v>0.25</v>
      </c>
      <c r="E12" s="41">
        <f>'Datos Inic'!C14</f>
        <v>336</v>
      </c>
      <c r="F12" s="42">
        <f>'Datos Inic'!H14/1000</f>
        <v>5.0228749999999996E-2</v>
      </c>
      <c r="G12" s="39">
        <f t="shared" si="0"/>
        <v>1.0232818717173324</v>
      </c>
      <c r="H12" s="39">
        <f t="shared" si="1"/>
        <v>3.8505364521482081E-3</v>
      </c>
      <c r="I12" s="43">
        <f t="shared" si="2"/>
        <v>1.2937802479217979</v>
      </c>
      <c r="J12" s="43">
        <f t="shared" si="3"/>
        <v>25.757763191833323</v>
      </c>
      <c r="K12" s="56">
        <f>-I13/(J13*1.851)</f>
        <v>-1.071584024039198E-2</v>
      </c>
      <c r="L12" s="42"/>
      <c r="M12" s="42">
        <f t="shared" si="4"/>
        <v>3.9512909759608014E-2</v>
      </c>
    </row>
    <row r="13" spans="1:13" ht="14.4" x14ac:dyDescent="0.3">
      <c r="A13" s="57"/>
      <c r="B13" s="26"/>
      <c r="C13" s="26"/>
      <c r="D13" s="26"/>
      <c r="E13" s="26"/>
      <c r="F13" s="26"/>
      <c r="G13" s="26"/>
      <c r="H13" s="59" t="s">
        <v>301</v>
      </c>
      <c r="I13" s="60">
        <f t="shared" ref="I13:J13" si="5">+SUM(I9:I12)</f>
        <v>1.5299772247251298</v>
      </c>
      <c r="J13" s="39">
        <f t="shared" si="5"/>
        <v>77.135147972841452</v>
      </c>
      <c r="K13" s="26"/>
      <c r="L13" s="26"/>
      <c r="M13" s="26"/>
    </row>
    <row r="14" spans="1:13" ht="14.4" x14ac:dyDescent="0.3">
      <c r="A14" s="57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3" ht="14.4" x14ac:dyDescent="0.3">
      <c r="A15" s="694" t="s">
        <v>239</v>
      </c>
      <c r="B15" s="680"/>
      <c r="C15" s="695" t="s">
        <v>240</v>
      </c>
      <c r="D15" s="695" t="s">
        <v>241</v>
      </c>
      <c r="E15" s="695" t="s">
        <v>244</v>
      </c>
      <c r="F15" s="697" t="s">
        <v>245</v>
      </c>
      <c r="G15" s="695" t="s">
        <v>249</v>
      </c>
      <c r="H15" s="695" t="s">
        <v>250</v>
      </c>
      <c r="I15" s="695" t="s">
        <v>252</v>
      </c>
      <c r="J15" s="695" t="s">
        <v>253</v>
      </c>
      <c r="K15" s="694" t="s">
        <v>254</v>
      </c>
      <c r="L15" s="680"/>
      <c r="M15" s="705" t="s">
        <v>245</v>
      </c>
    </row>
    <row r="16" spans="1:13" ht="14.4" x14ac:dyDescent="0.3">
      <c r="A16" s="34" t="s">
        <v>257</v>
      </c>
      <c r="B16" s="34" t="s">
        <v>258</v>
      </c>
      <c r="C16" s="696"/>
      <c r="D16" s="696"/>
      <c r="E16" s="696"/>
      <c r="F16" s="696"/>
      <c r="G16" s="696"/>
      <c r="H16" s="696"/>
      <c r="I16" s="696"/>
      <c r="J16" s="696"/>
      <c r="K16" s="34" t="s">
        <v>260</v>
      </c>
      <c r="L16" s="34" t="s">
        <v>258</v>
      </c>
      <c r="M16" s="696"/>
    </row>
    <row r="17" spans="1:13" ht="14.4" x14ac:dyDescent="0.3">
      <c r="A17" s="702" t="s">
        <v>282</v>
      </c>
      <c r="B17" s="34"/>
      <c r="C17" s="38" t="str">
        <f>'Datos Inic'!B15</f>
        <v>HR</v>
      </c>
      <c r="D17" s="46">
        <f>'Datos Inic'!L15</f>
        <v>0.25</v>
      </c>
      <c r="E17" s="41">
        <f>'Datos Inic'!C15</f>
        <v>336</v>
      </c>
      <c r="F17" s="42">
        <f>-'Datos Inic'!H15/1000</f>
        <v>-5.0228749999999996E-2</v>
      </c>
      <c r="G17" s="39">
        <f t="shared" ref="G17:G20" si="6">+F17*4/(3.1415*D17^2)</f>
        <v>-1.0232818717173324</v>
      </c>
      <c r="H17" s="39">
        <f t="shared" ref="H17:H20" si="7">10.643*140^(-1.85)*D17^(-4.87)*ABS(F17)^1.85*IF(F17&lt;0,-1,1)</f>
        <v>-3.8505364521482081E-3</v>
      </c>
      <c r="I17" s="43">
        <f t="shared" ref="I17:I20" si="8">+H17*E17</f>
        <v>-1.2937802479217979</v>
      </c>
      <c r="J17" s="43">
        <f t="shared" ref="J17:J20" si="9">+I17/F17</f>
        <v>25.757763191833323</v>
      </c>
      <c r="K17" s="42">
        <f>-I21/(J21*1.851)</f>
        <v>4.4018000110351931E-2</v>
      </c>
      <c r="L17" s="34"/>
      <c r="M17" s="42">
        <f t="shared" ref="M17:M20" si="10">+F17+K17+L17</f>
        <v>-6.2107498896480651E-3</v>
      </c>
    </row>
    <row r="18" spans="1:13" ht="14.4" x14ac:dyDescent="0.3">
      <c r="A18" s="703"/>
      <c r="B18" s="41"/>
      <c r="C18" s="38" t="str">
        <f>'Datos Inic'!B16</f>
        <v>GH</v>
      </c>
      <c r="D18" s="39">
        <f>'Datos Inic'!L16</f>
        <v>0.3</v>
      </c>
      <c r="E18" s="41">
        <f>'Datos Inic'!C16</f>
        <v>224</v>
      </c>
      <c r="F18" s="42">
        <f>-'Datos Inic'!H16/1000</f>
        <v>-7.727500000000001E-2</v>
      </c>
      <c r="G18" s="39">
        <f t="shared" si="6"/>
        <v>-1.0932498629458682</v>
      </c>
      <c r="H18" s="39">
        <f t="shared" si="7"/>
        <v>-3.5157570885663626E-3</v>
      </c>
      <c r="I18" s="43">
        <f t="shared" si="8"/>
        <v>-0.78752958783886517</v>
      </c>
      <c r="J18" s="43">
        <f t="shared" si="9"/>
        <v>10.191259629102104</v>
      </c>
      <c r="K18" s="42">
        <f>-I21/(J21*1.851)</f>
        <v>4.4018000110351931E-2</v>
      </c>
      <c r="L18" s="42"/>
      <c r="M18" s="42">
        <f t="shared" si="10"/>
        <v>-3.325699988964808E-2</v>
      </c>
    </row>
    <row r="19" spans="1:13" ht="14.4" x14ac:dyDescent="0.3">
      <c r="A19" s="703"/>
      <c r="B19" s="41"/>
      <c r="C19" s="38" t="str">
        <f>'Datos Inic'!B17</f>
        <v xml:space="preserve">RQ </v>
      </c>
      <c r="D19" s="39">
        <f>'Datos Inic'!L17</f>
        <v>0.35</v>
      </c>
      <c r="E19" s="41">
        <f>'Datos Inic'!C17</f>
        <v>224</v>
      </c>
      <c r="F19" s="42">
        <f>'Datos Inic'!H17/1000</f>
        <v>0.10045750000000001</v>
      </c>
      <c r="G19" s="39">
        <f t="shared" si="6"/>
        <v>1.044165175221768</v>
      </c>
      <c r="H19" s="39">
        <f t="shared" si="7"/>
        <v>2.696393039270677E-3</v>
      </c>
      <c r="I19" s="43">
        <f t="shared" si="8"/>
        <v>0.60399204079663171</v>
      </c>
      <c r="J19" s="43">
        <f t="shared" si="9"/>
        <v>6.0124136156746051</v>
      </c>
      <c r="K19" s="42">
        <f>-I21/(J21*1.851)</f>
        <v>4.4018000110351931E-2</v>
      </c>
      <c r="L19" s="42"/>
      <c r="M19" s="42">
        <f t="shared" si="10"/>
        <v>0.14447550011035193</v>
      </c>
    </row>
    <row r="20" spans="1:13" ht="14.4" x14ac:dyDescent="0.3">
      <c r="A20" s="704"/>
      <c r="B20" s="41" t="s">
        <v>262</v>
      </c>
      <c r="C20" s="63" t="str">
        <f>'Datos Inic'!B18</f>
        <v>GQ</v>
      </c>
      <c r="D20" s="64">
        <f>'Datos Inic'!L18</f>
        <v>0.35</v>
      </c>
      <c r="E20" s="65">
        <f>'Datos Inic'!C18</f>
        <v>336</v>
      </c>
      <c r="F20" s="42">
        <f>-'Datos Inic'!H18/1000</f>
        <v>-0.20091499999999998</v>
      </c>
      <c r="G20" s="39">
        <f t="shared" si="6"/>
        <v>-2.0883303504435355</v>
      </c>
      <c r="H20" s="39">
        <f t="shared" si="7"/>
        <v>-9.7205018960932824E-3</v>
      </c>
      <c r="I20" s="43">
        <f t="shared" si="8"/>
        <v>-3.2660886370873428</v>
      </c>
      <c r="J20" s="43">
        <f t="shared" si="9"/>
        <v>16.256071657603179</v>
      </c>
      <c r="K20" s="56">
        <f>-I21/(J21*1.851)</f>
        <v>4.4018000110351931E-2</v>
      </c>
      <c r="L20" s="42">
        <f>-K11</f>
        <v>1.071584024039198E-2</v>
      </c>
      <c r="M20" s="42">
        <f t="shared" si="10"/>
        <v>-0.14618115964925607</v>
      </c>
    </row>
    <row r="21" spans="1:13" ht="15.75" customHeight="1" x14ac:dyDescent="0.3">
      <c r="A21" s="57"/>
      <c r="B21" s="26"/>
      <c r="C21" s="26"/>
      <c r="D21" s="26"/>
      <c r="E21" s="26"/>
      <c r="F21" s="26"/>
      <c r="G21" s="26"/>
      <c r="H21" s="59" t="s">
        <v>301</v>
      </c>
      <c r="I21" s="60">
        <f t="shared" ref="I21:J21" si="11">+SUM(I17:I20)</f>
        <v>-4.7434064320513745</v>
      </c>
      <c r="J21" s="39">
        <f t="shared" si="11"/>
        <v>58.217508094213208</v>
      </c>
      <c r="K21" s="26"/>
      <c r="L21" s="26"/>
      <c r="M21" s="26"/>
    </row>
    <row r="22" spans="1:13" ht="15.75" customHeight="1" x14ac:dyDescent="0.3">
      <c r="A22" s="67"/>
      <c r="B22" s="4"/>
      <c r="C22" s="26"/>
      <c r="D22" s="4"/>
      <c r="E22" s="4"/>
      <c r="F22" s="4"/>
      <c r="G22" s="4"/>
      <c r="H22" s="68"/>
      <c r="I22" s="11"/>
      <c r="J22" s="11"/>
      <c r="K22" s="4"/>
      <c r="L22" s="4"/>
      <c r="M22" s="4"/>
    </row>
    <row r="23" spans="1:13" ht="15.75" customHeight="1" x14ac:dyDescent="0.3">
      <c r="A23" s="698" t="s">
        <v>997</v>
      </c>
      <c r="B23" s="699"/>
      <c r="C23" s="699"/>
      <c r="D23" s="699"/>
      <c r="E23" s="699"/>
      <c r="F23" s="699"/>
      <c r="G23" s="699"/>
      <c r="H23" s="699"/>
      <c r="I23" s="699"/>
      <c r="J23" s="699"/>
      <c r="K23" s="699"/>
      <c r="L23" s="699"/>
      <c r="M23" s="700"/>
    </row>
    <row r="24" spans="1:13" ht="15.75" customHeight="1" x14ac:dyDescent="0.3">
      <c r="A24" s="694" t="str">
        <f t="shared" ref="A24:A26" si="12">A7</f>
        <v>CIRCUITO</v>
      </c>
      <c r="B24" s="680"/>
      <c r="C24" s="695" t="str">
        <f t="shared" ref="C24:E24" si="13">C7</f>
        <v>TRAMO</v>
      </c>
      <c r="D24" s="695" t="str">
        <f t="shared" si="13"/>
        <v>DIAM.(m)</v>
      </c>
      <c r="E24" s="695" t="str">
        <f t="shared" si="13"/>
        <v>LONG.(m)</v>
      </c>
      <c r="F24" s="697" t="s">
        <v>245</v>
      </c>
      <c r="G24" s="695" t="s">
        <v>249</v>
      </c>
      <c r="H24" s="695" t="s">
        <v>250</v>
      </c>
      <c r="I24" s="695" t="s">
        <v>252</v>
      </c>
      <c r="J24" s="695" t="s">
        <v>253</v>
      </c>
      <c r="K24" s="694" t="s">
        <v>254</v>
      </c>
      <c r="L24" s="680"/>
      <c r="M24" s="705" t="s">
        <v>245</v>
      </c>
    </row>
    <row r="25" spans="1:13" ht="15.75" customHeight="1" x14ac:dyDescent="0.3">
      <c r="A25" s="34" t="str">
        <f t="shared" si="12"/>
        <v>PROPIO</v>
      </c>
      <c r="B25" s="34" t="str">
        <f>B8</f>
        <v>COMUN</v>
      </c>
      <c r="C25" s="696"/>
      <c r="D25" s="696"/>
      <c r="E25" s="696"/>
      <c r="F25" s="696"/>
      <c r="G25" s="696"/>
      <c r="H25" s="696"/>
      <c r="I25" s="696"/>
      <c r="J25" s="696"/>
      <c r="K25" s="34" t="s">
        <v>260</v>
      </c>
      <c r="L25" s="34" t="s">
        <v>258</v>
      </c>
      <c r="M25" s="696"/>
    </row>
    <row r="26" spans="1:13" ht="15.75" customHeight="1" x14ac:dyDescent="0.3">
      <c r="A26" s="695" t="str">
        <f t="shared" si="12"/>
        <v>I</v>
      </c>
      <c r="B26" s="37"/>
      <c r="C26" s="38" t="str">
        <f t="shared" ref="C26:E26" si="14">C9</f>
        <v>AB</v>
      </c>
      <c r="D26" s="39">
        <f t="shared" si="14"/>
        <v>0.2</v>
      </c>
      <c r="E26" s="41">
        <f t="shared" si="14"/>
        <v>224</v>
      </c>
      <c r="F26" s="42">
        <f t="shared" ref="F26:F29" si="15">M9</f>
        <v>1.6330409759608026E-2</v>
      </c>
      <c r="G26" s="39">
        <f t="shared" ref="G26:G29" si="16">+F26*4/(3.1415*D26^2)</f>
        <v>0.51982841825904902</v>
      </c>
      <c r="H26" s="39">
        <f t="shared" ref="H26:H29" si="17">10.643*140^(-1.85)*D26^(-4.87)*ABS(F26)^1.85*IF(F26&lt;0,-1,1)</f>
        <v>1.4280904639373706E-3</v>
      </c>
      <c r="I26" s="43">
        <f t="shared" ref="I26:I29" si="18">+H26*E26</f>
        <v>0.31989226392197101</v>
      </c>
      <c r="J26" s="43">
        <f t="shared" ref="J26:J29" si="19">+I26/F26</f>
        <v>19.588746922517473</v>
      </c>
      <c r="K26" s="42">
        <f>-I30/(J30*1.851)</f>
        <v>1.8802527522408438E-3</v>
      </c>
      <c r="L26" s="38"/>
      <c r="M26" s="42">
        <f t="shared" ref="M26:M29" si="20">+F26+K26+L26</f>
        <v>1.8210662511848871E-2</v>
      </c>
    </row>
    <row r="27" spans="1:13" ht="15.75" customHeight="1" x14ac:dyDescent="0.3">
      <c r="A27" s="701"/>
      <c r="B27" s="37"/>
      <c r="C27" s="38" t="str">
        <f t="shared" ref="C27:E27" si="21">C10</f>
        <v>RB</v>
      </c>
      <c r="D27" s="46">
        <f t="shared" si="21"/>
        <v>0.3</v>
      </c>
      <c r="E27" s="41">
        <f t="shared" si="21"/>
        <v>336</v>
      </c>
      <c r="F27" s="42">
        <f t="shared" si="15"/>
        <v>-8.7990840240391985E-2</v>
      </c>
      <c r="G27" s="39">
        <f t="shared" si="16"/>
        <v>-1.2448524624173445</v>
      </c>
      <c r="H27" s="39">
        <f t="shared" si="17"/>
        <v>-4.4704989342554706E-3</v>
      </c>
      <c r="I27" s="43">
        <f t="shared" si="18"/>
        <v>-1.5020876419098381</v>
      </c>
      <c r="J27" s="43">
        <f t="shared" si="19"/>
        <v>17.070954633529098</v>
      </c>
      <c r="K27" s="42">
        <f>-I30/(J30*1.851)</f>
        <v>1.8802527522408438E-3</v>
      </c>
      <c r="L27" s="42"/>
      <c r="M27" s="42">
        <f t="shared" si="20"/>
        <v>-8.6110587488151147E-2</v>
      </c>
    </row>
    <row r="28" spans="1:13" ht="15.75" customHeight="1" x14ac:dyDescent="0.3">
      <c r="A28" s="701"/>
      <c r="B28" s="37" t="str">
        <f t="shared" ref="B28:E28" si="22">B11</f>
        <v>II</v>
      </c>
      <c r="C28" s="38" t="str">
        <f t="shared" si="22"/>
        <v xml:space="preserve">RQ </v>
      </c>
      <c r="D28" s="39">
        <f t="shared" si="22"/>
        <v>0.35</v>
      </c>
      <c r="E28" s="41">
        <f t="shared" si="22"/>
        <v>224</v>
      </c>
      <c r="F28" s="42">
        <f t="shared" si="15"/>
        <v>4.57236596492561E-2</v>
      </c>
      <c r="G28" s="39">
        <f t="shared" si="16"/>
        <v>0.47525623362562253</v>
      </c>
      <c r="H28" s="39">
        <f t="shared" si="17"/>
        <v>6.2860327503495221E-4</v>
      </c>
      <c r="I28" s="43">
        <f t="shared" si="18"/>
        <v>0.14080713360782929</v>
      </c>
      <c r="J28" s="43">
        <f t="shared" si="19"/>
        <v>3.0795245762905625</v>
      </c>
      <c r="K28" s="42">
        <f>-I30/(J30*1.851)</f>
        <v>1.8802527522408438E-3</v>
      </c>
      <c r="L28" s="42">
        <f>-K37</f>
        <v>-1.4856871904246692E-2</v>
      </c>
      <c r="M28" s="42">
        <f t="shared" si="20"/>
        <v>3.2747040497250253E-2</v>
      </c>
    </row>
    <row r="29" spans="1:13" ht="15.75" customHeight="1" x14ac:dyDescent="0.3">
      <c r="A29" s="696"/>
      <c r="B29" s="41"/>
      <c r="C29" s="38" t="str">
        <f t="shared" ref="C29:E29" si="23">C12</f>
        <v>QA</v>
      </c>
      <c r="D29" s="39">
        <f t="shared" si="23"/>
        <v>0.25</v>
      </c>
      <c r="E29" s="41">
        <f t="shared" si="23"/>
        <v>336</v>
      </c>
      <c r="F29" s="42">
        <f t="shared" si="15"/>
        <v>3.9512909759608014E-2</v>
      </c>
      <c r="G29" s="39">
        <f t="shared" si="16"/>
        <v>0.8049741284784061</v>
      </c>
      <c r="H29" s="39">
        <f t="shared" si="17"/>
        <v>2.4701682044898331E-3</v>
      </c>
      <c r="I29" s="43">
        <f t="shared" si="18"/>
        <v>0.82997651670858397</v>
      </c>
      <c r="J29" s="43">
        <f t="shared" si="19"/>
        <v>21.005198598586269</v>
      </c>
      <c r="K29" s="56">
        <f>-I30/(J30*1.851)</f>
        <v>1.8802527522408438E-3</v>
      </c>
      <c r="L29" s="42"/>
      <c r="M29" s="42">
        <f t="shared" si="20"/>
        <v>4.1393162511848859E-2</v>
      </c>
    </row>
    <row r="30" spans="1:13" ht="15.75" customHeight="1" x14ac:dyDescent="0.3">
      <c r="A30" s="57"/>
      <c r="B30" s="26"/>
      <c r="C30" s="26"/>
      <c r="D30" s="26"/>
      <c r="E30" s="26"/>
      <c r="F30" s="26"/>
      <c r="G30" s="26"/>
      <c r="H30" s="59" t="s">
        <v>301</v>
      </c>
      <c r="I30" s="60">
        <f t="shared" ref="I30:J30" si="24">+SUM(I26:I29)</f>
        <v>-0.21141172767145378</v>
      </c>
      <c r="J30" s="39">
        <f t="shared" si="24"/>
        <v>60.744424730923399</v>
      </c>
      <c r="K30" s="26"/>
      <c r="L30" s="26"/>
      <c r="M30" s="26"/>
    </row>
    <row r="31" spans="1:13" ht="15.75" customHeight="1" x14ac:dyDescent="0.3">
      <c r="A31" s="5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 spans="1:13" ht="15.75" customHeight="1" x14ac:dyDescent="0.3">
      <c r="A32" s="694" t="str">
        <f t="shared" ref="A32:A34" si="25">A15</f>
        <v>CIRCUITO</v>
      </c>
      <c r="B32" s="680"/>
      <c r="C32" s="695" t="str">
        <f t="shared" ref="C32:E32" si="26">C15</f>
        <v>TRAMO</v>
      </c>
      <c r="D32" s="695" t="str">
        <f t="shared" si="26"/>
        <v>DIAM.(m)</v>
      </c>
      <c r="E32" s="695" t="str">
        <f t="shared" si="26"/>
        <v>LONG.(m)</v>
      </c>
      <c r="F32" s="697" t="s">
        <v>245</v>
      </c>
      <c r="G32" s="695" t="s">
        <v>249</v>
      </c>
      <c r="H32" s="695" t="s">
        <v>250</v>
      </c>
      <c r="I32" s="695" t="s">
        <v>252</v>
      </c>
      <c r="J32" s="695" t="s">
        <v>253</v>
      </c>
      <c r="K32" s="694" t="s">
        <v>254</v>
      </c>
      <c r="L32" s="680"/>
      <c r="M32" s="705" t="s">
        <v>245</v>
      </c>
    </row>
    <row r="33" spans="1:13" ht="15.75" customHeight="1" x14ac:dyDescent="0.3">
      <c r="A33" s="34" t="str">
        <f t="shared" si="25"/>
        <v>PROPIO</v>
      </c>
      <c r="B33" s="34" t="str">
        <f>B16</f>
        <v>COMUN</v>
      </c>
      <c r="C33" s="696"/>
      <c r="D33" s="696"/>
      <c r="E33" s="696"/>
      <c r="F33" s="696"/>
      <c r="G33" s="696"/>
      <c r="H33" s="696"/>
      <c r="I33" s="696"/>
      <c r="J33" s="696"/>
      <c r="K33" s="34" t="s">
        <v>260</v>
      </c>
      <c r="L33" s="34" t="s">
        <v>258</v>
      </c>
      <c r="M33" s="696"/>
    </row>
    <row r="34" spans="1:13" ht="15.75" customHeight="1" x14ac:dyDescent="0.3">
      <c r="A34" s="702" t="str">
        <f t="shared" si="25"/>
        <v>II</v>
      </c>
      <c r="B34" s="34"/>
      <c r="C34" s="38" t="str">
        <f t="shared" ref="C34:E34" si="27">C17</f>
        <v>HR</v>
      </c>
      <c r="D34" s="46">
        <f t="shared" si="27"/>
        <v>0.25</v>
      </c>
      <c r="E34" s="41">
        <f t="shared" si="27"/>
        <v>336</v>
      </c>
      <c r="F34" s="42">
        <f t="shared" ref="F34:F37" si="28">M17</f>
        <v>-6.2107498896480651E-3</v>
      </c>
      <c r="G34" s="39">
        <f t="shared" ref="G34:G37" si="29">+F34*4/(3.1415*D34^2)</f>
        <v>-0.12652808942781352</v>
      </c>
      <c r="H34" s="39">
        <f t="shared" ref="H34:H37" si="30">10.643*140^(-1.85)*D34^(-4.87)*ABS(F34)^1.85*IF(F34&lt;0,-1,1)</f>
        <v>-8.055190738205359E-5</v>
      </c>
      <c r="I34" s="43">
        <f t="shared" ref="I34:I37" si="31">+H34*E34</f>
        <v>-2.7065440880370006E-2</v>
      </c>
      <c r="J34" s="43">
        <f t="shared" ref="J34:J37" si="32">+I34/F34</f>
        <v>4.3578378394341817</v>
      </c>
      <c r="K34" s="42">
        <f>-I38/(J38*1.851)</f>
        <v>1.4856871904246692E-2</v>
      </c>
      <c r="L34" s="34"/>
      <c r="M34" s="42">
        <f t="shared" ref="M34:M37" si="33">+F34+K34+L34</f>
        <v>8.646122014598627E-3</v>
      </c>
    </row>
    <row r="35" spans="1:13" ht="15.75" customHeight="1" x14ac:dyDescent="0.3">
      <c r="A35" s="703"/>
      <c r="B35" s="41"/>
      <c r="C35" s="38" t="str">
        <f t="shared" ref="C35:E35" si="34">C18</f>
        <v>GH</v>
      </c>
      <c r="D35" s="39">
        <f t="shared" si="34"/>
        <v>0.3</v>
      </c>
      <c r="E35" s="41">
        <f t="shared" si="34"/>
        <v>224</v>
      </c>
      <c r="F35" s="42">
        <f t="shared" si="28"/>
        <v>-3.325699988964808E-2</v>
      </c>
      <c r="G35" s="39">
        <f t="shared" si="29"/>
        <v>-0.47050418080036893</v>
      </c>
      <c r="H35" s="39">
        <f t="shared" si="30"/>
        <v>-7.3897605005633789E-4</v>
      </c>
      <c r="I35" s="43">
        <f t="shared" si="31"/>
        <v>-0.16553063521261968</v>
      </c>
      <c r="J35" s="43">
        <f t="shared" si="32"/>
        <v>4.9773171290818832</v>
      </c>
      <c r="K35" s="42">
        <f>-I38/(J38*1.851)</f>
        <v>1.4856871904246692E-2</v>
      </c>
      <c r="L35" s="42"/>
      <c r="M35" s="42">
        <f t="shared" si="33"/>
        <v>-1.8400127985401388E-2</v>
      </c>
    </row>
    <row r="36" spans="1:13" ht="15.75" customHeight="1" x14ac:dyDescent="0.3">
      <c r="A36" s="703"/>
      <c r="B36" s="41"/>
      <c r="C36" s="38" t="str">
        <f t="shared" ref="C36:E36" si="35">C19</f>
        <v xml:space="preserve">RQ </v>
      </c>
      <c r="D36" s="39">
        <f t="shared" si="35"/>
        <v>0.35</v>
      </c>
      <c r="E36" s="41">
        <f t="shared" si="35"/>
        <v>224</v>
      </c>
      <c r="F36" s="42">
        <f t="shared" si="28"/>
        <v>0.14447550011035193</v>
      </c>
      <c r="G36" s="39">
        <f t="shared" si="29"/>
        <v>1.5016926151654</v>
      </c>
      <c r="H36" s="39">
        <f t="shared" si="30"/>
        <v>5.2812302494978317E-3</v>
      </c>
      <c r="I36" s="43">
        <f t="shared" si="31"/>
        <v>1.1829955758875144</v>
      </c>
      <c r="J36" s="43">
        <f t="shared" si="32"/>
        <v>8.1882089003597827</v>
      </c>
      <c r="K36" s="42">
        <f>-I38/(J38*1.851)</f>
        <v>1.4856871904246692E-2</v>
      </c>
      <c r="L36" s="42"/>
      <c r="M36" s="42">
        <f t="shared" si="33"/>
        <v>0.15933237201459863</v>
      </c>
    </row>
    <row r="37" spans="1:13" ht="15.75" customHeight="1" x14ac:dyDescent="0.3">
      <c r="A37" s="704"/>
      <c r="B37" s="41" t="str">
        <f t="shared" ref="B37:E37" si="36">B20</f>
        <v>I</v>
      </c>
      <c r="C37" s="63" t="str">
        <f t="shared" si="36"/>
        <v>GQ</v>
      </c>
      <c r="D37" s="64">
        <f t="shared" si="36"/>
        <v>0.35</v>
      </c>
      <c r="E37" s="65">
        <f t="shared" si="36"/>
        <v>336</v>
      </c>
      <c r="F37" s="42">
        <f t="shared" si="28"/>
        <v>-0.14618115964925607</v>
      </c>
      <c r="G37" s="39">
        <f t="shared" si="29"/>
        <v>-1.5194214088473901</v>
      </c>
      <c r="H37" s="39">
        <f t="shared" si="30"/>
        <v>-5.3971553065728477E-3</v>
      </c>
      <c r="I37" s="43">
        <f t="shared" si="31"/>
        <v>-1.8134441830084769</v>
      </c>
      <c r="J37" s="43">
        <f t="shared" si="32"/>
        <v>12.405457634620054</v>
      </c>
      <c r="K37" s="56">
        <f>-I38/(J38*1.851)</f>
        <v>1.4856871904246692E-2</v>
      </c>
      <c r="L37" s="42">
        <f>-K28</f>
        <v>-1.8802527522408438E-3</v>
      </c>
      <c r="M37" s="42">
        <f t="shared" si="33"/>
        <v>-0.13320454049725022</v>
      </c>
    </row>
    <row r="38" spans="1:13" ht="15.75" customHeight="1" x14ac:dyDescent="0.3">
      <c r="A38" s="57"/>
      <c r="B38" s="26"/>
      <c r="C38" s="26"/>
      <c r="D38" s="26"/>
      <c r="E38" s="26"/>
      <c r="F38" s="26"/>
      <c r="G38" s="26"/>
      <c r="H38" s="59" t="s">
        <v>301</v>
      </c>
      <c r="I38" s="60">
        <f t="shared" ref="I38:J38" si="37">+SUM(I34:I37)</f>
        <v>-0.82304468321395219</v>
      </c>
      <c r="J38" s="39">
        <f t="shared" si="37"/>
        <v>29.928821503495904</v>
      </c>
      <c r="K38" s="26"/>
      <c r="L38" s="26"/>
      <c r="M38" s="26"/>
    </row>
    <row r="39" spans="1:13" ht="15.75" customHeight="1" x14ac:dyDescent="0.3"/>
    <row r="40" spans="1:13" ht="15.75" customHeight="1" x14ac:dyDescent="0.3">
      <c r="A40" s="698" t="s">
        <v>998</v>
      </c>
      <c r="B40" s="699"/>
      <c r="C40" s="699"/>
      <c r="D40" s="699"/>
      <c r="E40" s="699"/>
      <c r="F40" s="699"/>
      <c r="G40" s="699"/>
      <c r="H40" s="699"/>
      <c r="I40" s="699"/>
      <c r="J40" s="699"/>
      <c r="K40" s="699"/>
      <c r="L40" s="699"/>
      <c r="M40" s="700"/>
    </row>
    <row r="41" spans="1:13" ht="15.75" customHeight="1" x14ac:dyDescent="0.3">
      <c r="A41" s="694" t="str">
        <f t="shared" ref="A41:A43" si="38">A7</f>
        <v>CIRCUITO</v>
      </c>
      <c r="B41" s="680"/>
      <c r="C41" s="695" t="str">
        <f t="shared" ref="C41:E41" si="39">C7</f>
        <v>TRAMO</v>
      </c>
      <c r="D41" s="695" t="str">
        <f t="shared" si="39"/>
        <v>DIAM.(m)</v>
      </c>
      <c r="E41" s="695" t="str">
        <f t="shared" si="39"/>
        <v>LONG.(m)</v>
      </c>
      <c r="F41" s="697" t="s">
        <v>245</v>
      </c>
      <c r="G41" s="695" t="s">
        <v>249</v>
      </c>
      <c r="H41" s="695" t="s">
        <v>250</v>
      </c>
      <c r="I41" s="695" t="s">
        <v>252</v>
      </c>
      <c r="J41" s="695" t="s">
        <v>253</v>
      </c>
      <c r="K41" s="694" t="s">
        <v>254</v>
      </c>
      <c r="L41" s="680"/>
      <c r="M41" s="705" t="s">
        <v>245</v>
      </c>
    </row>
    <row r="42" spans="1:13" ht="15.75" customHeight="1" x14ac:dyDescent="0.3">
      <c r="A42" s="34" t="str">
        <f t="shared" si="38"/>
        <v>PROPIO</v>
      </c>
      <c r="B42" s="34" t="str">
        <f>B8</f>
        <v>COMUN</v>
      </c>
      <c r="C42" s="696"/>
      <c r="D42" s="696"/>
      <c r="E42" s="696"/>
      <c r="F42" s="696"/>
      <c r="G42" s="696"/>
      <c r="H42" s="696"/>
      <c r="I42" s="696"/>
      <c r="J42" s="696"/>
      <c r="K42" s="34" t="s">
        <v>260</v>
      </c>
      <c r="L42" s="34" t="s">
        <v>258</v>
      </c>
      <c r="M42" s="696"/>
    </row>
    <row r="43" spans="1:13" ht="15.75" customHeight="1" x14ac:dyDescent="0.3">
      <c r="A43" s="695" t="str">
        <f t="shared" si="38"/>
        <v>I</v>
      </c>
      <c r="B43" s="37"/>
      <c r="C43" s="38" t="str">
        <f t="shared" ref="C43:E43" si="40">C9</f>
        <v>AB</v>
      </c>
      <c r="D43" s="39">
        <f t="shared" si="40"/>
        <v>0.2</v>
      </c>
      <c r="E43" s="41">
        <f t="shared" si="40"/>
        <v>224</v>
      </c>
      <c r="F43" s="42">
        <f t="shared" ref="F43:F46" si="41">M26</f>
        <v>1.8210662511848871E-2</v>
      </c>
      <c r="G43" s="39">
        <f t="shared" ref="G43:G46" si="42">+F43*4/(3.1415*D43^2)</f>
        <v>0.57968048740566192</v>
      </c>
      <c r="H43" s="39">
        <f t="shared" ref="H43:H46" si="43">10.643*140^(-1.85)*D43^(-4.87)*ABS(F43)^1.85*IF(F43&lt;0,-1,1)</f>
        <v>1.7470838421992476E-3</v>
      </c>
      <c r="I43" s="43">
        <f t="shared" ref="I43:I46" si="44">+H43*E43</f>
        <v>0.39134678065263145</v>
      </c>
      <c r="J43" s="43">
        <f t="shared" ref="J43:J46" si="45">+I43/F43</f>
        <v>21.489980411091548</v>
      </c>
      <c r="K43" s="42">
        <f>-I47/(J47*1.851)</f>
        <v>6.1839429842034407E-4</v>
      </c>
      <c r="L43" s="38"/>
      <c r="M43" s="42">
        <f t="shared" ref="M43:M46" si="46">+F43+K43+L43</f>
        <v>1.8829056810269217E-2</v>
      </c>
    </row>
    <row r="44" spans="1:13" ht="15.75" customHeight="1" x14ac:dyDescent="0.3">
      <c r="A44" s="701"/>
      <c r="B44" s="37"/>
      <c r="C44" s="38" t="str">
        <f t="shared" ref="C44:E44" si="47">C10</f>
        <v>RB</v>
      </c>
      <c r="D44" s="46">
        <f t="shared" si="47"/>
        <v>0.3</v>
      </c>
      <c r="E44" s="41">
        <f t="shared" si="47"/>
        <v>336</v>
      </c>
      <c r="F44" s="42">
        <f t="shared" si="41"/>
        <v>-8.6110587488151147E-2</v>
      </c>
      <c r="G44" s="39">
        <f t="shared" si="42"/>
        <v>-1.2182515427966278</v>
      </c>
      <c r="H44" s="39">
        <f t="shared" si="43"/>
        <v>-4.2953771969223816E-3</v>
      </c>
      <c r="I44" s="43">
        <f t="shared" si="44"/>
        <v>-1.4432467381659202</v>
      </c>
      <c r="J44" s="43">
        <f t="shared" si="45"/>
        <v>16.760386617551664</v>
      </c>
      <c r="K44" s="42">
        <f>-I47/(J47*1.851)</f>
        <v>6.1839429842034407E-4</v>
      </c>
      <c r="L44" s="42"/>
      <c r="M44" s="42">
        <f t="shared" si="46"/>
        <v>-8.5492193189730809E-2</v>
      </c>
    </row>
    <row r="45" spans="1:13" ht="15.75" customHeight="1" x14ac:dyDescent="0.3">
      <c r="A45" s="701"/>
      <c r="B45" s="37" t="str">
        <f t="shared" ref="B45:E45" si="48">B11</f>
        <v>II</v>
      </c>
      <c r="C45" s="38" t="str">
        <f t="shared" si="48"/>
        <v xml:space="preserve">RQ </v>
      </c>
      <c r="D45" s="39">
        <f t="shared" si="48"/>
        <v>0.35</v>
      </c>
      <c r="E45" s="41">
        <f t="shared" si="48"/>
        <v>224</v>
      </c>
      <c r="F45" s="42">
        <f t="shared" si="41"/>
        <v>3.2747040497250253E-2</v>
      </c>
      <c r="G45" s="39">
        <f t="shared" si="42"/>
        <v>0.34037597271289488</v>
      </c>
      <c r="H45" s="39">
        <f t="shared" si="43"/>
        <v>3.3898784445269832E-4</v>
      </c>
      <c r="I45" s="43">
        <f t="shared" si="44"/>
        <v>7.5933277157404416E-2</v>
      </c>
      <c r="J45" s="43">
        <f t="shared" si="45"/>
        <v>2.3187828886027266</v>
      </c>
      <c r="K45" s="42">
        <f>-I47/(J47*1.851)</f>
        <v>6.1839429842034407E-4</v>
      </c>
      <c r="L45" s="42">
        <f>-K54</f>
        <v>-2.1232732418782377E-3</v>
      </c>
      <c r="M45" s="42">
        <f t="shared" si="46"/>
        <v>3.124216155379236E-2</v>
      </c>
    </row>
    <row r="46" spans="1:13" ht="15.75" customHeight="1" x14ac:dyDescent="0.3">
      <c r="A46" s="696"/>
      <c r="B46" s="41"/>
      <c r="C46" s="38" t="str">
        <f t="shared" ref="C46:E46" si="49">C12</f>
        <v>QA</v>
      </c>
      <c r="D46" s="39">
        <f t="shared" si="49"/>
        <v>0.25</v>
      </c>
      <c r="E46" s="41">
        <f t="shared" si="49"/>
        <v>336</v>
      </c>
      <c r="F46" s="42">
        <f t="shared" si="41"/>
        <v>4.1393162511848859E-2</v>
      </c>
      <c r="G46" s="39">
        <f t="shared" si="42"/>
        <v>0.84327945273223837</v>
      </c>
      <c r="H46" s="39">
        <f t="shared" si="43"/>
        <v>2.6920137866903557E-3</v>
      </c>
      <c r="I46" s="43">
        <f t="shared" si="44"/>
        <v>0.90451663232795954</v>
      </c>
      <c r="J46" s="43">
        <f t="shared" si="45"/>
        <v>21.851836811672463</v>
      </c>
      <c r="K46" s="75">
        <f>-I47/(J47*1.851)</f>
        <v>6.1839429842034407E-4</v>
      </c>
      <c r="L46" s="42"/>
      <c r="M46" s="42">
        <f t="shared" si="46"/>
        <v>4.2011556810269204E-2</v>
      </c>
    </row>
    <row r="47" spans="1:13" ht="15.75" customHeight="1" x14ac:dyDescent="0.3">
      <c r="A47" s="57"/>
      <c r="B47" s="26"/>
      <c r="C47" s="26"/>
      <c r="D47" s="26"/>
      <c r="E47" s="26"/>
      <c r="F47" s="26"/>
      <c r="G47" s="26"/>
      <c r="H47" s="59" t="s">
        <v>301</v>
      </c>
      <c r="I47" s="60">
        <f t="shared" ref="I47:J47" si="50">+SUM(I43:I46)</f>
        <v>-7.1450048027924873E-2</v>
      </c>
      <c r="J47" s="39">
        <f t="shared" si="50"/>
        <v>62.4209867289184</v>
      </c>
      <c r="K47" s="26"/>
      <c r="L47" s="26"/>
      <c r="M47" s="26"/>
    </row>
    <row r="48" spans="1:13" ht="15.75" customHeight="1" x14ac:dyDescent="0.3">
      <c r="A48" s="5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1:15" ht="15.75" customHeight="1" x14ac:dyDescent="0.3">
      <c r="A49" s="694" t="str">
        <f t="shared" ref="A49:A51" si="51">A15</f>
        <v>CIRCUITO</v>
      </c>
      <c r="B49" s="680"/>
      <c r="C49" s="695" t="str">
        <f t="shared" ref="C49:E49" si="52">C15</f>
        <v>TRAMO</v>
      </c>
      <c r="D49" s="695" t="str">
        <f t="shared" si="52"/>
        <v>DIAM.(m)</v>
      </c>
      <c r="E49" s="695" t="str">
        <f t="shared" si="52"/>
        <v>LONG.(m)</v>
      </c>
      <c r="F49" s="697" t="s">
        <v>245</v>
      </c>
      <c r="G49" s="695" t="s">
        <v>249</v>
      </c>
      <c r="H49" s="695" t="s">
        <v>250</v>
      </c>
      <c r="I49" s="695" t="s">
        <v>252</v>
      </c>
      <c r="J49" s="695" t="s">
        <v>253</v>
      </c>
      <c r="K49" s="694" t="s">
        <v>254</v>
      </c>
      <c r="L49" s="680"/>
      <c r="M49" s="705" t="s">
        <v>245</v>
      </c>
    </row>
    <row r="50" spans="1:15" ht="15.75" customHeight="1" x14ac:dyDescent="0.3">
      <c r="A50" s="34" t="str">
        <f t="shared" si="51"/>
        <v>PROPIO</v>
      </c>
      <c r="B50" s="34" t="str">
        <f>B16</f>
        <v>COMUN</v>
      </c>
      <c r="C50" s="696"/>
      <c r="D50" s="696"/>
      <c r="E50" s="696"/>
      <c r="F50" s="696"/>
      <c r="G50" s="696"/>
      <c r="H50" s="696"/>
      <c r="I50" s="696"/>
      <c r="J50" s="696"/>
      <c r="K50" s="34" t="s">
        <v>260</v>
      </c>
      <c r="L50" s="34" t="s">
        <v>258</v>
      </c>
      <c r="M50" s="696"/>
    </row>
    <row r="51" spans="1:15" ht="15.75" customHeight="1" x14ac:dyDescent="0.3">
      <c r="A51" s="702" t="str">
        <f t="shared" si="51"/>
        <v>II</v>
      </c>
      <c r="B51" s="34"/>
      <c r="C51" s="38" t="str">
        <f t="shared" ref="C51:E51" si="53">C17</f>
        <v>HR</v>
      </c>
      <c r="D51" s="46">
        <f t="shared" si="53"/>
        <v>0.25</v>
      </c>
      <c r="E51" s="41">
        <f t="shared" si="53"/>
        <v>336</v>
      </c>
      <c r="F51" s="42">
        <f t="shared" ref="F51:F54" si="54">M34</f>
        <v>8.646122014598627E-3</v>
      </c>
      <c r="G51" s="39">
        <f t="shared" ref="G51:G54" si="55">+F51*4/(3.1415*D51^2)</f>
        <v>0.17614254621496486</v>
      </c>
      <c r="H51" s="39">
        <f t="shared" ref="H51:H54" si="56">10.643*140^(-1.85)*D51^(-4.87)*ABS(F51)^1.85*IF(F51&lt;0,-1,1)</f>
        <v>1.4855212545001071E-4</v>
      </c>
      <c r="I51" s="43">
        <f t="shared" ref="I51:I54" si="57">+H51*E51</f>
        <v>4.9913514151203597E-2</v>
      </c>
      <c r="J51" s="43">
        <f t="shared" ref="J51:J54" si="58">+I51/F51</f>
        <v>5.772936591332698</v>
      </c>
      <c r="K51" s="78">
        <f>-I55/(J55*1.851)</f>
        <v>2.1232732418782377E-3</v>
      </c>
      <c r="L51" s="34"/>
      <c r="M51" s="42">
        <f t="shared" ref="M51:M54" si="59">+F51+K51+L51</f>
        <v>1.0769395256476865E-2</v>
      </c>
    </row>
    <row r="52" spans="1:15" ht="15.75" customHeight="1" x14ac:dyDescent="0.3">
      <c r="A52" s="703"/>
      <c r="B52" s="41"/>
      <c r="C52" s="38" t="str">
        <f t="shared" ref="C52:E52" si="60">C18</f>
        <v>GH</v>
      </c>
      <c r="D52" s="39">
        <f t="shared" si="60"/>
        <v>0.3</v>
      </c>
      <c r="E52" s="41">
        <f t="shared" si="60"/>
        <v>224</v>
      </c>
      <c r="F52" s="42">
        <f t="shared" si="54"/>
        <v>-1.8400127985401388E-2</v>
      </c>
      <c r="G52" s="39">
        <f t="shared" si="55"/>
        <v>-0.26031623938177284</v>
      </c>
      <c r="H52" s="39">
        <f t="shared" si="56"/>
        <v>-2.4720955153597111E-4</v>
      </c>
      <c r="I52" s="43">
        <f t="shared" si="57"/>
        <v>-5.5374939544057526E-2</v>
      </c>
      <c r="J52" s="43">
        <f t="shared" si="58"/>
        <v>3.0094866507445954</v>
      </c>
      <c r="K52" s="78">
        <f>-I55/(J55*1.851)</f>
        <v>2.1232732418782377E-3</v>
      </c>
      <c r="L52" s="42"/>
      <c r="M52" s="42">
        <f t="shared" si="59"/>
        <v>-1.627685474352315E-2</v>
      </c>
    </row>
    <row r="53" spans="1:15" ht="15.75" customHeight="1" x14ac:dyDescent="0.3">
      <c r="A53" s="703"/>
      <c r="B53" s="41"/>
      <c r="C53" s="38" t="str">
        <f t="shared" ref="C53:E53" si="61">C19</f>
        <v xml:space="preserve">RQ </v>
      </c>
      <c r="D53" s="39">
        <f t="shared" si="61"/>
        <v>0.35</v>
      </c>
      <c r="E53" s="41">
        <f t="shared" si="61"/>
        <v>224</v>
      </c>
      <c r="F53" s="42">
        <f t="shared" si="54"/>
        <v>0.15933237201459863</v>
      </c>
      <c r="G53" s="39">
        <f t="shared" si="55"/>
        <v>1.6561164088606952</v>
      </c>
      <c r="H53" s="39">
        <f t="shared" si="56"/>
        <v>6.3296290699167068E-3</v>
      </c>
      <c r="I53" s="43">
        <f t="shared" si="57"/>
        <v>1.4178369116613423</v>
      </c>
      <c r="J53" s="43">
        <f t="shared" si="58"/>
        <v>8.8986117116955672</v>
      </c>
      <c r="K53" s="78">
        <f>-I55/(J55*1.851)</f>
        <v>2.1232732418782377E-3</v>
      </c>
      <c r="L53" s="42"/>
      <c r="M53" s="42">
        <f t="shared" si="59"/>
        <v>0.16145564525647688</v>
      </c>
    </row>
    <row r="54" spans="1:15" ht="15.75" customHeight="1" x14ac:dyDescent="0.3">
      <c r="A54" s="704"/>
      <c r="B54" s="41" t="str">
        <f t="shared" ref="B54:E54" si="62">B20</f>
        <v>I</v>
      </c>
      <c r="C54" s="63" t="str">
        <f t="shared" si="62"/>
        <v>GQ</v>
      </c>
      <c r="D54" s="64">
        <f t="shared" si="62"/>
        <v>0.35</v>
      </c>
      <c r="E54" s="65">
        <f t="shared" si="62"/>
        <v>336</v>
      </c>
      <c r="F54" s="42">
        <f t="shared" si="54"/>
        <v>-0.13320454049725022</v>
      </c>
      <c r="G54" s="39">
        <f t="shared" si="55"/>
        <v>-1.3845411479346625</v>
      </c>
      <c r="H54" s="39">
        <f t="shared" si="56"/>
        <v>-4.5443944766280957E-3</v>
      </c>
      <c r="I54" s="43">
        <f t="shared" si="57"/>
        <v>-1.5269165441470403</v>
      </c>
      <c r="J54" s="43">
        <f t="shared" si="58"/>
        <v>11.462946671690675</v>
      </c>
      <c r="K54" s="83">
        <f>-I55/(J55*1.851)</f>
        <v>2.1232732418782377E-3</v>
      </c>
      <c r="L54" s="42">
        <f>-K45</f>
        <v>-6.1839429842034407E-4</v>
      </c>
      <c r="M54" s="42">
        <f t="shared" si="59"/>
        <v>-0.13169966155379231</v>
      </c>
    </row>
    <row r="55" spans="1:15" ht="15.75" customHeight="1" x14ac:dyDescent="0.3">
      <c r="A55" s="57"/>
      <c r="B55" s="26"/>
      <c r="C55" s="26"/>
      <c r="D55" s="26"/>
      <c r="E55" s="26"/>
      <c r="F55" s="26"/>
      <c r="G55" s="26"/>
      <c r="H55" s="59" t="s">
        <v>301</v>
      </c>
      <c r="I55" s="60">
        <f t="shared" ref="I55:J55" si="63">+SUM(I51:I54)</f>
        <v>-0.11454105787855196</v>
      </c>
      <c r="J55" s="39">
        <f t="shared" si="63"/>
        <v>29.143981625463532</v>
      </c>
      <c r="K55" s="26"/>
      <c r="L55" s="26"/>
      <c r="M55" s="26"/>
    </row>
    <row r="56" spans="1:15" ht="15.75" customHeight="1" x14ac:dyDescent="0.3"/>
    <row r="57" spans="1:15" ht="15.75" customHeight="1" x14ac:dyDescent="0.3">
      <c r="A57" s="698" t="s">
        <v>999</v>
      </c>
      <c r="B57" s="699"/>
      <c r="C57" s="699"/>
      <c r="D57" s="699"/>
      <c r="E57" s="699"/>
      <c r="F57" s="699"/>
      <c r="G57" s="699"/>
      <c r="H57" s="699"/>
      <c r="I57" s="699"/>
      <c r="J57" s="699"/>
      <c r="K57" s="699"/>
      <c r="L57" s="699"/>
      <c r="M57" s="700"/>
      <c r="O57" s="85"/>
    </row>
    <row r="58" spans="1:15" ht="15.75" customHeight="1" x14ac:dyDescent="0.3">
      <c r="A58" s="694" t="str">
        <f t="shared" ref="A58:A60" si="64">A7</f>
        <v>CIRCUITO</v>
      </c>
      <c r="B58" s="680"/>
      <c r="C58" s="695" t="str">
        <f t="shared" ref="C58:E58" si="65">C7</f>
        <v>TRAMO</v>
      </c>
      <c r="D58" s="695" t="str">
        <f t="shared" si="65"/>
        <v>DIAM.(m)</v>
      </c>
      <c r="E58" s="695" t="str">
        <f t="shared" si="65"/>
        <v>LONG.(m)</v>
      </c>
      <c r="F58" s="697" t="s">
        <v>245</v>
      </c>
      <c r="G58" s="695" t="s">
        <v>249</v>
      </c>
      <c r="H58" s="695" t="s">
        <v>250</v>
      </c>
      <c r="I58" s="695" t="s">
        <v>252</v>
      </c>
      <c r="J58" s="695" t="s">
        <v>253</v>
      </c>
      <c r="K58" s="694" t="s">
        <v>254</v>
      </c>
      <c r="L58" s="680"/>
      <c r="M58" s="705" t="s">
        <v>245</v>
      </c>
      <c r="O58" s="695" t="s">
        <v>241</v>
      </c>
    </row>
    <row r="59" spans="1:15" ht="15.75" customHeight="1" x14ac:dyDescent="0.3">
      <c r="A59" s="34" t="str">
        <f t="shared" si="64"/>
        <v>PROPIO</v>
      </c>
      <c r="B59" s="34" t="str">
        <f>B8</f>
        <v>COMUN</v>
      </c>
      <c r="C59" s="696"/>
      <c r="D59" s="696"/>
      <c r="E59" s="696"/>
      <c r="F59" s="696"/>
      <c r="G59" s="696"/>
      <c r="H59" s="696"/>
      <c r="I59" s="696"/>
      <c r="J59" s="696"/>
      <c r="K59" s="34" t="s">
        <v>260</v>
      </c>
      <c r="L59" s="34" t="s">
        <v>258</v>
      </c>
      <c r="M59" s="696"/>
      <c r="O59" s="696"/>
    </row>
    <row r="60" spans="1:15" ht="15.75" customHeight="1" x14ac:dyDescent="0.3">
      <c r="A60" s="695" t="str">
        <f t="shared" si="64"/>
        <v>I</v>
      </c>
      <c r="B60" s="37"/>
      <c r="C60" s="38" t="str">
        <f t="shared" ref="C60:E60" si="66">C9</f>
        <v>AB</v>
      </c>
      <c r="D60" s="86">
        <f t="shared" si="66"/>
        <v>0.2</v>
      </c>
      <c r="E60" s="41">
        <f t="shared" si="66"/>
        <v>224</v>
      </c>
      <c r="F60" s="42">
        <f t="shared" ref="F60:F63" si="67">M43</f>
        <v>1.8829056810269217E-2</v>
      </c>
      <c r="G60" s="39">
        <f t="shared" ref="G60:G63" si="68">+F60*4/(3.1415*D60^2)</f>
        <v>0.59936516983190236</v>
      </c>
      <c r="H60" s="39">
        <f t="shared" ref="H60:H63" si="69">10.643*140^(-1.85)*D60^(-4.87)*ABS(F60)^1.85*IF(F60&lt;0,-1,1)</f>
        <v>1.8584203993635825E-3</v>
      </c>
      <c r="I60" s="39">
        <f t="shared" ref="I60:I63" si="70">+H60*E60</f>
        <v>0.41628616945744246</v>
      </c>
      <c r="J60" s="43">
        <f t="shared" ref="J60:J63" si="71">+I60/F60</f>
        <v>22.108710683288358</v>
      </c>
      <c r="K60" s="42">
        <f>-I64/(J64*1.851)</f>
        <v>7.3314901892851847E-5</v>
      </c>
      <c r="L60" s="38"/>
      <c r="M60" s="88">
        <f t="shared" ref="M60:M63" si="72">+F60+K60+L60</f>
        <v>1.890237171216207E-2</v>
      </c>
      <c r="O60" s="39">
        <f t="shared" ref="O60:O63" si="73">+D60</f>
        <v>0.2</v>
      </c>
    </row>
    <row r="61" spans="1:15" ht="15.75" customHeight="1" x14ac:dyDescent="0.3">
      <c r="A61" s="701"/>
      <c r="B61" s="37"/>
      <c r="C61" s="38" t="str">
        <f t="shared" ref="C61:E61" si="74">C10</f>
        <v>RB</v>
      </c>
      <c r="D61" s="89">
        <f t="shared" si="74"/>
        <v>0.3</v>
      </c>
      <c r="E61" s="41">
        <f t="shared" si="74"/>
        <v>336</v>
      </c>
      <c r="F61" s="42">
        <f t="shared" si="67"/>
        <v>-8.5492193189730809E-2</v>
      </c>
      <c r="G61" s="39">
        <f t="shared" si="68"/>
        <v>-1.2095027950516322</v>
      </c>
      <c r="H61" s="39">
        <f t="shared" si="69"/>
        <v>-4.2384848371878571E-3</v>
      </c>
      <c r="I61" s="39">
        <f t="shared" si="70"/>
        <v>-1.4241309052951199</v>
      </c>
      <c r="J61" s="43">
        <f t="shared" si="71"/>
        <v>16.658022822441573</v>
      </c>
      <c r="K61" s="42">
        <f>-I64/(J64*1.851)</f>
        <v>7.3314901892851847E-5</v>
      </c>
      <c r="L61" s="42"/>
      <c r="M61" s="88">
        <f t="shared" si="72"/>
        <v>-8.5418878287837952E-2</v>
      </c>
      <c r="O61" s="46">
        <f t="shared" si="73"/>
        <v>0.3</v>
      </c>
    </row>
    <row r="62" spans="1:15" ht="15.75" customHeight="1" x14ac:dyDescent="0.3">
      <c r="A62" s="701"/>
      <c r="B62" s="37" t="str">
        <f t="shared" ref="B62:E62" si="75">B11</f>
        <v>II</v>
      </c>
      <c r="C62" s="38" t="str">
        <f t="shared" si="75"/>
        <v xml:space="preserve">RQ </v>
      </c>
      <c r="D62" s="86">
        <f t="shared" si="75"/>
        <v>0.35</v>
      </c>
      <c r="E62" s="41">
        <f t="shared" si="75"/>
        <v>224</v>
      </c>
      <c r="F62" s="42">
        <f t="shared" si="67"/>
        <v>3.124216155379236E-2</v>
      </c>
      <c r="G62" s="39">
        <f t="shared" si="68"/>
        <v>0.32473411236714411</v>
      </c>
      <c r="H62" s="39">
        <f t="shared" si="69"/>
        <v>3.1073259125085896E-4</v>
      </c>
      <c r="I62" s="39">
        <f t="shared" si="70"/>
        <v>6.9604100440192412E-2</v>
      </c>
      <c r="J62" s="43">
        <f t="shared" si="71"/>
        <v>2.227890036364768</v>
      </c>
      <c r="K62" s="42">
        <f>-I64/(J64*1.851)</f>
        <v>7.3314901892851847E-5</v>
      </c>
      <c r="L62" s="42">
        <f>-K71</f>
        <v>-2.0469868245080115E-4</v>
      </c>
      <c r="M62" s="88">
        <f t="shared" si="72"/>
        <v>3.1110777773234413E-2</v>
      </c>
      <c r="O62" s="39">
        <f t="shared" si="73"/>
        <v>0.35</v>
      </c>
    </row>
    <row r="63" spans="1:15" ht="15.75" customHeight="1" x14ac:dyDescent="0.3">
      <c r="A63" s="696"/>
      <c r="B63" s="41"/>
      <c r="C63" s="38" t="str">
        <f t="shared" ref="C63:E63" si="76">C12</f>
        <v>QA</v>
      </c>
      <c r="D63" s="86">
        <f t="shared" si="76"/>
        <v>0.25</v>
      </c>
      <c r="E63" s="41">
        <f t="shared" si="76"/>
        <v>336</v>
      </c>
      <c r="F63" s="42">
        <f t="shared" si="67"/>
        <v>4.2011556810269204E-2</v>
      </c>
      <c r="G63" s="39">
        <f t="shared" si="68"/>
        <v>0.85587764948503231</v>
      </c>
      <c r="H63" s="39">
        <f t="shared" si="69"/>
        <v>2.766888054213601E-3</v>
      </c>
      <c r="I63" s="39">
        <f t="shared" si="70"/>
        <v>0.92967438621576992</v>
      </c>
      <c r="J63" s="43">
        <f t="shared" si="71"/>
        <v>22.129015366279464</v>
      </c>
      <c r="K63" s="113">
        <f>-I64/(J64*1.851)</f>
        <v>7.3314901892851847E-5</v>
      </c>
      <c r="L63" s="42"/>
      <c r="M63" s="88">
        <f t="shared" si="72"/>
        <v>4.2084871712162054E-2</v>
      </c>
      <c r="O63" s="39">
        <f t="shared" si="73"/>
        <v>0.25</v>
      </c>
    </row>
    <row r="64" spans="1:15" ht="15.75" customHeight="1" x14ac:dyDescent="0.3">
      <c r="A64" s="57"/>
      <c r="B64" s="26"/>
      <c r="C64" s="26"/>
      <c r="D64" s="26"/>
      <c r="E64" s="26"/>
      <c r="F64" s="26"/>
      <c r="G64" s="26"/>
      <c r="H64" s="59" t="s">
        <v>301</v>
      </c>
      <c r="I64" s="60">
        <f t="shared" ref="I64:J64" si="77">+SUM(I60:I63)</f>
        <v>-8.5662491817151132E-3</v>
      </c>
      <c r="J64" s="39">
        <f t="shared" si="77"/>
        <v>63.123638908374161</v>
      </c>
      <c r="K64" s="26"/>
      <c r="L64" s="26"/>
      <c r="M64" s="26"/>
      <c r="O64" s="4"/>
    </row>
    <row r="65" spans="1:15" ht="15.75" customHeight="1" x14ac:dyDescent="0.3">
      <c r="A65" s="5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O65" s="4"/>
    </row>
    <row r="66" spans="1:15" ht="15.75" customHeight="1" x14ac:dyDescent="0.3">
      <c r="A66" s="694" t="str">
        <f t="shared" ref="A66:A68" si="78">A15</f>
        <v>CIRCUITO</v>
      </c>
      <c r="B66" s="680"/>
      <c r="C66" s="695" t="str">
        <f t="shared" ref="C66:E66" si="79">C15</f>
        <v>TRAMO</v>
      </c>
      <c r="D66" s="695" t="str">
        <f t="shared" si="79"/>
        <v>DIAM.(m)</v>
      </c>
      <c r="E66" s="695" t="str">
        <f t="shared" si="79"/>
        <v>LONG.(m)</v>
      </c>
      <c r="F66" s="697" t="s">
        <v>245</v>
      </c>
      <c r="G66" s="695" t="s">
        <v>249</v>
      </c>
      <c r="H66" s="695" t="s">
        <v>250</v>
      </c>
      <c r="I66" s="695" t="s">
        <v>252</v>
      </c>
      <c r="J66" s="695" t="s">
        <v>253</v>
      </c>
      <c r="K66" s="694" t="s">
        <v>254</v>
      </c>
      <c r="L66" s="680"/>
      <c r="M66" s="707" t="s">
        <v>245</v>
      </c>
      <c r="O66" s="695" t="s">
        <v>241</v>
      </c>
    </row>
    <row r="67" spans="1:15" ht="15.75" customHeight="1" x14ac:dyDescent="0.3">
      <c r="A67" s="34" t="str">
        <f t="shared" si="78"/>
        <v>PROPIO</v>
      </c>
      <c r="B67" s="34" t="str">
        <f>B16</f>
        <v>COMUN</v>
      </c>
      <c r="C67" s="696"/>
      <c r="D67" s="696"/>
      <c r="E67" s="696"/>
      <c r="F67" s="696"/>
      <c r="G67" s="696"/>
      <c r="H67" s="696"/>
      <c r="I67" s="696"/>
      <c r="J67" s="696"/>
      <c r="K67" s="34" t="s">
        <v>260</v>
      </c>
      <c r="L67" s="34" t="s">
        <v>258</v>
      </c>
      <c r="M67" s="696"/>
      <c r="O67" s="696"/>
    </row>
    <row r="68" spans="1:15" ht="15.75" customHeight="1" x14ac:dyDescent="0.3">
      <c r="A68" s="702" t="str">
        <f t="shared" si="78"/>
        <v>II</v>
      </c>
      <c r="B68" s="34"/>
      <c r="C68" s="38" t="str">
        <f t="shared" ref="C68:E68" si="80">C17</f>
        <v>HR</v>
      </c>
      <c r="D68" s="89">
        <f t="shared" si="80"/>
        <v>0.25</v>
      </c>
      <c r="E68" s="41">
        <f t="shared" si="80"/>
        <v>336</v>
      </c>
      <c r="F68" s="42">
        <f t="shared" ref="F68:F71" si="81">M51</f>
        <v>1.0769395256476865E-2</v>
      </c>
      <c r="G68" s="39">
        <f t="shared" ref="G68:G71" si="82">+F68*4/(3.1415*D68^2)</f>
        <v>0.21939878924543033</v>
      </c>
      <c r="H68" s="39">
        <f t="shared" ref="H68:H71" si="83">10.643*140^(-1.85)*D68^(-4.87)*ABS(F68)^1.85*IF(F68&lt;0,-1,1)</f>
        <v>2.230043269420655E-4</v>
      </c>
      <c r="I68" s="39">
        <f t="shared" ref="I68:I71" si="84">+H68*E68</f>
        <v>7.4929453852534009E-2</v>
      </c>
      <c r="J68" s="43">
        <f t="shared" ref="J68:J71" si="85">+I68/F68</f>
        <v>6.9576287310534344</v>
      </c>
      <c r="K68" s="42">
        <f>-I72/(J72*1.851)</f>
        <v>2.0469868245080115E-4</v>
      </c>
      <c r="L68" s="34"/>
      <c r="M68" s="88">
        <f t="shared" ref="M68:M71" si="86">+F68+K68+L68</f>
        <v>1.0974093938927666E-2</v>
      </c>
      <c r="O68" s="46">
        <f t="shared" ref="O68:O71" si="87">+D68</f>
        <v>0.25</v>
      </c>
    </row>
    <row r="69" spans="1:15" ht="15.75" customHeight="1" x14ac:dyDescent="0.3">
      <c r="A69" s="703"/>
      <c r="B69" s="41"/>
      <c r="C69" s="38" t="str">
        <f t="shared" ref="C69:E69" si="88">C18</f>
        <v>GH</v>
      </c>
      <c r="D69" s="86">
        <f t="shared" si="88"/>
        <v>0.3</v>
      </c>
      <c r="E69" s="41">
        <f t="shared" si="88"/>
        <v>224</v>
      </c>
      <c r="F69" s="42">
        <f t="shared" si="81"/>
        <v>-1.627685474352315E-2</v>
      </c>
      <c r="G69" s="39">
        <f t="shared" si="82"/>
        <v>-0.2302771817217274</v>
      </c>
      <c r="H69" s="39">
        <f t="shared" si="83"/>
        <v>-1.9703895162340767E-4</v>
      </c>
      <c r="I69" s="39">
        <f t="shared" si="84"/>
        <v>-4.4136725163643316E-2</v>
      </c>
      <c r="J69" s="43">
        <f t="shared" si="85"/>
        <v>2.7116249336319784</v>
      </c>
      <c r="K69" s="42">
        <f>-I72/(J72*1.851)</f>
        <v>2.0469868245080115E-4</v>
      </c>
      <c r="L69" s="42"/>
      <c r="M69" s="88">
        <f t="shared" si="86"/>
        <v>-1.6072156061072349E-2</v>
      </c>
      <c r="O69" s="39">
        <f t="shared" si="87"/>
        <v>0.3</v>
      </c>
    </row>
    <row r="70" spans="1:15" ht="15.75" customHeight="1" x14ac:dyDescent="0.3">
      <c r="A70" s="703"/>
      <c r="B70" s="41"/>
      <c r="C70" s="38" t="str">
        <f t="shared" ref="C70:E70" si="89">C19</f>
        <v xml:space="preserve">RQ </v>
      </c>
      <c r="D70" s="86">
        <f t="shared" si="89"/>
        <v>0.35</v>
      </c>
      <c r="E70" s="41">
        <f t="shared" si="89"/>
        <v>224</v>
      </c>
      <c r="F70" s="42">
        <f t="shared" si="81"/>
        <v>0.16145564525647688</v>
      </c>
      <c r="G70" s="39">
        <f t="shared" si="82"/>
        <v>1.6781859206109329</v>
      </c>
      <c r="H70" s="39">
        <f t="shared" si="83"/>
        <v>6.4865579774078738E-3</v>
      </c>
      <c r="I70" s="39">
        <f t="shared" si="84"/>
        <v>1.4529889869393637</v>
      </c>
      <c r="J70" s="43">
        <f t="shared" si="85"/>
        <v>8.9993074236038595</v>
      </c>
      <c r="K70" s="42">
        <f>-I72/(J72*1.851)</f>
        <v>2.0469868245080115E-4</v>
      </c>
      <c r="L70" s="42"/>
      <c r="M70" s="88">
        <f t="shared" si="86"/>
        <v>0.16166034393892767</v>
      </c>
      <c r="O70" s="39">
        <f t="shared" si="87"/>
        <v>0.35</v>
      </c>
    </row>
    <row r="71" spans="1:15" ht="15.75" customHeight="1" x14ac:dyDescent="0.3">
      <c r="A71" s="704"/>
      <c r="B71" s="41" t="str">
        <f t="shared" ref="B71:E71" si="90">B20</f>
        <v>I</v>
      </c>
      <c r="C71" s="63" t="str">
        <f t="shared" si="90"/>
        <v>GQ</v>
      </c>
      <c r="D71" s="91">
        <f t="shared" si="90"/>
        <v>0.35</v>
      </c>
      <c r="E71" s="65">
        <f t="shared" si="90"/>
        <v>336</v>
      </c>
      <c r="F71" s="42">
        <f t="shared" si="81"/>
        <v>-0.13169966155379231</v>
      </c>
      <c r="G71" s="39">
        <f t="shared" si="82"/>
        <v>-1.3688992875889114</v>
      </c>
      <c r="H71" s="39">
        <f t="shared" si="83"/>
        <v>-4.4498711842765491E-3</v>
      </c>
      <c r="I71" s="39">
        <f t="shared" si="84"/>
        <v>-1.4951567179169205</v>
      </c>
      <c r="J71" s="43">
        <f t="shared" si="85"/>
        <v>11.352775704030405</v>
      </c>
      <c r="K71" s="90">
        <f>-I72/(J72*1.851)</f>
        <v>2.0469868245080115E-4</v>
      </c>
      <c r="L71" s="42">
        <f>-K62</f>
        <v>-7.3314901892851847E-5</v>
      </c>
      <c r="M71" s="88">
        <f t="shared" si="86"/>
        <v>-0.13156827777323438</v>
      </c>
      <c r="O71" s="64">
        <f t="shared" si="87"/>
        <v>0.35</v>
      </c>
    </row>
    <row r="72" spans="1:15" ht="15.75" customHeight="1" x14ac:dyDescent="0.3">
      <c r="A72" s="57"/>
      <c r="B72" s="26"/>
      <c r="C72" s="26"/>
      <c r="D72" s="26"/>
      <c r="E72" s="26"/>
      <c r="F72" s="26"/>
      <c r="G72" s="26"/>
      <c r="H72" s="59" t="s">
        <v>301</v>
      </c>
      <c r="I72" s="60">
        <f t="shared" ref="I72:J72" si="91">+SUM(I68:I71)</f>
        <v>-1.1375002288666058E-2</v>
      </c>
      <c r="J72" s="39">
        <f t="shared" si="91"/>
        <v>30.02133679231968</v>
      </c>
      <c r="K72" s="26"/>
      <c r="L72" s="26"/>
      <c r="M72" s="26"/>
    </row>
    <row r="73" spans="1:15" ht="15.75" customHeight="1" x14ac:dyDescent="0.3"/>
    <row r="74" spans="1:15" ht="15.75" customHeight="1" x14ac:dyDescent="0.3">
      <c r="A74" s="698" t="s">
        <v>1000</v>
      </c>
      <c r="B74" s="699"/>
      <c r="C74" s="699"/>
      <c r="D74" s="699"/>
      <c r="E74" s="699"/>
      <c r="F74" s="699"/>
      <c r="G74" s="699"/>
      <c r="H74" s="699"/>
      <c r="I74" s="699"/>
      <c r="J74" s="699"/>
      <c r="K74" s="699"/>
      <c r="L74" s="699"/>
      <c r="M74" s="700"/>
    </row>
    <row r="75" spans="1:15" ht="15.75" customHeight="1" x14ac:dyDescent="0.3">
      <c r="A75" s="694" t="str">
        <f t="shared" ref="A75:A77" si="92">A7</f>
        <v>CIRCUITO</v>
      </c>
      <c r="B75" s="680"/>
      <c r="C75" s="695" t="str">
        <f t="shared" ref="C75:E75" si="93">C7</f>
        <v>TRAMO</v>
      </c>
      <c r="D75" s="695" t="str">
        <f t="shared" si="93"/>
        <v>DIAM.(m)</v>
      </c>
      <c r="E75" s="695" t="str">
        <f t="shared" si="93"/>
        <v>LONG.(m)</v>
      </c>
      <c r="F75" s="697" t="s">
        <v>245</v>
      </c>
      <c r="G75" s="695" t="s">
        <v>249</v>
      </c>
      <c r="H75" s="695" t="s">
        <v>250</v>
      </c>
      <c r="I75" s="695" t="s">
        <v>252</v>
      </c>
      <c r="J75" s="695" t="s">
        <v>253</v>
      </c>
      <c r="K75" s="694" t="s">
        <v>254</v>
      </c>
      <c r="L75" s="680"/>
      <c r="M75" s="705" t="s">
        <v>245</v>
      </c>
      <c r="O75" s="695" t="s">
        <v>241</v>
      </c>
    </row>
    <row r="76" spans="1:15" ht="15.75" customHeight="1" x14ac:dyDescent="0.3">
      <c r="A76" s="34" t="str">
        <f t="shared" si="92"/>
        <v>PROPIO</v>
      </c>
      <c r="B76" s="34" t="str">
        <f>B8</f>
        <v>COMUN</v>
      </c>
      <c r="C76" s="696"/>
      <c r="D76" s="696"/>
      <c r="E76" s="696"/>
      <c r="F76" s="696"/>
      <c r="G76" s="696"/>
      <c r="H76" s="696"/>
      <c r="I76" s="696"/>
      <c r="J76" s="696"/>
      <c r="K76" s="34" t="s">
        <v>260</v>
      </c>
      <c r="L76" s="34" t="s">
        <v>258</v>
      </c>
      <c r="M76" s="696"/>
      <c r="O76" s="696"/>
    </row>
    <row r="77" spans="1:15" ht="15.75" customHeight="1" x14ac:dyDescent="0.3">
      <c r="A77" s="695" t="str">
        <f t="shared" si="92"/>
        <v>I</v>
      </c>
      <c r="B77" s="37"/>
      <c r="C77" s="38" t="str">
        <f t="shared" ref="C77:E77" si="94">C9</f>
        <v>AB</v>
      </c>
      <c r="D77" s="39">
        <f t="shared" si="94"/>
        <v>0.2</v>
      </c>
      <c r="E77" s="41">
        <f t="shared" si="94"/>
        <v>224</v>
      </c>
      <c r="F77" s="42">
        <f t="shared" ref="F77:F80" si="95">M60</f>
        <v>1.890237171216207E-2</v>
      </c>
      <c r="G77" s="39">
        <f t="shared" ref="G77:G80" si="96">+F77*4/(3.1415*D77^2)</f>
        <v>0.60169892446799511</v>
      </c>
      <c r="H77" s="39">
        <f t="shared" ref="H77:H80" si="97">10.643*140^(-1.85)*D77^(-4.87)*ABS(F77)^1.85*IF(F77&lt;0,-1,1)</f>
        <v>1.8718294284575656E-3</v>
      </c>
      <c r="I77" s="39">
        <f t="shared" ref="I77:I80" si="98">+H77*E77</f>
        <v>0.41928979197449467</v>
      </c>
      <c r="J77" s="43">
        <f t="shared" ref="J77:J80" si="99">+I77/F77</f>
        <v>22.181861533530068</v>
      </c>
      <c r="K77" s="42">
        <f>-I81/(J81*1.851)</f>
        <v>7.1878284561961948E-6</v>
      </c>
      <c r="L77" s="38"/>
      <c r="M77" s="88">
        <f t="shared" ref="M77:M80" si="100">+F77+K77+L77</f>
        <v>1.8909559540618265E-2</v>
      </c>
      <c r="O77" s="39">
        <f t="shared" ref="O77:O80" si="101">+D77</f>
        <v>0.2</v>
      </c>
    </row>
    <row r="78" spans="1:15" ht="15.75" customHeight="1" x14ac:dyDescent="0.3">
      <c r="A78" s="701"/>
      <c r="B78" s="37"/>
      <c r="C78" s="38" t="str">
        <f t="shared" ref="C78:E78" si="102">C10</f>
        <v>RB</v>
      </c>
      <c r="D78" s="46">
        <f t="shared" si="102"/>
        <v>0.3</v>
      </c>
      <c r="E78" s="41">
        <f t="shared" si="102"/>
        <v>336</v>
      </c>
      <c r="F78" s="42">
        <f t="shared" si="95"/>
        <v>-8.5418878287837952E-2</v>
      </c>
      <c r="G78" s="39">
        <f t="shared" si="96"/>
        <v>-1.2084655707689242</v>
      </c>
      <c r="H78" s="39">
        <f t="shared" si="97"/>
        <v>-4.2317629713340002E-3</v>
      </c>
      <c r="I78" s="39">
        <f t="shared" si="98"/>
        <v>-1.421872358368224</v>
      </c>
      <c r="J78" s="43">
        <f t="shared" si="99"/>
        <v>16.645879539378967</v>
      </c>
      <c r="K78" s="42">
        <f>-I81/(J81*1.851)</f>
        <v>7.1878284561961948E-6</v>
      </c>
      <c r="L78" s="42"/>
      <c r="M78" s="88">
        <f t="shared" si="100"/>
        <v>-8.5411690459381753E-2</v>
      </c>
      <c r="O78" s="46">
        <f t="shared" si="101"/>
        <v>0.3</v>
      </c>
    </row>
    <row r="79" spans="1:15" ht="15.75" customHeight="1" x14ac:dyDescent="0.3">
      <c r="A79" s="701"/>
      <c r="B79" s="37" t="str">
        <f t="shared" ref="B79:E79" si="103">B11</f>
        <v>II</v>
      </c>
      <c r="C79" s="38" t="str">
        <f t="shared" si="103"/>
        <v xml:space="preserve">RQ </v>
      </c>
      <c r="D79" s="39">
        <f t="shared" si="103"/>
        <v>0.35</v>
      </c>
      <c r="E79" s="41">
        <f t="shared" si="103"/>
        <v>224</v>
      </c>
      <c r="F79" s="42">
        <f t="shared" si="95"/>
        <v>3.1110777773234413E-2</v>
      </c>
      <c r="G79" s="39">
        <f t="shared" si="96"/>
        <v>0.32336849637781939</v>
      </c>
      <c r="H79" s="39">
        <f t="shared" si="97"/>
        <v>3.0831945325900188E-4</v>
      </c>
      <c r="I79" s="39">
        <f t="shared" si="98"/>
        <v>6.9063557530016417E-2</v>
      </c>
      <c r="J79" s="43">
        <f t="shared" si="99"/>
        <v>2.2199238486873827</v>
      </c>
      <c r="K79" s="42">
        <f>-I81/(J81*1.851)</f>
        <v>7.1878284561961948E-6</v>
      </c>
      <c r="L79" s="42">
        <f>-K88</f>
        <v>-2.7448160467171999E-5</v>
      </c>
      <c r="M79" s="88">
        <f t="shared" si="100"/>
        <v>3.1090517441223434E-2</v>
      </c>
      <c r="O79" s="39">
        <f t="shared" si="101"/>
        <v>0.35</v>
      </c>
    </row>
    <row r="80" spans="1:15" ht="15.75" customHeight="1" x14ac:dyDescent="0.3">
      <c r="A80" s="696"/>
      <c r="B80" s="41"/>
      <c r="C80" s="38" t="str">
        <f t="shared" ref="C80:E80" si="104">C12</f>
        <v>QA</v>
      </c>
      <c r="D80" s="39">
        <f t="shared" si="104"/>
        <v>0.25</v>
      </c>
      <c r="E80" s="41">
        <f t="shared" si="104"/>
        <v>336</v>
      </c>
      <c r="F80" s="42">
        <f t="shared" si="95"/>
        <v>4.2084871712162054E-2</v>
      </c>
      <c r="G80" s="39">
        <f t="shared" si="96"/>
        <v>0.85737125245213153</v>
      </c>
      <c r="H80" s="39">
        <f t="shared" si="97"/>
        <v>2.7758274621502758E-3</v>
      </c>
      <c r="I80" s="39">
        <f t="shared" si="98"/>
        <v>0.93267802728249261</v>
      </c>
      <c r="J80" s="43">
        <f t="shared" si="99"/>
        <v>22.16183605504396</v>
      </c>
      <c r="K80" s="90">
        <f>-I81/(J81*1.851)</f>
        <v>7.1878284561961948E-6</v>
      </c>
      <c r="L80" s="42"/>
      <c r="M80" s="88">
        <f t="shared" si="100"/>
        <v>4.2092059540618253E-2</v>
      </c>
      <c r="O80" s="39">
        <f t="shared" si="101"/>
        <v>0.25</v>
      </c>
    </row>
    <row r="81" spans="1:15" ht="15.75" customHeight="1" x14ac:dyDescent="0.3">
      <c r="A81" s="57"/>
      <c r="B81" s="26"/>
      <c r="C81" s="26"/>
      <c r="D81" s="55"/>
      <c r="E81" s="26"/>
      <c r="F81" s="26"/>
      <c r="G81" s="26"/>
      <c r="H81" s="59" t="s">
        <v>301</v>
      </c>
      <c r="I81" s="64">
        <f t="shared" ref="I81:J81" si="105">+SUM(I77:I80)</f>
        <v>-8.4098158122025701E-4</v>
      </c>
      <c r="J81" s="39">
        <f t="shared" si="105"/>
        <v>63.209500976640371</v>
      </c>
      <c r="K81" s="26"/>
      <c r="L81" s="26"/>
      <c r="M81" s="26"/>
      <c r="O81" s="4"/>
    </row>
    <row r="82" spans="1:15" ht="15.75" customHeight="1" x14ac:dyDescent="0.3">
      <c r="A82" s="57"/>
      <c r="B82" s="26"/>
      <c r="C82" s="26"/>
      <c r="D82" s="55"/>
      <c r="E82" s="26"/>
      <c r="F82" s="26"/>
      <c r="G82" s="26"/>
      <c r="H82" s="26"/>
      <c r="I82" s="26"/>
      <c r="J82" s="26"/>
      <c r="K82" s="26"/>
      <c r="L82" s="26"/>
      <c r="M82" s="26"/>
      <c r="O82" s="4"/>
    </row>
    <row r="83" spans="1:15" ht="15" customHeight="1" x14ac:dyDescent="0.3">
      <c r="A83" s="694" t="str">
        <f t="shared" ref="A83:A85" si="106">A15</f>
        <v>CIRCUITO</v>
      </c>
      <c r="B83" s="680"/>
      <c r="C83" s="695" t="str">
        <f t="shared" ref="C83:E83" si="107">C15</f>
        <v>TRAMO</v>
      </c>
      <c r="D83" s="706" t="str">
        <f t="shared" si="107"/>
        <v>DIAM.(m)</v>
      </c>
      <c r="E83" s="695" t="str">
        <f t="shared" si="107"/>
        <v>LONG.(m)</v>
      </c>
      <c r="F83" s="697" t="s">
        <v>245</v>
      </c>
      <c r="G83" s="695" t="s">
        <v>249</v>
      </c>
      <c r="H83" s="695" t="s">
        <v>250</v>
      </c>
      <c r="I83" s="695" t="s">
        <v>252</v>
      </c>
      <c r="J83" s="695" t="s">
        <v>253</v>
      </c>
      <c r="K83" s="694" t="s">
        <v>254</v>
      </c>
      <c r="L83" s="680"/>
      <c r="M83" s="705" t="s">
        <v>245</v>
      </c>
      <c r="O83" s="695" t="s">
        <v>241</v>
      </c>
    </row>
    <row r="84" spans="1:15" ht="15.75" customHeight="1" x14ac:dyDescent="0.3">
      <c r="A84" s="34" t="str">
        <f t="shared" si="106"/>
        <v>PROPIO</v>
      </c>
      <c r="B84" s="34" t="str">
        <f>B16</f>
        <v>COMUN</v>
      </c>
      <c r="C84" s="696"/>
      <c r="D84" s="696"/>
      <c r="E84" s="696"/>
      <c r="F84" s="696"/>
      <c r="G84" s="696"/>
      <c r="H84" s="696"/>
      <c r="I84" s="696"/>
      <c r="J84" s="696"/>
      <c r="K84" s="34" t="s">
        <v>260</v>
      </c>
      <c r="L84" s="34" t="s">
        <v>258</v>
      </c>
      <c r="M84" s="696"/>
      <c r="O84" s="696"/>
    </row>
    <row r="85" spans="1:15" ht="15.75" customHeight="1" x14ac:dyDescent="0.3">
      <c r="A85" s="702" t="str">
        <f t="shared" si="106"/>
        <v>II</v>
      </c>
      <c r="B85" s="34"/>
      <c r="C85" s="38" t="str">
        <f t="shared" ref="C85:E85" si="108">C17</f>
        <v>HR</v>
      </c>
      <c r="D85" s="46">
        <f t="shared" si="108"/>
        <v>0.25</v>
      </c>
      <c r="E85" s="41">
        <f t="shared" si="108"/>
        <v>336</v>
      </c>
      <c r="F85" s="42">
        <f t="shared" ref="F85:F88" si="109">M68</f>
        <v>1.0974093938927666E-2</v>
      </c>
      <c r="G85" s="39">
        <f t="shared" ref="G85:G88" si="110">+F85*4/(3.1415*D85^2)</f>
        <v>0.22356899955160608</v>
      </c>
      <c r="H85" s="39">
        <f t="shared" ref="H85:H88" si="111">10.643*140^(-1.85)*D85^(-4.87)*ABS(F85)^1.85*IF(F85&lt;0,-1,1)</f>
        <v>2.3090928676158465E-4</v>
      </c>
      <c r="I85" s="39">
        <f t="shared" ref="I85:I88" si="112">+H85*E85</f>
        <v>7.7585520351892437E-2</v>
      </c>
      <c r="J85" s="43">
        <f t="shared" ref="J85:J88" si="113">+I85/F85</f>
        <v>7.0698793707860048</v>
      </c>
      <c r="K85" s="42">
        <f>-I89/(J89*1.851)</f>
        <v>2.7448160467171999E-5</v>
      </c>
      <c r="L85" s="34"/>
      <c r="M85" s="88">
        <f t="shared" ref="M85:M88" si="114">+F85+K85+L85</f>
        <v>1.1001542099394837E-2</v>
      </c>
      <c r="O85" s="46">
        <f t="shared" ref="O85:O88" si="115">+D85</f>
        <v>0.25</v>
      </c>
    </row>
    <row r="86" spans="1:15" ht="15.75" customHeight="1" x14ac:dyDescent="0.3">
      <c r="A86" s="703"/>
      <c r="B86" s="41"/>
      <c r="C86" s="38" t="str">
        <f t="shared" ref="C86:E86" si="116">C18</f>
        <v>GH</v>
      </c>
      <c r="D86" s="39">
        <f t="shared" si="116"/>
        <v>0.3</v>
      </c>
      <c r="E86" s="41">
        <f t="shared" si="116"/>
        <v>224</v>
      </c>
      <c r="F86" s="42">
        <f t="shared" si="109"/>
        <v>-1.6072156061072349E-2</v>
      </c>
      <c r="G86" s="39">
        <f t="shared" si="110"/>
        <v>-0.22738120234243867</v>
      </c>
      <c r="H86" s="39">
        <f t="shared" si="111"/>
        <v>-1.9247921823556803E-4</v>
      </c>
      <c r="I86" s="39">
        <f t="shared" si="112"/>
        <v>-4.3115344884767239E-2</v>
      </c>
      <c r="J86" s="43">
        <f t="shared" si="113"/>
        <v>2.6826111394721326</v>
      </c>
      <c r="K86" s="42">
        <f>-I89/(J89*1.851)</f>
        <v>2.7448160467171999E-5</v>
      </c>
      <c r="L86" s="42"/>
      <c r="M86" s="88">
        <f t="shared" si="114"/>
        <v>-1.6044707900605176E-2</v>
      </c>
      <c r="O86" s="39">
        <f t="shared" si="115"/>
        <v>0.3</v>
      </c>
    </row>
    <row r="87" spans="1:15" ht="15.75" customHeight="1" x14ac:dyDescent="0.3">
      <c r="A87" s="703"/>
      <c r="B87" s="41"/>
      <c r="C87" s="38" t="str">
        <f t="shared" ref="C87:E87" si="117">C19</f>
        <v xml:space="preserve">RQ </v>
      </c>
      <c r="D87" s="39">
        <f t="shared" si="117"/>
        <v>0.35</v>
      </c>
      <c r="E87" s="41">
        <f t="shared" si="117"/>
        <v>224</v>
      </c>
      <c r="F87" s="42">
        <f t="shared" si="109"/>
        <v>0.16166034393892767</v>
      </c>
      <c r="G87" s="39">
        <f t="shared" si="110"/>
        <v>1.6803135789304102</v>
      </c>
      <c r="H87" s="39">
        <f t="shared" si="111"/>
        <v>6.5017803300216172E-3</v>
      </c>
      <c r="I87" s="39">
        <f t="shared" si="112"/>
        <v>1.4563987939248422</v>
      </c>
      <c r="J87" s="43">
        <f t="shared" si="113"/>
        <v>9.0090046726304323</v>
      </c>
      <c r="K87" s="42">
        <f>-I89/(J89*1.851)</f>
        <v>2.7448160467171999E-5</v>
      </c>
      <c r="L87" s="42"/>
      <c r="M87" s="88">
        <f t="shared" si="114"/>
        <v>0.16168779209939485</v>
      </c>
      <c r="O87" s="39">
        <f t="shared" si="115"/>
        <v>0.35</v>
      </c>
    </row>
    <row r="88" spans="1:15" ht="15.75" customHeight="1" x14ac:dyDescent="0.3">
      <c r="A88" s="704"/>
      <c r="B88" s="41" t="str">
        <f t="shared" ref="B88:E88" si="118">B20</f>
        <v>I</v>
      </c>
      <c r="C88" s="38" t="str">
        <f t="shared" si="118"/>
        <v>GQ</v>
      </c>
      <c r="D88" s="64">
        <f t="shared" si="118"/>
        <v>0.35</v>
      </c>
      <c r="E88" s="65">
        <f t="shared" si="118"/>
        <v>336</v>
      </c>
      <c r="F88" s="42">
        <f t="shared" si="109"/>
        <v>-0.13156827777323438</v>
      </c>
      <c r="G88" s="39">
        <f t="shared" si="110"/>
        <v>-1.3675336715995869</v>
      </c>
      <c r="H88" s="39">
        <f t="shared" si="111"/>
        <v>-4.4416621497469447E-3</v>
      </c>
      <c r="I88" s="39">
        <f t="shared" si="112"/>
        <v>-1.4923984823149734</v>
      </c>
      <c r="J88" s="43">
        <f t="shared" si="113"/>
        <v>11.343148269275133</v>
      </c>
      <c r="K88" s="113">
        <f>-I89/(J89*1.851)</f>
        <v>2.7448160467171999E-5</v>
      </c>
      <c r="L88" s="42">
        <f>-K79</f>
        <v>-7.1878284561961948E-6</v>
      </c>
      <c r="M88" s="88">
        <f t="shared" si="114"/>
        <v>-0.13154801744122338</v>
      </c>
      <c r="O88" s="64">
        <f t="shared" si="115"/>
        <v>0.35</v>
      </c>
    </row>
    <row r="89" spans="1:15" ht="15.75" customHeight="1" x14ac:dyDescent="0.3">
      <c r="A89" s="57"/>
      <c r="B89" s="26"/>
      <c r="C89" s="26"/>
      <c r="D89" s="26"/>
      <c r="E89" s="26"/>
      <c r="F89" s="26"/>
      <c r="G89" s="26"/>
      <c r="H89" s="59" t="s">
        <v>301</v>
      </c>
      <c r="I89" s="64">
        <f t="shared" ref="I89:J89" si="119">+SUM(I85:I88)</f>
        <v>-1.5295129230059601E-3</v>
      </c>
      <c r="J89" s="39">
        <f t="shared" si="119"/>
        <v>30.104643452163703</v>
      </c>
      <c r="K89" s="26"/>
      <c r="L89" s="26"/>
      <c r="M89" s="26"/>
    </row>
    <row r="90" spans="1:15" ht="15.75" customHeight="1" x14ac:dyDescent="0.3"/>
    <row r="91" spans="1:15" ht="15.75" customHeight="1" x14ac:dyDescent="0.3">
      <c r="A91" s="698" t="s">
        <v>1001</v>
      </c>
      <c r="B91" s="699"/>
      <c r="C91" s="699"/>
      <c r="D91" s="699"/>
      <c r="E91" s="699"/>
      <c r="F91" s="699"/>
      <c r="G91" s="699"/>
      <c r="H91" s="699"/>
      <c r="I91" s="699"/>
      <c r="J91" s="699"/>
      <c r="K91" s="699"/>
      <c r="L91" s="699"/>
      <c r="M91" s="700"/>
      <c r="N91" s="692" t="s">
        <v>425</v>
      </c>
      <c r="O91" s="693"/>
    </row>
    <row r="92" spans="1:15" ht="15.75" customHeight="1" x14ac:dyDescent="0.3">
      <c r="A92" s="694" t="str">
        <f t="shared" ref="A92:A94" si="120">A7</f>
        <v>CIRCUITO</v>
      </c>
      <c r="B92" s="680"/>
      <c r="C92" s="695" t="str">
        <f t="shared" ref="C92:E92" si="121">C7</f>
        <v>TRAMO</v>
      </c>
      <c r="D92" s="695" t="str">
        <f t="shared" si="121"/>
        <v>DIAM.(m)</v>
      </c>
      <c r="E92" s="695" t="str">
        <f t="shared" si="121"/>
        <v>LONG.(m)</v>
      </c>
      <c r="F92" s="697" t="s">
        <v>245</v>
      </c>
      <c r="G92" s="695" t="s">
        <v>249</v>
      </c>
      <c r="H92" s="695" t="s">
        <v>250</v>
      </c>
      <c r="I92" s="695" t="s">
        <v>252</v>
      </c>
      <c r="J92" s="695" t="s">
        <v>253</v>
      </c>
      <c r="K92" s="694" t="s">
        <v>254</v>
      </c>
      <c r="L92" s="680"/>
      <c r="M92" s="705" t="s">
        <v>245</v>
      </c>
      <c r="O92" s="695" t="s">
        <v>241</v>
      </c>
    </row>
    <row r="93" spans="1:15" ht="15.75" customHeight="1" x14ac:dyDescent="0.3">
      <c r="A93" s="34" t="str">
        <f t="shared" si="120"/>
        <v>PROPIO</v>
      </c>
      <c r="B93" s="34" t="str">
        <f>B8</f>
        <v>COMUN</v>
      </c>
      <c r="C93" s="696"/>
      <c r="D93" s="696"/>
      <c r="E93" s="696"/>
      <c r="F93" s="696"/>
      <c r="G93" s="696"/>
      <c r="H93" s="696"/>
      <c r="I93" s="696"/>
      <c r="J93" s="696"/>
      <c r="K93" s="34" t="s">
        <v>260</v>
      </c>
      <c r="L93" s="34" t="s">
        <v>258</v>
      </c>
      <c r="M93" s="696"/>
      <c r="O93" s="696"/>
    </row>
    <row r="94" spans="1:15" ht="15.75" customHeight="1" x14ac:dyDescent="0.3">
      <c r="A94" s="695" t="str">
        <f t="shared" si="120"/>
        <v>I</v>
      </c>
      <c r="B94" s="37"/>
      <c r="C94" s="38" t="str">
        <f t="shared" ref="C94:E94" si="122">C9</f>
        <v>AB</v>
      </c>
      <c r="D94" s="39">
        <f t="shared" si="122"/>
        <v>0.2</v>
      </c>
      <c r="E94" s="41">
        <f t="shared" si="122"/>
        <v>224</v>
      </c>
      <c r="F94" s="42">
        <f t="shared" ref="F94:F97" si="123">M77</f>
        <v>1.8909559540618265E-2</v>
      </c>
      <c r="G94" s="39">
        <f t="shared" ref="G94:G97" si="124">+F94*4/(3.1415*D94^2)</f>
        <v>0.60192772690174312</v>
      </c>
      <c r="H94" s="39">
        <f t="shared" ref="H94:H97" si="125">10.643*140^(-1.85)*D94^(-4.87)*ABS(F94)^1.85*IF(F94&lt;0,-1,1)</f>
        <v>1.8731464400068281E-3</v>
      </c>
      <c r="I94" s="39">
        <f t="shared" ref="I94:I97" si="126">+H94*E94</f>
        <v>0.41958480256152947</v>
      </c>
      <c r="J94" s="43">
        <f t="shared" ref="J94:J97" si="127">+I94/F94</f>
        <v>22.189030985108328</v>
      </c>
      <c r="K94" s="42">
        <f>-I98/(J98*1.851)</f>
        <v>9.6650325262394281E-7</v>
      </c>
      <c r="L94" s="38"/>
      <c r="M94" s="75">
        <f t="shared" ref="M94:M97" si="128">+F94+K94+L94</f>
        <v>1.891052604387089E-2</v>
      </c>
      <c r="O94" s="39">
        <f t="shared" ref="O94:O97" si="129">+D94</f>
        <v>0.2</v>
      </c>
    </row>
    <row r="95" spans="1:15" ht="15.75" customHeight="1" x14ac:dyDescent="0.3">
      <c r="A95" s="701"/>
      <c r="B95" s="37"/>
      <c r="C95" s="38" t="str">
        <f t="shared" ref="C95:E95" si="130">C10</f>
        <v>RB</v>
      </c>
      <c r="D95" s="46">
        <f t="shared" si="130"/>
        <v>0.3</v>
      </c>
      <c r="E95" s="41">
        <f t="shared" si="130"/>
        <v>336</v>
      </c>
      <c r="F95" s="42">
        <f t="shared" si="123"/>
        <v>-8.5411690459381753E-2</v>
      </c>
      <c r="G95" s="39">
        <f t="shared" si="124"/>
        <v>-1.2083638807983694</v>
      </c>
      <c r="H95" s="39">
        <f t="shared" si="125"/>
        <v>-4.231104220208475E-3</v>
      </c>
      <c r="I95" s="39">
        <f t="shared" si="126"/>
        <v>-1.4216510179900477</v>
      </c>
      <c r="J95" s="43">
        <f t="shared" si="127"/>
        <v>16.644688921900283</v>
      </c>
      <c r="K95" s="42">
        <f>-I98/(J98*1.851)</f>
        <v>9.6650325262394281E-7</v>
      </c>
      <c r="L95" s="42"/>
      <c r="M95" s="75">
        <f t="shared" si="128"/>
        <v>-8.5410723956129128E-2</v>
      </c>
      <c r="O95" s="46">
        <f t="shared" si="129"/>
        <v>0.3</v>
      </c>
    </row>
    <row r="96" spans="1:15" ht="15.75" customHeight="1" x14ac:dyDescent="0.3">
      <c r="A96" s="701"/>
      <c r="B96" s="37" t="str">
        <f t="shared" ref="B96:E96" si="131">B11</f>
        <v>II</v>
      </c>
      <c r="C96" s="38" t="str">
        <f t="shared" si="131"/>
        <v xml:space="preserve">RQ </v>
      </c>
      <c r="D96" s="39">
        <f t="shared" si="131"/>
        <v>0.35</v>
      </c>
      <c r="E96" s="41">
        <f t="shared" si="131"/>
        <v>224</v>
      </c>
      <c r="F96" s="42">
        <f t="shared" si="123"/>
        <v>3.1090517441223434E-2</v>
      </c>
      <c r="G96" s="39">
        <f t="shared" si="124"/>
        <v>0.3231579084861807</v>
      </c>
      <c r="H96" s="39">
        <f t="shared" si="125"/>
        <v>3.0794809924457361E-4</v>
      </c>
      <c r="I96" s="39">
        <f t="shared" si="126"/>
        <v>6.8980374230784486E-2</v>
      </c>
      <c r="J96" s="43">
        <f t="shared" si="127"/>
        <v>2.2186949561451255</v>
      </c>
      <c r="K96" s="42">
        <f>-I98/(J98*1.851)</f>
        <v>9.6650325262394281E-7</v>
      </c>
      <c r="L96" s="42">
        <f>-K105</f>
        <v>-2.7155185056855823E-6</v>
      </c>
      <c r="M96" s="75">
        <f t="shared" si="128"/>
        <v>3.1088768425970373E-2</v>
      </c>
      <c r="O96" s="39">
        <f t="shared" si="129"/>
        <v>0.35</v>
      </c>
    </row>
    <row r="97" spans="1:15" ht="15.75" customHeight="1" x14ac:dyDescent="0.3">
      <c r="A97" s="696"/>
      <c r="B97" s="41"/>
      <c r="C97" s="38" t="str">
        <f t="shared" ref="C97:E97" si="132">C12</f>
        <v>QA</v>
      </c>
      <c r="D97" s="39">
        <f t="shared" si="132"/>
        <v>0.25</v>
      </c>
      <c r="E97" s="41">
        <f t="shared" si="132"/>
        <v>336</v>
      </c>
      <c r="F97" s="42">
        <f t="shared" si="123"/>
        <v>4.2092059540618253E-2</v>
      </c>
      <c r="G97" s="39">
        <f t="shared" si="124"/>
        <v>0.85751768600973044</v>
      </c>
      <c r="H97" s="39">
        <f t="shared" si="125"/>
        <v>2.7767045991185786E-3</v>
      </c>
      <c r="I97" s="39">
        <f t="shared" si="126"/>
        <v>0.93297274530384244</v>
      </c>
      <c r="J97" s="43">
        <f t="shared" si="127"/>
        <v>22.165053349398043</v>
      </c>
      <c r="K97" s="90">
        <f>-I98/(J98*1.851)</f>
        <v>9.6650325262394281E-7</v>
      </c>
      <c r="L97" s="42"/>
      <c r="M97" s="75">
        <f t="shared" si="128"/>
        <v>4.2093026043870878E-2</v>
      </c>
      <c r="O97" s="465">
        <f t="shared" si="129"/>
        <v>0.25</v>
      </c>
    </row>
    <row r="98" spans="1:15" ht="15.75" customHeight="1" x14ac:dyDescent="0.3">
      <c r="A98" s="57"/>
      <c r="B98" s="26"/>
      <c r="C98" s="26"/>
      <c r="D98" s="55"/>
      <c r="E98" s="26"/>
      <c r="F98" s="26"/>
      <c r="G98" s="26"/>
      <c r="H98" s="59" t="s">
        <v>301</v>
      </c>
      <c r="I98" s="114">
        <f t="shared" ref="I98:J98" si="133">+SUM(I94:I97)</f>
        <v>-1.1309589389130181E-4</v>
      </c>
      <c r="J98" s="39">
        <f t="shared" si="133"/>
        <v>63.217468212551786</v>
      </c>
      <c r="K98" s="26"/>
      <c r="L98" s="26"/>
      <c r="M98" s="26"/>
      <c r="O98" s="4"/>
    </row>
    <row r="99" spans="1:15" ht="15.75" customHeight="1" x14ac:dyDescent="0.3">
      <c r="A99" s="57"/>
      <c r="B99" s="26"/>
      <c r="C99" s="26"/>
      <c r="D99" s="55"/>
      <c r="E99" s="26"/>
      <c r="F99" s="26"/>
      <c r="G99" s="26"/>
      <c r="H99" s="26"/>
      <c r="I99" s="26"/>
      <c r="J99" s="26"/>
      <c r="K99" s="26"/>
      <c r="L99" s="26"/>
      <c r="M99" s="26"/>
      <c r="O99" s="4"/>
    </row>
    <row r="100" spans="1:15" ht="15.75" customHeight="1" x14ac:dyDescent="0.3">
      <c r="A100" s="694" t="str">
        <f t="shared" ref="A100:A102" si="134">A15</f>
        <v>CIRCUITO</v>
      </c>
      <c r="B100" s="680"/>
      <c r="C100" s="695" t="str">
        <f t="shared" ref="C100:E100" si="135">C15</f>
        <v>TRAMO</v>
      </c>
      <c r="D100" s="706" t="str">
        <f t="shared" si="135"/>
        <v>DIAM.(m)</v>
      </c>
      <c r="E100" s="695" t="str">
        <f t="shared" si="135"/>
        <v>LONG.(m)</v>
      </c>
      <c r="F100" s="697" t="s">
        <v>245</v>
      </c>
      <c r="G100" s="695" t="s">
        <v>249</v>
      </c>
      <c r="H100" s="695" t="s">
        <v>250</v>
      </c>
      <c r="I100" s="695" t="s">
        <v>252</v>
      </c>
      <c r="J100" s="695" t="s">
        <v>253</v>
      </c>
      <c r="K100" s="694" t="s">
        <v>254</v>
      </c>
      <c r="L100" s="680"/>
      <c r="M100" s="705" t="s">
        <v>245</v>
      </c>
      <c r="O100" s="695" t="s">
        <v>241</v>
      </c>
    </row>
    <row r="101" spans="1:15" ht="15.75" customHeight="1" x14ac:dyDescent="0.3">
      <c r="A101" s="34" t="str">
        <f t="shared" si="134"/>
        <v>PROPIO</v>
      </c>
      <c r="B101" s="34" t="str">
        <f>B16</f>
        <v>COMUN</v>
      </c>
      <c r="C101" s="696"/>
      <c r="D101" s="696"/>
      <c r="E101" s="696"/>
      <c r="F101" s="696"/>
      <c r="G101" s="696"/>
      <c r="H101" s="696"/>
      <c r="I101" s="696"/>
      <c r="J101" s="696"/>
      <c r="K101" s="34" t="s">
        <v>260</v>
      </c>
      <c r="L101" s="34" t="s">
        <v>258</v>
      </c>
      <c r="M101" s="696"/>
      <c r="O101" s="696"/>
    </row>
    <row r="102" spans="1:15" ht="15.75" customHeight="1" x14ac:dyDescent="0.3">
      <c r="A102" s="702" t="str">
        <f t="shared" si="134"/>
        <v>II</v>
      </c>
      <c r="B102" s="34"/>
      <c r="C102" s="38" t="str">
        <f t="shared" ref="C102:E102" si="136">C17</f>
        <v>HR</v>
      </c>
      <c r="D102" s="46">
        <f t="shared" si="136"/>
        <v>0.25</v>
      </c>
      <c r="E102" s="41">
        <f t="shared" si="136"/>
        <v>336</v>
      </c>
      <c r="F102" s="42">
        <f t="shared" ref="F102:F105" si="137">M85</f>
        <v>1.1001542099394837E-2</v>
      </c>
      <c r="G102" s="39">
        <f t="shared" ref="G102:G105" si="138">+F102*4/(3.1415*D102^2)</f>
        <v>0.22412818537681667</v>
      </c>
      <c r="H102" s="39">
        <f t="shared" ref="H102:H105" si="139">10.643*140^(-1.85)*D102^(-4.87)*ABS(F102)^1.85*IF(F102&lt;0,-1,1)</f>
        <v>2.319788809911256E-4</v>
      </c>
      <c r="I102" s="39">
        <f t="shared" ref="I102:I105" si="140">+H102*E102</f>
        <v>7.7944904013018207E-2</v>
      </c>
      <c r="J102" s="43">
        <f t="shared" ref="J102:J105" si="141">+I102/F102</f>
        <v>7.0849071256388436</v>
      </c>
      <c r="K102" s="42">
        <f>-I106/(J106*1.851)</f>
        <v>2.7155185056855823E-6</v>
      </c>
      <c r="L102" s="34"/>
      <c r="M102" s="75">
        <f t="shared" ref="M102:M105" si="142">+F102+K102+L102</f>
        <v>1.1004257617900522E-2</v>
      </c>
      <c r="O102" s="46">
        <f t="shared" ref="O102:O105" si="143">+D102</f>
        <v>0.25</v>
      </c>
    </row>
    <row r="103" spans="1:15" ht="15.75" customHeight="1" x14ac:dyDescent="0.3">
      <c r="A103" s="703"/>
      <c r="B103" s="41"/>
      <c r="C103" s="38" t="str">
        <f t="shared" ref="C103:E103" si="144">C18</f>
        <v>GH</v>
      </c>
      <c r="D103" s="39">
        <f t="shared" si="144"/>
        <v>0.3</v>
      </c>
      <c r="E103" s="41">
        <f t="shared" si="144"/>
        <v>224</v>
      </c>
      <c r="F103" s="42">
        <f t="shared" si="137"/>
        <v>-1.6044707900605176E-2</v>
      </c>
      <c r="G103" s="39">
        <f t="shared" si="138"/>
        <v>-0.22699287885270908</v>
      </c>
      <c r="H103" s="39">
        <f t="shared" si="139"/>
        <v>-1.9187153211483923E-4</v>
      </c>
      <c r="I103" s="39">
        <f t="shared" si="140"/>
        <v>-4.2979223193723985E-2</v>
      </c>
      <c r="J103" s="43">
        <f t="shared" si="141"/>
        <v>2.6787164627723072</v>
      </c>
      <c r="K103" s="42">
        <f>-I106/(J106*1.851)</f>
        <v>2.7155185056855823E-6</v>
      </c>
      <c r="L103" s="42"/>
      <c r="M103" s="75">
        <f t="shared" si="142"/>
        <v>-1.6041992382099489E-2</v>
      </c>
      <c r="O103" s="39">
        <f t="shared" si="143"/>
        <v>0.3</v>
      </c>
    </row>
    <row r="104" spans="1:15" ht="15.75" customHeight="1" x14ac:dyDescent="0.3">
      <c r="A104" s="703"/>
      <c r="B104" s="41"/>
      <c r="C104" s="38" t="str">
        <f t="shared" ref="C104:E104" si="145">C19</f>
        <v xml:space="preserve">RQ </v>
      </c>
      <c r="D104" s="39">
        <f t="shared" si="145"/>
        <v>0.35</v>
      </c>
      <c r="E104" s="41">
        <f t="shared" si="145"/>
        <v>224</v>
      </c>
      <c r="F104" s="42">
        <f t="shared" si="137"/>
        <v>0.16168779209939485</v>
      </c>
      <c r="G104" s="39">
        <f t="shared" si="138"/>
        <v>1.6805988778208238</v>
      </c>
      <c r="H104" s="39">
        <f t="shared" si="139"/>
        <v>6.5038227502527655E-3</v>
      </c>
      <c r="I104" s="39">
        <f t="shared" si="140"/>
        <v>1.4568562960566194</v>
      </c>
      <c r="J104" s="43">
        <f t="shared" si="141"/>
        <v>9.010304842068976</v>
      </c>
      <c r="K104" s="42">
        <f>-I106/(J106*1.851)</f>
        <v>2.7155185056855823E-6</v>
      </c>
      <c r="L104" s="42"/>
      <c r="M104" s="75">
        <f t="shared" si="142"/>
        <v>0.16169050761790055</v>
      </c>
      <c r="O104" s="39">
        <f t="shared" si="143"/>
        <v>0.35</v>
      </c>
    </row>
    <row r="105" spans="1:15" ht="15.75" customHeight="1" x14ac:dyDescent="0.3">
      <c r="A105" s="704"/>
      <c r="B105" s="41" t="str">
        <f t="shared" ref="B105:E105" si="146">B20</f>
        <v>I</v>
      </c>
      <c r="C105" s="38" t="str">
        <f t="shared" si="146"/>
        <v>GQ</v>
      </c>
      <c r="D105" s="64">
        <f t="shared" si="146"/>
        <v>0.35</v>
      </c>
      <c r="E105" s="65">
        <f t="shared" si="146"/>
        <v>336</v>
      </c>
      <c r="F105" s="42">
        <f t="shared" si="137"/>
        <v>-0.13154801744122338</v>
      </c>
      <c r="G105" s="39">
        <f t="shared" si="138"/>
        <v>-1.367323083707948</v>
      </c>
      <c r="H105" s="39">
        <f t="shared" si="139"/>
        <v>-4.440396876883271E-3</v>
      </c>
      <c r="I105" s="39">
        <f t="shared" si="140"/>
        <v>-1.491973350632779</v>
      </c>
      <c r="J105" s="43">
        <f t="shared" si="141"/>
        <v>11.341663520694286</v>
      </c>
      <c r="K105" s="90">
        <f>-I106/(J106*1.851)</f>
        <v>2.7155185056855823E-6</v>
      </c>
      <c r="L105" s="42">
        <f>-K96</f>
        <v>-9.6650325262394281E-7</v>
      </c>
      <c r="M105" s="75">
        <f t="shared" si="142"/>
        <v>-0.13154626842597031</v>
      </c>
      <c r="O105" s="64">
        <f t="shared" si="143"/>
        <v>0.35</v>
      </c>
    </row>
    <row r="106" spans="1:15" ht="15.75" customHeight="1" x14ac:dyDescent="0.3">
      <c r="A106" s="57"/>
      <c r="B106" s="26"/>
      <c r="C106" s="26"/>
      <c r="D106" s="26"/>
      <c r="E106" s="26"/>
      <c r="F106" s="26"/>
      <c r="G106" s="26"/>
      <c r="H106" s="59" t="s">
        <v>301</v>
      </c>
      <c r="I106" s="114">
        <f t="shared" ref="I106:J106" si="147">+SUM(I102:I105)</f>
        <v>-1.5137375686546939E-4</v>
      </c>
      <c r="J106" s="39">
        <f t="shared" si="147"/>
        <v>30.115591951174412</v>
      </c>
      <c r="K106" s="26"/>
      <c r="L106" s="26"/>
      <c r="M106" s="26"/>
    </row>
    <row r="107" spans="1:15" ht="15.75" customHeight="1" x14ac:dyDescent="0.3"/>
    <row r="108" spans="1:15" ht="15.75" customHeight="1" x14ac:dyDescent="0.3"/>
    <row r="109" spans="1:15" ht="15.75" customHeight="1" x14ac:dyDescent="0.3"/>
    <row r="110" spans="1:15" ht="15.75" customHeight="1" x14ac:dyDescent="0.3"/>
    <row r="111" spans="1:15" ht="15.75" customHeight="1" x14ac:dyDescent="0.3"/>
    <row r="112" spans="1:1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8">
    <mergeCell ref="E75:E76"/>
    <mergeCell ref="E92:E93"/>
    <mergeCell ref="I92:I93"/>
    <mergeCell ref="O100:O101"/>
    <mergeCell ref="O92:O93"/>
    <mergeCell ref="K49:L49"/>
    <mergeCell ref="I49:I50"/>
    <mergeCell ref="J83:J84"/>
    <mergeCell ref="K92:L92"/>
    <mergeCell ref="J66:J67"/>
    <mergeCell ref="M66:M67"/>
    <mergeCell ref="J75:J76"/>
    <mergeCell ref="M49:M50"/>
    <mergeCell ref="O58:O59"/>
    <mergeCell ref="O66:O67"/>
    <mergeCell ref="O75:O76"/>
    <mergeCell ref="M83:M84"/>
    <mergeCell ref="O83:O84"/>
    <mergeCell ref="I66:I67"/>
    <mergeCell ref="I58:I59"/>
    <mergeCell ref="I75:I76"/>
    <mergeCell ref="I83:I84"/>
    <mergeCell ref="K58:L58"/>
    <mergeCell ref="J58:J59"/>
    <mergeCell ref="K66:L66"/>
    <mergeCell ref="M75:M76"/>
    <mergeCell ref="K75:L75"/>
    <mergeCell ref="K83:L83"/>
    <mergeCell ref="H41:H42"/>
    <mergeCell ref="H66:H67"/>
    <mergeCell ref="G49:G50"/>
    <mergeCell ref="G66:G67"/>
    <mergeCell ref="E66:E67"/>
    <mergeCell ref="F66:F67"/>
    <mergeCell ref="G58:G59"/>
    <mergeCell ref="H49:H50"/>
    <mergeCell ref="A57:M57"/>
    <mergeCell ref="D66:D67"/>
    <mergeCell ref="A60:A63"/>
    <mergeCell ref="A66:B66"/>
    <mergeCell ref="A58:B58"/>
    <mergeCell ref="C58:C59"/>
    <mergeCell ref="H58:H59"/>
    <mergeCell ref="D58:D59"/>
    <mergeCell ref="E58:E59"/>
    <mergeCell ref="F58:F59"/>
    <mergeCell ref="M58:M59"/>
    <mergeCell ref="I41:I42"/>
    <mergeCell ref="J41:J42"/>
    <mergeCell ref="M41:M42"/>
    <mergeCell ref="K41:L41"/>
    <mergeCell ref="J49:J50"/>
    <mergeCell ref="C41:C42"/>
    <mergeCell ref="A43:A46"/>
    <mergeCell ref="A41:B41"/>
    <mergeCell ref="C49:C50"/>
    <mergeCell ref="D41:D42"/>
    <mergeCell ref="E49:E50"/>
    <mergeCell ref="F49:F50"/>
    <mergeCell ref="G41:G42"/>
    <mergeCell ref="F41:F42"/>
    <mergeCell ref="E41:E42"/>
    <mergeCell ref="H100:H101"/>
    <mergeCell ref="E100:E101"/>
    <mergeCell ref="A100:B100"/>
    <mergeCell ref="C100:C101"/>
    <mergeCell ref="D100:D101"/>
    <mergeCell ref="A102:A105"/>
    <mergeCell ref="F100:F101"/>
    <mergeCell ref="G100:G101"/>
    <mergeCell ref="A49:B49"/>
    <mergeCell ref="A51:A54"/>
    <mergeCell ref="D49:D50"/>
    <mergeCell ref="C75:C76"/>
    <mergeCell ref="D75:D76"/>
    <mergeCell ref="A94:A97"/>
    <mergeCell ref="D83:D84"/>
    <mergeCell ref="C66:C67"/>
    <mergeCell ref="F83:F84"/>
    <mergeCell ref="A74:M74"/>
    <mergeCell ref="F75:F76"/>
    <mergeCell ref="G75:G76"/>
    <mergeCell ref="J100:J101"/>
    <mergeCell ref="I100:I101"/>
    <mergeCell ref="M100:M101"/>
    <mergeCell ref="K100:L100"/>
    <mergeCell ref="F15:F16"/>
    <mergeCell ref="M15:M16"/>
    <mergeCell ref="K15:L15"/>
    <mergeCell ref="A17:A20"/>
    <mergeCell ref="C7:C8"/>
    <mergeCell ref="H92:H93"/>
    <mergeCell ref="A91:M91"/>
    <mergeCell ref="M92:M93"/>
    <mergeCell ref="A92:B92"/>
    <mergeCell ref="H83:H84"/>
    <mergeCell ref="H75:H76"/>
    <mergeCell ref="J92:J93"/>
    <mergeCell ref="C92:C93"/>
    <mergeCell ref="D92:D93"/>
    <mergeCell ref="A77:A80"/>
    <mergeCell ref="A85:A88"/>
    <mergeCell ref="C83:C84"/>
    <mergeCell ref="F92:F93"/>
    <mergeCell ref="G92:G93"/>
    <mergeCell ref="G83:G84"/>
    <mergeCell ref="A68:A71"/>
    <mergeCell ref="A83:B83"/>
    <mergeCell ref="A75:B75"/>
    <mergeCell ref="E83:E84"/>
    <mergeCell ref="I32:I33"/>
    <mergeCell ref="M24:M25"/>
    <mergeCell ref="J32:J33"/>
    <mergeCell ref="M32:M33"/>
    <mergeCell ref="K32:L32"/>
    <mergeCell ref="A6:M6"/>
    <mergeCell ref="E7:E8"/>
    <mergeCell ref="D7:D8"/>
    <mergeCell ref="I15:I16"/>
    <mergeCell ref="H32:H33"/>
    <mergeCell ref="H24:H25"/>
    <mergeCell ref="H7:H8"/>
    <mergeCell ref="J7:J8"/>
    <mergeCell ref="I7:I8"/>
    <mergeCell ref="H15:H16"/>
    <mergeCell ref="J15:J16"/>
    <mergeCell ref="G32:G33"/>
    <mergeCell ref="E32:E33"/>
    <mergeCell ref="F32:F33"/>
    <mergeCell ref="M7:M8"/>
    <mergeCell ref="K7:L7"/>
    <mergeCell ref="D15:D16"/>
    <mergeCell ref="E15:E16"/>
    <mergeCell ref="G15:G16"/>
    <mergeCell ref="A2:M2"/>
    <mergeCell ref="N91:O91"/>
    <mergeCell ref="A7:B7"/>
    <mergeCell ref="G7:G8"/>
    <mergeCell ref="F7:F8"/>
    <mergeCell ref="A24:B24"/>
    <mergeCell ref="K24:L24"/>
    <mergeCell ref="A23:M23"/>
    <mergeCell ref="A32:B32"/>
    <mergeCell ref="C32:C33"/>
    <mergeCell ref="A9:A12"/>
    <mergeCell ref="A40:M40"/>
    <mergeCell ref="A26:A29"/>
    <mergeCell ref="A34:A37"/>
    <mergeCell ref="D32:D33"/>
    <mergeCell ref="E24:E25"/>
    <mergeCell ref="G24:G25"/>
    <mergeCell ref="C24:C25"/>
    <mergeCell ref="C15:C16"/>
    <mergeCell ref="A15:B15"/>
    <mergeCell ref="F24:F25"/>
    <mergeCell ref="D24:D25"/>
    <mergeCell ref="J24:J25"/>
    <mergeCell ref="I24:I2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DD4"/>
  </sheetPr>
  <dimension ref="A1:P1000"/>
  <sheetViews>
    <sheetView topLeftCell="A13" zoomScaleNormal="100" workbookViewId="0">
      <selection activeCell="G7" sqref="G7"/>
    </sheetView>
  </sheetViews>
  <sheetFormatPr baseColWidth="10" defaultColWidth="14.44140625" defaultRowHeight="15" customHeight="1" x14ac:dyDescent="0.3"/>
  <cols>
    <col min="1" max="1" width="20.5546875" customWidth="1"/>
    <col min="2" max="2" width="7.88671875" customWidth="1"/>
    <col min="3" max="3" width="18.44140625" customWidth="1"/>
    <col min="4" max="4" width="10.6640625" customWidth="1"/>
    <col min="5" max="5" width="11.109375" customWidth="1"/>
    <col min="6" max="6" width="14.88671875" customWidth="1"/>
    <col min="7" max="7" width="29.44140625" customWidth="1"/>
    <col min="8" max="8" width="12.6640625" customWidth="1"/>
    <col min="9" max="9" width="14.109375" customWidth="1"/>
    <col min="10" max="10" width="11.44140625" customWidth="1"/>
    <col min="11" max="12" width="10.6640625" customWidth="1"/>
    <col min="13" max="13" width="15.44140625" customWidth="1"/>
    <col min="14" max="26" width="10.6640625" customWidth="1"/>
  </cols>
  <sheetData>
    <row r="1" spans="1:16" ht="20.25" customHeight="1" thickBot="1" x14ac:dyDescent="0.45">
      <c r="A1" s="708" t="s">
        <v>1002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</row>
    <row r="2" spans="1:16" thickBot="1" x14ac:dyDescent="0.35">
      <c r="A2" s="712" t="s">
        <v>218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4"/>
      <c r="M2" s="1"/>
    </row>
    <row r="3" spans="1:16" ht="14.4" x14ac:dyDescent="0.3">
      <c r="A3" s="723" t="s">
        <v>221</v>
      </c>
      <c r="B3" s="724"/>
      <c r="C3" s="467">
        <f>+'DATOS Y SISTEMA IMPULSIÓN RÍO'!B3*'DATOS Y SISTEMA IMPULSIÓN RÍO'!B4</f>
        <v>72</v>
      </c>
      <c r="D3" s="466" t="s">
        <v>9</v>
      </c>
      <c r="E3" s="267">
        <f>+C3/12</f>
        <v>6</v>
      </c>
      <c r="F3" s="267"/>
      <c r="G3" s="267"/>
    </row>
    <row r="4" spans="1:16" ht="33.75" customHeight="1" x14ac:dyDescent="0.3">
      <c r="A4" s="725" t="s">
        <v>224</v>
      </c>
      <c r="B4" s="726"/>
      <c r="C4" s="468">
        <f>+C5/C3</f>
        <v>2.146527777777778</v>
      </c>
      <c r="D4" s="469" t="s">
        <v>227</v>
      </c>
      <c r="E4" s="267"/>
      <c r="F4" s="267"/>
      <c r="G4" s="470">
        <v>20</v>
      </c>
      <c r="J4" t="s">
        <v>232</v>
      </c>
    </row>
    <row r="5" spans="1:16" ht="14.4" x14ac:dyDescent="0.3">
      <c r="A5" s="727" t="s">
        <v>233</v>
      </c>
      <c r="B5" s="728"/>
      <c r="C5" s="468">
        <f>+'DATOS Y SISTEMA IMPULSIÓN RÍO'!B17</f>
        <v>154.55000000000001</v>
      </c>
      <c r="D5" s="471" t="s">
        <v>236</v>
      </c>
      <c r="E5" s="472"/>
      <c r="F5" s="418"/>
      <c r="G5" s="473"/>
      <c r="K5" s="297" t="s">
        <v>60</v>
      </c>
      <c r="L5" s="474">
        <f>+'DATOS Y SISTEMA IMPULSIÓN RÍO'!B20</f>
        <v>1.2</v>
      </c>
    </row>
    <row r="6" spans="1:16" ht="14.4" x14ac:dyDescent="0.3">
      <c r="A6" s="727" t="s">
        <v>248</v>
      </c>
      <c r="B6" s="728"/>
      <c r="C6" s="468">
        <f>L5*C5</f>
        <v>185.46</v>
      </c>
      <c r="D6" s="471" t="s">
        <v>236</v>
      </c>
      <c r="E6" s="472">
        <f t="shared" ref="E6:E7" si="0">+(C6*3600*2)/(1000)+90</f>
        <v>1425.3119999999999</v>
      </c>
      <c r="F6" s="418" t="s">
        <v>256</v>
      </c>
      <c r="G6" s="473">
        <f>E6/(PI()*(G4/2)^2)</f>
        <v>4.5369090049639098</v>
      </c>
      <c r="J6" s="35">
        <f>+G7+0.3</f>
        <v>6.962124058663159</v>
      </c>
      <c r="K6" s="297" t="s">
        <v>61</v>
      </c>
      <c r="L6" s="474">
        <f>+'DATOS Y SISTEMA IMPULSIÓN RÍO'!B21</f>
        <v>1.5</v>
      </c>
    </row>
    <row r="7" spans="1:16" ht="14.4" x14ac:dyDescent="0.3">
      <c r="A7" s="727" t="s">
        <v>259</v>
      </c>
      <c r="B7" s="728"/>
      <c r="C7" s="468">
        <f>ROUND(L6*C6,3)</f>
        <v>278.19</v>
      </c>
      <c r="D7" s="471" t="s">
        <v>236</v>
      </c>
      <c r="E7" s="472">
        <f t="shared" si="0"/>
        <v>2092.9679999999998</v>
      </c>
      <c r="F7" s="418" t="s">
        <v>256</v>
      </c>
      <c r="G7" s="473">
        <f>E7/(PI()*(G4/2)^2)</f>
        <v>6.6621240586631592</v>
      </c>
      <c r="J7" s="40"/>
    </row>
    <row r="8" spans="1:16" thickBot="1" x14ac:dyDescent="0.35">
      <c r="A8" s="715" t="s">
        <v>266</v>
      </c>
      <c r="B8" s="716"/>
      <c r="C8" s="716"/>
      <c r="D8" s="716"/>
      <c r="E8" s="33">
        <f>+E7-E6</f>
        <v>667.65599999999995</v>
      </c>
      <c r="F8" s="418" t="s">
        <v>256</v>
      </c>
      <c r="G8" s="473">
        <f>E8/(PI()*(G4/2)^2)</f>
        <v>2.1252150536992493</v>
      </c>
      <c r="H8" t="s">
        <v>268</v>
      </c>
      <c r="J8" s="44">
        <f>Presiones!J16</f>
        <v>10.46</v>
      </c>
    </row>
    <row r="9" spans="1:16" ht="14.4" x14ac:dyDescent="0.3">
      <c r="A9" s="717" t="s">
        <v>270</v>
      </c>
      <c r="B9" s="718"/>
      <c r="C9" s="718"/>
      <c r="D9" s="718"/>
      <c r="E9" s="718"/>
      <c r="F9" s="718"/>
      <c r="G9" s="718"/>
      <c r="H9" s="718"/>
      <c r="I9" s="718"/>
      <c r="J9" s="718"/>
      <c r="K9" s="718"/>
      <c r="L9" s="718"/>
      <c r="M9" s="45" t="s">
        <v>271</v>
      </c>
      <c r="N9" s="47">
        <f t="shared" ref="N9:O9" si="1">+$C$7-G16-G18</f>
        <v>0</v>
      </c>
      <c r="O9" s="47">
        <f t="shared" si="1"/>
        <v>0</v>
      </c>
    </row>
    <row r="10" spans="1:16" ht="40.799999999999997" thickBot="1" x14ac:dyDescent="0.35">
      <c r="A10" s="48" t="s">
        <v>276</v>
      </c>
      <c r="B10" s="49" t="s">
        <v>279</v>
      </c>
      <c r="C10" s="50" t="s">
        <v>281</v>
      </c>
      <c r="D10" s="51" t="s">
        <v>285</v>
      </c>
      <c r="E10" s="50" t="s">
        <v>286</v>
      </c>
      <c r="F10" s="50" t="s">
        <v>287</v>
      </c>
      <c r="G10" s="50" t="s">
        <v>288</v>
      </c>
      <c r="H10" s="52" t="s">
        <v>289</v>
      </c>
      <c r="I10" s="53" t="s">
        <v>290</v>
      </c>
      <c r="J10" s="54" t="s">
        <v>291</v>
      </c>
      <c r="K10" s="54" t="s">
        <v>293</v>
      </c>
      <c r="L10" s="48" t="s">
        <v>294</v>
      </c>
      <c r="M10" s="48" t="s">
        <v>295</v>
      </c>
      <c r="N10" s="26"/>
      <c r="O10" s="55"/>
      <c r="P10" s="55"/>
    </row>
    <row r="11" spans="1:16" ht="14.4" x14ac:dyDescent="0.3">
      <c r="A11" s="719" t="s">
        <v>262</v>
      </c>
      <c r="B11" s="58" t="s">
        <v>299</v>
      </c>
      <c r="C11" s="475">
        <f>11+100+12+100+1</f>
        <v>224</v>
      </c>
      <c r="D11" s="476">
        <v>7</v>
      </c>
      <c r="E11" s="477">
        <f t="shared" ref="E11:E18" si="2">D11*$C$4*$L$5*$L$6</f>
        <v>27.046250000000008</v>
      </c>
      <c r="F11" s="478">
        <v>0</v>
      </c>
      <c r="G11" s="479">
        <f>+E11+F11</f>
        <v>27.046250000000008</v>
      </c>
      <c r="H11" s="480">
        <f t="shared" ref="H11:H15" si="3">+G11</f>
        <v>27.046250000000008</v>
      </c>
      <c r="I11" s="481">
        <f t="shared" ref="I11:I17" si="4">+SQRT((4*H11/1000)/(3.14*1.2))*1000</f>
        <v>169.44473449095176</v>
      </c>
      <c r="J11" s="482">
        <f>+IF(I11&lt;=200,200,IF(I11&lt;=250,250,IF(I11&lt;=300,300,IF(I11&lt;=350,350,350))))</f>
        <v>200</v>
      </c>
      <c r="K11" s="476">
        <v>200</v>
      </c>
      <c r="L11" s="483">
        <f t="shared" ref="L11:L18" si="5">+K11/1000</f>
        <v>0.2</v>
      </c>
      <c r="M11" s="484">
        <f t="shared" ref="M11:M18" si="6">(H11/1000)/((PI()*(K11/1000)^2)/4)</f>
        <v>0.860908875919835</v>
      </c>
      <c r="N11" t="str">
        <f t="shared" ref="N11:N18" si="7">IF((M11&lt;=0.6),"DISMINUIR EL DIAMETRO ADOPTADO"," ")</f>
        <v xml:space="preserve"> </v>
      </c>
      <c r="O11" s="55"/>
      <c r="P11" s="55"/>
    </row>
    <row r="12" spans="1:16" ht="14.4" x14ac:dyDescent="0.3">
      <c r="A12" s="720"/>
      <c r="B12" s="62" t="s">
        <v>613</v>
      </c>
      <c r="C12" s="485">
        <f>11+100+12+100+12+100+1</f>
        <v>336</v>
      </c>
      <c r="D12" s="485">
        <v>13</v>
      </c>
      <c r="E12" s="477">
        <f t="shared" si="2"/>
        <v>50.228749999999998</v>
      </c>
      <c r="F12" s="486">
        <f>+G11</f>
        <v>27.046250000000008</v>
      </c>
      <c r="G12" s="487">
        <f t="shared" ref="G12:G16" si="8">+E12+F12</f>
        <v>77.275000000000006</v>
      </c>
      <c r="H12" s="488">
        <f t="shared" si="3"/>
        <v>77.275000000000006</v>
      </c>
      <c r="I12" s="482">
        <f t="shared" si="4"/>
        <v>286.41387659274335</v>
      </c>
      <c r="J12" s="482">
        <f t="shared" ref="J12:J18" si="9">+IF(I12&lt;=200,200,IF(I12&lt;=250,250,IF(I12&lt;=300,300,IF(I12&lt;=350,350,350))))</f>
        <v>300</v>
      </c>
      <c r="K12" s="485">
        <v>300</v>
      </c>
      <c r="L12" s="489">
        <f t="shared" si="5"/>
        <v>0.3</v>
      </c>
      <c r="M12" s="490">
        <f t="shared" si="6"/>
        <v>1.0932176202156634</v>
      </c>
      <c r="N12" t="str">
        <f t="shared" si="7"/>
        <v xml:space="preserve"> </v>
      </c>
    </row>
    <row r="13" spans="1:16" ht="14.4" x14ac:dyDescent="0.3">
      <c r="A13" s="720"/>
      <c r="B13" s="62" t="s">
        <v>372</v>
      </c>
      <c r="C13" s="485">
        <f>11+100+12+100+1</f>
        <v>224</v>
      </c>
      <c r="D13" s="485">
        <v>6</v>
      </c>
      <c r="E13" s="477">
        <f t="shared" si="2"/>
        <v>23.182500000000005</v>
      </c>
      <c r="F13" s="488">
        <f t="shared" ref="F13" si="10">+G12</f>
        <v>77.275000000000006</v>
      </c>
      <c r="G13" s="487">
        <f t="shared" si="8"/>
        <v>100.45750000000001</v>
      </c>
      <c r="H13" s="488">
        <f t="shared" si="3"/>
        <v>100.45750000000001</v>
      </c>
      <c r="I13" s="482">
        <f t="shared" si="4"/>
        <v>326.56206349842319</v>
      </c>
      <c r="J13" s="482">
        <f t="shared" si="9"/>
        <v>350</v>
      </c>
      <c r="K13" s="485">
        <v>350</v>
      </c>
      <c r="L13" s="489">
        <f t="shared" si="5"/>
        <v>0.35</v>
      </c>
      <c r="M13" s="490">
        <f t="shared" si="6"/>
        <v>1.0441343801243481</v>
      </c>
      <c r="N13" t="str">
        <f t="shared" si="7"/>
        <v xml:space="preserve"> </v>
      </c>
    </row>
    <row r="14" spans="1:16" thickBot="1" x14ac:dyDescent="0.35">
      <c r="A14" s="720"/>
      <c r="B14" s="66" t="s">
        <v>611</v>
      </c>
      <c r="C14" s="491">
        <f>11+100+12+100+12+100+1</f>
        <v>336</v>
      </c>
      <c r="D14" s="491">
        <v>13</v>
      </c>
      <c r="E14" s="492">
        <f t="shared" si="2"/>
        <v>50.228749999999998</v>
      </c>
      <c r="F14" s="493">
        <v>0</v>
      </c>
      <c r="G14" s="494">
        <f t="shared" si="8"/>
        <v>50.228749999999998</v>
      </c>
      <c r="H14" s="493">
        <f t="shared" si="3"/>
        <v>50.228749999999998</v>
      </c>
      <c r="I14" s="495">
        <f t="shared" si="4"/>
        <v>230.91424957800697</v>
      </c>
      <c r="J14" s="482">
        <f t="shared" si="9"/>
        <v>250</v>
      </c>
      <c r="K14" s="491">
        <v>250</v>
      </c>
      <c r="L14" s="496">
        <f t="shared" si="5"/>
        <v>0.25</v>
      </c>
      <c r="M14" s="497">
        <f t="shared" si="6"/>
        <v>1.0232516925218609</v>
      </c>
      <c r="N14" t="str">
        <f t="shared" si="7"/>
        <v xml:space="preserve"> </v>
      </c>
    </row>
    <row r="15" spans="1:16" ht="14.4" x14ac:dyDescent="0.3">
      <c r="A15" s="721" t="s">
        <v>282</v>
      </c>
      <c r="B15" s="58" t="s">
        <v>612</v>
      </c>
      <c r="C15" s="475">
        <f t="shared" ref="C15:C17" si="11">+C14</f>
        <v>336</v>
      </c>
      <c r="D15" s="498">
        <f>+D18</f>
        <v>13</v>
      </c>
      <c r="E15" s="499">
        <f t="shared" si="2"/>
        <v>50.228749999999998</v>
      </c>
      <c r="F15" s="500">
        <v>0</v>
      </c>
      <c r="G15" s="479">
        <f t="shared" si="8"/>
        <v>50.228749999999998</v>
      </c>
      <c r="H15" s="480">
        <f t="shared" si="3"/>
        <v>50.228749999999998</v>
      </c>
      <c r="I15" s="481">
        <f t="shared" si="4"/>
        <v>230.91424957800697</v>
      </c>
      <c r="J15" s="482">
        <f t="shared" si="9"/>
        <v>250</v>
      </c>
      <c r="K15" s="476">
        <v>250</v>
      </c>
      <c r="L15" s="483">
        <f t="shared" si="5"/>
        <v>0.25</v>
      </c>
      <c r="M15" s="484">
        <f t="shared" si="6"/>
        <v>1.0232516925218609</v>
      </c>
      <c r="N15" t="str">
        <f t="shared" si="7"/>
        <v xml:space="preserve"> </v>
      </c>
    </row>
    <row r="16" spans="1:16" ht="14.4" x14ac:dyDescent="0.3">
      <c r="A16" s="720"/>
      <c r="B16" s="62" t="s">
        <v>609</v>
      </c>
      <c r="C16" s="485">
        <f>+C11</f>
        <v>224</v>
      </c>
      <c r="D16" s="501">
        <v>7</v>
      </c>
      <c r="E16" s="502">
        <f t="shared" si="2"/>
        <v>27.046250000000008</v>
      </c>
      <c r="F16" s="503">
        <f>+G15</f>
        <v>50.228749999999998</v>
      </c>
      <c r="G16" s="487">
        <f t="shared" si="8"/>
        <v>77.275000000000006</v>
      </c>
      <c r="H16" s="488">
        <f>+G16+$N$9*0.5</f>
        <v>77.275000000000006</v>
      </c>
      <c r="I16" s="482">
        <f t="shared" si="4"/>
        <v>286.41387659274335</v>
      </c>
      <c r="J16" s="482">
        <f t="shared" si="9"/>
        <v>300</v>
      </c>
      <c r="K16" s="485">
        <v>300</v>
      </c>
      <c r="L16" s="489">
        <f t="shared" si="5"/>
        <v>0.3</v>
      </c>
      <c r="M16" s="490">
        <f t="shared" si="6"/>
        <v>1.0932176202156634</v>
      </c>
      <c r="N16" t="str">
        <f t="shared" si="7"/>
        <v xml:space="preserve"> </v>
      </c>
    </row>
    <row r="17" spans="1:14" ht="14.4" x14ac:dyDescent="0.3">
      <c r="A17" s="720"/>
      <c r="B17" s="62" t="s">
        <v>372</v>
      </c>
      <c r="C17" s="485">
        <f t="shared" si="11"/>
        <v>224</v>
      </c>
      <c r="D17" s="501">
        <v>0</v>
      </c>
      <c r="E17" s="502">
        <f t="shared" si="2"/>
        <v>0</v>
      </c>
      <c r="F17" s="503">
        <f t="shared" ref="F17:H17" si="12">+F13</f>
        <v>77.275000000000006</v>
      </c>
      <c r="G17" s="504">
        <f t="shared" si="12"/>
        <v>100.45750000000001</v>
      </c>
      <c r="H17" s="488">
        <f t="shared" si="12"/>
        <v>100.45750000000001</v>
      </c>
      <c r="I17" s="482">
        <f t="shared" si="4"/>
        <v>326.56206349842319</v>
      </c>
      <c r="J17" s="482">
        <f t="shared" si="9"/>
        <v>350</v>
      </c>
      <c r="K17" s="505">
        <v>350</v>
      </c>
      <c r="L17" s="489">
        <f t="shared" si="5"/>
        <v>0.35</v>
      </c>
      <c r="M17" s="490">
        <f t="shared" si="6"/>
        <v>1.0441343801243481</v>
      </c>
      <c r="N17" t="str">
        <f t="shared" si="7"/>
        <v xml:space="preserve"> </v>
      </c>
    </row>
    <row r="18" spans="1:14" thickBot="1" x14ac:dyDescent="0.35">
      <c r="A18" s="722"/>
      <c r="B18" s="66" t="s">
        <v>610</v>
      </c>
      <c r="C18" s="491">
        <f>+C12</f>
        <v>336</v>
      </c>
      <c r="D18" s="506">
        <v>13</v>
      </c>
      <c r="E18" s="507">
        <f t="shared" si="2"/>
        <v>50.228749999999998</v>
      </c>
      <c r="F18" s="508">
        <f>G13+G14</f>
        <v>150.68625</v>
      </c>
      <c r="G18" s="504">
        <f>+E18+F18</f>
        <v>200.91499999999999</v>
      </c>
      <c r="H18" s="488">
        <f>+G18-$N$9*0.5</f>
        <v>200.91499999999999</v>
      </c>
      <c r="I18" s="495">
        <f>+I13</f>
        <v>326.56206349842319</v>
      </c>
      <c r="J18" s="482">
        <f t="shared" si="9"/>
        <v>350</v>
      </c>
      <c r="K18" s="491">
        <v>350</v>
      </c>
      <c r="L18" s="496">
        <f t="shared" si="5"/>
        <v>0.35</v>
      </c>
      <c r="M18" s="497">
        <f t="shared" si="6"/>
        <v>2.0882687602486958</v>
      </c>
      <c r="N18" t="str">
        <f t="shared" si="7"/>
        <v xml:space="preserve"> </v>
      </c>
    </row>
    <row r="19" spans="1:14" ht="14.4" x14ac:dyDescent="0.3">
      <c r="D19" s="266">
        <f>SUM(D11:D18)</f>
        <v>72</v>
      </c>
      <c r="E19" s="97">
        <f>ROUND(SUM(E11:E18),3)</f>
        <v>278.19</v>
      </c>
      <c r="F19" s="97">
        <f>+F14+F11</f>
        <v>0</v>
      </c>
      <c r="G19" s="97">
        <f>+G14+G11</f>
        <v>77.275000000000006</v>
      </c>
      <c r="H19" s="97">
        <f t="shared" ref="H19" si="13">+H14+H11</f>
        <v>77.275000000000006</v>
      </c>
      <c r="K19" t="s">
        <v>393</v>
      </c>
    </row>
    <row r="20" spans="1:14" ht="14.4" x14ac:dyDescent="0.3">
      <c r="C20" s="267">
        <f>+C4*86400</f>
        <v>185460.00000000003</v>
      </c>
      <c r="D20" s="511" t="str">
        <f>+IF(D19=C3,"Verifica","Revisar")</f>
        <v>Verifica</v>
      </c>
      <c r="E20" s="511" t="str">
        <f>+IF(ROUND(E19=C7,3),"Verifica","Revisar")</f>
        <v>Verifica</v>
      </c>
      <c r="F20" s="97">
        <f>+F16+F18</f>
        <v>200.91499999999999</v>
      </c>
      <c r="G20" s="97">
        <f t="shared" ref="G20:H20" si="14">ROUND(G16+G18,3)</f>
        <v>278.19</v>
      </c>
      <c r="H20" s="97">
        <f t="shared" si="14"/>
        <v>278.19</v>
      </c>
      <c r="K20" s="69" t="s">
        <v>399</v>
      </c>
    </row>
    <row r="21" spans="1:14" ht="15.75" customHeight="1" x14ac:dyDescent="0.3">
      <c r="C21" s="510" t="s">
        <v>1003</v>
      </c>
      <c r="D21" s="710">
        <f>K16</f>
        <v>300</v>
      </c>
      <c r="E21" s="711"/>
      <c r="F21" s="97"/>
      <c r="G21" s="511" t="str">
        <f>+IF(G20=C7,"Verifica","Revisar")</f>
        <v>Verifica</v>
      </c>
      <c r="H21" s="511" t="str">
        <f>+IF(H20=C7,"Verifica","Revisar")</f>
        <v>Verifica</v>
      </c>
      <c r="K21" s="70"/>
    </row>
    <row r="22" spans="1:14" ht="15.75" customHeight="1" x14ac:dyDescent="0.3">
      <c r="D22" s="266"/>
      <c r="E22" s="266"/>
      <c r="F22" s="267"/>
      <c r="G22" s="267"/>
      <c r="H22" s="509">
        <f>0.8*H20</f>
        <v>222.55200000000002</v>
      </c>
      <c r="K22" s="72">
        <v>50</v>
      </c>
    </row>
    <row r="23" spans="1:14" ht="15.75" customHeight="1" x14ac:dyDescent="0.3">
      <c r="F23" s="10"/>
      <c r="K23" s="72">
        <v>65</v>
      </c>
    </row>
    <row r="24" spans="1:14" ht="15.75" customHeight="1" x14ac:dyDescent="0.3">
      <c r="C24" s="28"/>
      <c r="D24" s="73">
        <f>K18</f>
        <v>350</v>
      </c>
      <c r="E24" s="117">
        <f>K15</f>
        <v>250</v>
      </c>
      <c r="K24" s="72">
        <v>75</v>
      </c>
    </row>
    <row r="25" spans="1:14" ht="15.75" customHeight="1" x14ac:dyDescent="0.3">
      <c r="F25" s="73"/>
      <c r="K25" s="72">
        <v>100</v>
      </c>
    </row>
    <row r="26" spans="1:14" ht="15.75" customHeight="1" x14ac:dyDescent="0.3">
      <c r="G26" s="8"/>
      <c r="H26" s="143"/>
      <c r="I26" s="143"/>
      <c r="K26" s="72">
        <v>150</v>
      </c>
    </row>
    <row r="27" spans="1:14" ht="15.75" customHeight="1" x14ac:dyDescent="0.3">
      <c r="G27" s="117" t="str">
        <f>N16</f>
        <v xml:space="preserve"> </v>
      </c>
      <c r="H27" s="143"/>
      <c r="I27" s="71" t="str">
        <f>N14</f>
        <v xml:space="preserve"> </v>
      </c>
      <c r="K27" s="147">
        <v>200</v>
      </c>
    </row>
    <row r="28" spans="1:14" ht="15.75" customHeight="1" x14ac:dyDescent="0.3">
      <c r="D28" s="145"/>
      <c r="E28" s="9"/>
      <c r="G28" s="143"/>
      <c r="H28" s="143"/>
      <c r="I28" s="143"/>
      <c r="K28" s="148">
        <v>250</v>
      </c>
    </row>
    <row r="29" spans="1:14" ht="15.75" customHeight="1" x14ac:dyDescent="0.3">
      <c r="D29" s="145"/>
      <c r="E29" s="9"/>
      <c r="F29" s="266">
        <f>K17</f>
        <v>350</v>
      </c>
      <c r="G29" s="143"/>
      <c r="H29" s="143"/>
      <c r="I29" s="143"/>
      <c r="K29" s="148">
        <v>300</v>
      </c>
    </row>
    <row r="30" spans="1:14" ht="15.75" customHeight="1" x14ac:dyDescent="0.3">
      <c r="D30" s="73">
        <f>K14</f>
        <v>250</v>
      </c>
      <c r="E30" s="146">
        <f>K12</f>
        <v>300</v>
      </c>
      <c r="G30" s="143"/>
      <c r="H30" s="143"/>
      <c r="I30" s="143"/>
      <c r="K30" s="149">
        <v>350</v>
      </c>
    </row>
    <row r="31" spans="1:14" ht="15.75" customHeight="1" x14ac:dyDescent="0.3">
      <c r="G31" s="28"/>
      <c r="H31" s="143"/>
      <c r="I31" s="71"/>
      <c r="K31" s="74"/>
    </row>
    <row r="32" spans="1:14" ht="15.75" customHeight="1" x14ac:dyDescent="0.3">
      <c r="G32" s="117"/>
      <c r="H32" s="143"/>
      <c r="I32" s="71"/>
    </row>
    <row r="33" spans="4:9" ht="15.75" customHeight="1" x14ac:dyDescent="0.3">
      <c r="G33" s="143"/>
      <c r="H33" s="143"/>
      <c r="I33" s="73"/>
    </row>
    <row r="34" spans="4:9" ht="15.75" customHeight="1" x14ac:dyDescent="0.3">
      <c r="D34" s="710">
        <f>K11</f>
        <v>200</v>
      </c>
      <c r="E34" s="710"/>
      <c r="G34" s="143"/>
      <c r="H34" s="143"/>
      <c r="I34" s="144"/>
    </row>
    <row r="35" spans="4:9" ht="15.75" customHeight="1" x14ac:dyDescent="0.3">
      <c r="G35" s="143"/>
      <c r="H35" s="73"/>
      <c r="I35" s="71"/>
    </row>
    <row r="36" spans="4:9" ht="15.75" customHeight="1" x14ac:dyDescent="0.3">
      <c r="G36" s="143"/>
      <c r="H36" s="143"/>
      <c r="I36" s="143"/>
    </row>
    <row r="37" spans="4:9" ht="15.75" customHeight="1" x14ac:dyDescent="0.3">
      <c r="G37" s="143"/>
      <c r="H37" s="143"/>
      <c r="I37" s="143"/>
    </row>
    <row r="38" spans="4:9" ht="15.75" customHeight="1" x14ac:dyDescent="0.3"/>
    <row r="39" spans="4:9" ht="15.75" customHeight="1" x14ac:dyDescent="0.3"/>
    <row r="40" spans="4:9" ht="15.75" customHeight="1" x14ac:dyDescent="0.3"/>
    <row r="41" spans="4:9" ht="15.75" customHeight="1" x14ac:dyDescent="0.3"/>
    <row r="42" spans="4:9" ht="15.75" customHeight="1" x14ac:dyDescent="0.3"/>
    <row r="43" spans="4:9" ht="15.75" customHeight="1" x14ac:dyDescent="0.3"/>
    <row r="44" spans="4:9" ht="15.75" customHeight="1" x14ac:dyDescent="0.3"/>
    <row r="45" spans="4:9" ht="15.75" customHeight="1" x14ac:dyDescent="0.3"/>
    <row r="46" spans="4:9" ht="15.75" customHeight="1" x14ac:dyDescent="0.3"/>
    <row r="47" spans="4:9" ht="15.75" customHeight="1" x14ac:dyDescent="0.3"/>
    <row r="48" spans="4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1:L1"/>
    <mergeCell ref="D34:E34"/>
    <mergeCell ref="D21:E21"/>
    <mergeCell ref="A2:L2"/>
    <mergeCell ref="A8:D8"/>
    <mergeCell ref="A9:L9"/>
    <mergeCell ref="A11:A14"/>
    <mergeCell ref="A15:A18"/>
    <mergeCell ref="A3:B3"/>
    <mergeCell ref="A4:B4"/>
    <mergeCell ref="A5:B5"/>
    <mergeCell ref="A6:B6"/>
    <mergeCell ref="A7:B7"/>
  </mergeCells>
  <conditionalFormatting sqref="M11:M18">
    <cfRule type="cellIs" dxfId="0" priority="1" operator="greaterThan">
      <formula>0.6</formula>
    </cfRule>
  </conditionalFormatting>
  <conditionalFormatting sqref="M11:M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DD4"/>
  </sheetPr>
  <dimension ref="A1:N1000"/>
  <sheetViews>
    <sheetView zoomScale="95" workbookViewId="0">
      <selection activeCell="J16" sqref="J16"/>
    </sheetView>
  </sheetViews>
  <sheetFormatPr baseColWidth="10" defaultColWidth="14.44140625" defaultRowHeight="15" customHeight="1" x14ac:dyDescent="0.3"/>
  <cols>
    <col min="1" max="1" width="10.6640625" customWidth="1"/>
    <col min="2" max="2" width="18.109375" customWidth="1"/>
    <col min="3" max="9" width="10.6640625" customWidth="1"/>
    <col min="10" max="10" width="12" customWidth="1"/>
    <col min="11" max="11" width="18.44140625" customWidth="1"/>
    <col min="12" max="26" width="10.6640625" customWidth="1"/>
  </cols>
  <sheetData>
    <row r="1" spans="1:14" ht="24" customHeight="1" x14ac:dyDescent="0.45">
      <c r="A1" s="729" t="s">
        <v>1004</v>
      </c>
      <c r="B1" s="729"/>
      <c r="C1" s="729"/>
      <c r="D1" s="729"/>
      <c r="E1" s="729"/>
      <c r="F1" s="729"/>
      <c r="G1" s="729"/>
      <c r="H1" s="729"/>
      <c r="I1" s="729"/>
      <c r="J1" s="729"/>
    </row>
    <row r="2" spans="1:14" ht="14.4" x14ac:dyDescent="0.3">
      <c r="A2" s="741" t="s">
        <v>400</v>
      </c>
      <c r="B2" s="699"/>
      <c r="C2" s="699"/>
      <c r="D2" s="699"/>
      <c r="E2" s="699"/>
      <c r="F2" s="699"/>
      <c r="G2" s="699"/>
      <c r="H2" s="699"/>
      <c r="I2" s="699"/>
      <c r="J2" s="700"/>
      <c r="M2" s="332" t="s">
        <v>401</v>
      </c>
    </row>
    <row r="3" spans="1:14" ht="14.4" x14ac:dyDescent="0.3">
      <c r="A3" s="738" t="s">
        <v>402</v>
      </c>
      <c r="B3" s="738" t="s">
        <v>240</v>
      </c>
      <c r="C3" s="740" t="s">
        <v>403</v>
      </c>
      <c r="D3" s="697" t="s">
        <v>404</v>
      </c>
      <c r="E3" s="739" t="s">
        <v>405</v>
      </c>
      <c r="F3" s="697" t="s">
        <v>250</v>
      </c>
      <c r="G3" s="697" t="s">
        <v>406</v>
      </c>
      <c r="H3" s="738" t="s">
        <v>407</v>
      </c>
      <c r="I3" s="697" t="s">
        <v>408</v>
      </c>
      <c r="J3" s="737" t="s">
        <v>409</v>
      </c>
      <c r="M3" s="735" t="s">
        <v>405</v>
      </c>
    </row>
    <row r="4" spans="1:14" ht="14.4" x14ac:dyDescent="0.3">
      <c r="A4" s="696"/>
      <c r="B4" s="696"/>
      <c r="C4" s="696"/>
      <c r="D4" s="696"/>
      <c r="E4" s="696"/>
      <c r="F4" s="696"/>
      <c r="G4" s="696"/>
      <c r="H4" s="696"/>
      <c r="I4" s="696"/>
      <c r="J4" s="696"/>
      <c r="M4" s="736"/>
    </row>
    <row r="5" spans="1:14" ht="14.4" x14ac:dyDescent="0.3">
      <c r="A5" s="695" t="s">
        <v>262</v>
      </c>
      <c r="B5" s="76" t="s">
        <v>410</v>
      </c>
      <c r="C5" s="731">
        <f>'Datos Inic'!L11</f>
        <v>0.2</v>
      </c>
      <c r="D5" s="733">
        <f>'Datos Inic'!C11</f>
        <v>224</v>
      </c>
      <c r="E5" s="734">
        <f>+M5</f>
        <v>1.891052604387089E-2</v>
      </c>
      <c r="F5" s="732">
        <f>10.643*140^(-1.85)*C5^(-4.87)*ABS(E5)^1.85*IF(E5&lt;0,-1,1)</f>
        <v>1.8733235629420045E-3</v>
      </c>
      <c r="G5" s="732">
        <f>+F5*D5</f>
        <v>0.41962447809900899</v>
      </c>
      <c r="H5" s="77">
        <f>+H6+G5</f>
        <v>105.07007485507403</v>
      </c>
      <c r="I5" s="514">
        <v>94</v>
      </c>
      <c r="J5" s="79">
        <f>+H5-I5</f>
        <v>11.070074855074026</v>
      </c>
      <c r="L5" s="80" t="s">
        <v>411</v>
      </c>
      <c r="M5" s="75">
        <f>+Caudales!M94</f>
        <v>1.891052604387089E-2</v>
      </c>
      <c r="N5" s="31" t="s">
        <v>412</v>
      </c>
    </row>
    <row r="6" spans="1:14" ht="14.4" x14ac:dyDescent="0.3">
      <c r="A6" s="701"/>
      <c r="B6" s="76" t="s">
        <v>413</v>
      </c>
      <c r="C6" s="696"/>
      <c r="D6" s="696"/>
      <c r="E6" s="696"/>
      <c r="F6" s="696"/>
      <c r="G6" s="696"/>
      <c r="H6" s="82">
        <f>+H7</f>
        <v>104.65045037697502</v>
      </c>
      <c r="I6" s="514">
        <v>92</v>
      </c>
      <c r="J6" s="79">
        <f>+H6-I6</f>
        <v>12.650450376975016</v>
      </c>
      <c r="M6" s="75">
        <f>+Caudales!M95</f>
        <v>-8.5410723956129128E-2</v>
      </c>
    </row>
    <row r="7" spans="1:14" ht="14.4" x14ac:dyDescent="0.3">
      <c r="A7" s="701"/>
      <c r="B7" s="76" t="s">
        <v>413</v>
      </c>
      <c r="C7" s="731">
        <f>'Datos Inic'!L12</f>
        <v>0.3</v>
      </c>
      <c r="D7" s="733">
        <f>'Datos Inic'!C12</f>
        <v>336</v>
      </c>
      <c r="E7" s="734">
        <f>+M6</f>
        <v>-8.5410723956129128E-2</v>
      </c>
      <c r="F7" s="732">
        <f>10.643*140^(-1.85)*C7^(-4.87)*ABS(E7)^1.85*IF(E7&lt;0,-1,1)</f>
        <v>-4.2310156455747311E-3</v>
      </c>
      <c r="G7" s="732">
        <f>+F7*D7</f>
        <v>-1.4216212569131097</v>
      </c>
      <c r="H7" s="77">
        <f>+H8+G7</f>
        <v>104.65045037697502</v>
      </c>
      <c r="I7" s="84">
        <f>+I6</f>
        <v>92</v>
      </c>
      <c r="J7" s="79">
        <f t="shared" ref="J7:J15" si="0">+H7-I7</f>
        <v>12.650450376975016</v>
      </c>
      <c r="M7" s="75">
        <f>+Caudales!M96</f>
        <v>3.1088768425970373E-2</v>
      </c>
    </row>
    <row r="8" spans="1:14" ht="14.4" x14ac:dyDescent="0.3">
      <c r="A8" s="701"/>
      <c r="B8" s="76" t="s">
        <v>414</v>
      </c>
      <c r="C8" s="696"/>
      <c r="D8" s="696"/>
      <c r="E8" s="696"/>
      <c r="F8" s="696"/>
      <c r="G8" s="696"/>
      <c r="H8" s="82">
        <f>+H9</f>
        <v>106.07207163388813</v>
      </c>
      <c r="I8" s="514">
        <v>94</v>
      </c>
      <c r="J8" s="79">
        <f t="shared" si="0"/>
        <v>12.072071633888129</v>
      </c>
      <c r="M8" s="75">
        <f>+Caudales!M97</f>
        <v>4.2093026043870878E-2</v>
      </c>
    </row>
    <row r="9" spans="1:14" ht="14.4" x14ac:dyDescent="0.3">
      <c r="A9" s="701"/>
      <c r="B9" s="76" t="s">
        <v>414</v>
      </c>
      <c r="C9" s="731">
        <f>'Datos Inic'!L13</f>
        <v>0.35</v>
      </c>
      <c r="D9" s="733">
        <f>'Datos Inic'!C13</f>
        <v>224</v>
      </c>
      <c r="E9" s="734">
        <f>+M7</f>
        <v>3.1088768425970373E-2</v>
      </c>
      <c r="F9" s="732">
        <f>10.643*140^(-1.85)*C9^(-4.87)*ABS(E9)^1.85*IF(E9&lt;0,-1,1)</f>
        <v>3.0791605097983129E-4</v>
      </c>
      <c r="G9" s="732">
        <f>+F9*D9</f>
        <v>6.8973195419482214E-2</v>
      </c>
      <c r="H9" s="77">
        <f>+H10+G9</f>
        <v>106.07207163388813</v>
      </c>
      <c r="I9" s="84">
        <f>+I8</f>
        <v>94</v>
      </c>
      <c r="J9" s="79">
        <f t="shared" si="0"/>
        <v>12.072071633888129</v>
      </c>
      <c r="M9" s="87"/>
    </row>
    <row r="10" spans="1:14" ht="14.4" x14ac:dyDescent="0.3">
      <c r="A10" s="701"/>
      <c r="B10" s="76" t="s">
        <v>415</v>
      </c>
      <c r="C10" s="696"/>
      <c r="D10" s="696"/>
      <c r="E10" s="696"/>
      <c r="F10" s="696"/>
      <c r="G10" s="696"/>
      <c r="H10" s="82">
        <f>+H11</f>
        <v>106.00309843846864</v>
      </c>
      <c r="I10" s="514">
        <v>96</v>
      </c>
      <c r="J10" s="79">
        <f t="shared" si="0"/>
        <v>10.003098438468641</v>
      </c>
      <c r="M10" s="87"/>
    </row>
    <row r="11" spans="1:14" ht="14.4" x14ac:dyDescent="0.3">
      <c r="A11" s="701"/>
      <c r="B11" s="76" t="s">
        <v>415</v>
      </c>
      <c r="C11" s="731">
        <f>'Datos Inic'!L14</f>
        <v>0.25</v>
      </c>
      <c r="D11" s="733">
        <f>'Datos Inic'!C14</f>
        <v>336</v>
      </c>
      <c r="E11" s="734">
        <f>+M8</f>
        <v>4.2093026043870878E-2</v>
      </c>
      <c r="F11" s="732">
        <f>10.643*140^(-1.85)*C11^(-4.87)*ABS(E11)^1.85*IF(E11&lt;0,-1,1)</f>
        <v>2.7768225520639501E-3</v>
      </c>
      <c r="G11" s="732">
        <f>+F11*D11</f>
        <v>0.9330123774934872</v>
      </c>
      <c r="H11" s="77">
        <f>+H18</f>
        <v>106.00309843846864</v>
      </c>
      <c r="I11" s="84">
        <f>+I10</f>
        <v>96</v>
      </c>
      <c r="J11" s="79">
        <f t="shared" si="0"/>
        <v>10.003098438468641</v>
      </c>
      <c r="M11" s="87"/>
    </row>
    <row r="12" spans="1:14" ht="14.4" x14ac:dyDescent="0.3">
      <c r="A12" s="696"/>
      <c r="B12" s="76" t="s">
        <v>410</v>
      </c>
      <c r="C12" s="696"/>
      <c r="D12" s="696"/>
      <c r="E12" s="696"/>
      <c r="F12" s="696"/>
      <c r="G12" s="696"/>
      <c r="H12" s="82">
        <f>+H11-G11</f>
        <v>105.07008606097516</v>
      </c>
      <c r="I12" s="84">
        <f>+I5</f>
        <v>94</v>
      </c>
      <c r="J12" s="79">
        <f t="shared" si="0"/>
        <v>11.070086060975157</v>
      </c>
      <c r="K12" s="11">
        <f>+SUM(G5:G12)</f>
        <v>-1.1205901131239315E-5</v>
      </c>
      <c r="M12" s="87"/>
    </row>
    <row r="13" spans="1:14" ht="14.4" x14ac:dyDescent="0.3">
      <c r="A13" s="695" t="s">
        <v>282</v>
      </c>
      <c r="B13" s="76" t="s">
        <v>414</v>
      </c>
      <c r="C13" s="731">
        <f>'Datos Inic'!L15</f>
        <v>0.25</v>
      </c>
      <c r="D13" s="733">
        <f>'Datos Inic'!C15</f>
        <v>336</v>
      </c>
      <c r="E13" s="734">
        <f>+M14</f>
        <v>1.1004257617900522E-2</v>
      </c>
      <c r="F13" s="732">
        <f>10.643*140^(-1.85)*C13^(-4.87)*ABS(E13)^1.85*IF(E13&lt;0,-1,1)</f>
        <v>2.3208482220266456E-4</v>
      </c>
      <c r="G13" s="732">
        <f>+F13*D13</f>
        <v>7.7980500260095287E-2</v>
      </c>
      <c r="H13" s="77">
        <f>+H14+G13</f>
        <v>107.49501473319104</v>
      </c>
      <c r="I13" s="84">
        <f>+I8</f>
        <v>94</v>
      </c>
      <c r="J13" s="79">
        <f t="shared" si="0"/>
        <v>13.495014733191042</v>
      </c>
      <c r="K13" s="11"/>
      <c r="M13" s="87"/>
    </row>
    <row r="14" spans="1:14" ht="14.4" x14ac:dyDescent="0.3">
      <c r="A14" s="701"/>
      <c r="B14" s="76" t="s">
        <v>416</v>
      </c>
      <c r="C14" s="696"/>
      <c r="D14" s="696"/>
      <c r="E14" s="696"/>
      <c r="F14" s="696"/>
      <c r="G14" s="696"/>
      <c r="H14" s="82">
        <f>+H15</f>
        <v>107.41703423293094</v>
      </c>
      <c r="I14" s="514">
        <v>95</v>
      </c>
      <c r="J14" s="79">
        <f t="shared" si="0"/>
        <v>12.417034232930945</v>
      </c>
      <c r="K14" s="11"/>
      <c r="L14" s="80" t="s">
        <v>411</v>
      </c>
      <c r="M14" s="81">
        <f>Caudales!M102</f>
        <v>1.1004257617900522E-2</v>
      </c>
      <c r="N14" s="31" t="s">
        <v>412</v>
      </c>
    </row>
    <row r="15" spans="1:14" ht="14.4" x14ac:dyDescent="0.3">
      <c r="A15" s="701"/>
      <c r="B15" s="76" t="s">
        <v>416</v>
      </c>
      <c r="C15" s="731">
        <f>'Datos Inic'!L16</f>
        <v>0.3</v>
      </c>
      <c r="D15" s="733">
        <f>'Datos Inic'!C16</f>
        <v>224</v>
      </c>
      <c r="E15" s="734">
        <f>+M15</f>
        <v>-1.6041992382099489E-2</v>
      </c>
      <c r="F15" s="732">
        <f>10.643*140^(-1.85)*C15^(-4.87)*ABS(E15)^1.85*IF(E15&lt;0,-1,1)</f>
        <v>-1.9181146012976373E-4</v>
      </c>
      <c r="G15" s="732">
        <f>+F15*D15</f>
        <v>-4.2965767069067073E-2</v>
      </c>
      <c r="H15" s="77">
        <f>+H16+G15</f>
        <v>107.41703423293094</v>
      </c>
      <c r="I15" s="84">
        <f>+I14</f>
        <v>95</v>
      </c>
      <c r="J15" s="79">
        <f t="shared" si="0"/>
        <v>12.417034232930945</v>
      </c>
      <c r="K15" s="11"/>
      <c r="M15" s="81">
        <f>Caudales!M103</f>
        <v>-1.6041992382099489E-2</v>
      </c>
    </row>
    <row r="16" spans="1:14" ht="14.4" x14ac:dyDescent="0.3">
      <c r="A16" s="701"/>
      <c r="B16" s="76" t="s">
        <v>417</v>
      </c>
      <c r="C16" s="696"/>
      <c r="D16" s="696"/>
      <c r="E16" s="696"/>
      <c r="F16" s="696"/>
      <c r="G16" s="696"/>
      <c r="H16" s="82">
        <f>+I16+J16</f>
        <v>107.46000000000001</v>
      </c>
      <c r="I16" s="514">
        <v>97</v>
      </c>
      <c r="J16" s="513">
        <v>10.46</v>
      </c>
      <c r="K16" s="10" t="s">
        <v>418</v>
      </c>
      <c r="M16" s="81">
        <f>Caudales!M104</f>
        <v>0.16169050761790055</v>
      </c>
    </row>
    <row r="17" spans="1:13" ht="14.4" x14ac:dyDescent="0.3">
      <c r="A17" s="701"/>
      <c r="B17" s="76" t="s">
        <v>417</v>
      </c>
      <c r="C17" s="731">
        <f>'Datos Inic'!L17</f>
        <v>0.35</v>
      </c>
      <c r="D17" s="733">
        <f>'Datos Inic'!C17</f>
        <v>224</v>
      </c>
      <c r="E17" s="734">
        <f>+M16</f>
        <v>0.16169050761790055</v>
      </c>
      <c r="F17" s="732">
        <f>10.643*140^(-1.85)*C17^(-4.87)*ABS(E17)^1.85*IF(E17&lt;0,-1,1)</f>
        <v>6.5040248282650136E-3</v>
      </c>
      <c r="G17" s="732">
        <f>+F17*D17</f>
        <v>1.456901561531363</v>
      </c>
      <c r="H17" s="77">
        <f t="shared" ref="H17:I17" si="1">+H16</f>
        <v>107.46000000000001</v>
      </c>
      <c r="I17" s="84">
        <f t="shared" si="1"/>
        <v>97</v>
      </c>
      <c r="J17" s="79">
        <f t="shared" ref="J17:J20" si="2">+H17-I17</f>
        <v>10.460000000000008</v>
      </c>
      <c r="K17" s="11"/>
      <c r="M17" s="81">
        <f>Caudales!M105</f>
        <v>-0.13154626842597031</v>
      </c>
    </row>
    <row r="18" spans="1:13" ht="14.4" x14ac:dyDescent="0.3">
      <c r="A18" s="701"/>
      <c r="B18" s="76" t="s">
        <v>415</v>
      </c>
      <c r="C18" s="696"/>
      <c r="D18" s="696"/>
      <c r="E18" s="696"/>
      <c r="F18" s="696"/>
      <c r="G18" s="696"/>
      <c r="H18" s="82">
        <f>+H17-G17</f>
        <v>106.00309843846864</v>
      </c>
      <c r="I18" s="84">
        <f>+I10</f>
        <v>96</v>
      </c>
      <c r="J18" s="79">
        <f t="shared" si="2"/>
        <v>10.003098438468641</v>
      </c>
      <c r="K18" s="11"/>
      <c r="M18" s="92"/>
    </row>
    <row r="19" spans="1:13" ht="14.4" x14ac:dyDescent="0.3">
      <c r="A19" s="701"/>
      <c r="B19" s="76" t="s">
        <v>415</v>
      </c>
      <c r="C19" s="731">
        <f>'Datos Inic'!L18</f>
        <v>0.35</v>
      </c>
      <c r="D19" s="733">
        <f>'Datos Inic'!C18</f>
        <v>336</v>
      </c>
      <c r="E19" s="734">
        <f>+M17</f>
        <v>-0.13154626842597031</v>
      </c>
      <c r="F19" s="732">
        <f>10.643*140^(-1.85)*C19^(-4.87)*ABS(E19)^1.85*IF(E19&lt;0,-1,1)</f>
        <v>-4.4402876573408773E-3</v>
      </c>
      <c r="G19" s="732">
        <f>+F19*D19</f>
        <v>-1.4919366528665348</v>
      </c>
      <c r="H19" s="77">
        <f t="shared" ref="H19:I19" si="3">+H18</f>
        <v>106.00309843846864</v>
      </c>
      <c r="I19" s="84">
        <f t="shared" si="3"/>
        <v>96</v>
      </c>
      <c r="J19" s="79">
        <f t="shared" si="2"/>
        <v>10.003098438468641</v>
      </c>
      <c r="K19" s="11"/>
      <c r="M19" s="92"/>
    </row>
    <row r="20" spans="1:13" ht="14.4" x14ac:dyDescent="0.3">
      <c r="A20" s="696"/>
      <c r="B20" s="76" t="s">
        <v>414</v>
      </c>
      <c r="C20" s="696"/>
      <c r="D20" s="696"/>
      <c r="E20" s="696"/>
      <c r="F20" s="696"/>
      <c r="G20" s="696"/>
      <c r="H20" s="82">
        <f>+H19-G19</f>
        <v>107.49503509133517</v>
      </c>
      <c r="I20" s="84">
        <f>+I8</f>
        <v>94</v>
      </c>
      <c r="J20" s="79">
        <f t="shared" si="2"/>
        <v>13.495035091335168</v>
      </c>
      <c r="K20" s="11">
        <f>+SUM(G13:G20)</f>
        <v>-2.0358144143584056E-5</v>
      </c>
      <c r="M20" s="93"/>
    </row>
    <row r="21" spans="1:13" ht="15.75" customHeight="1" x14ac:dyDescent="0.3">
      <c r="B21" s="730" t="s">
        <v>419</v>
      </c>
      <c r="C21" s="730"/>
      <c r="D21" s="730"/>
      <c r="E21" s="730"/>
      <c r="F21" s="730"/>
      <c r="G21" s="730"/>
      <c r="I21" s="94" t="s">
        <v>420</v>
      </c>
      <c r="J21" s="95">
        <f>+MAX(J5:J20)</f>
        <v>13.495035091335168</v>
      </c>
      <c r="K21" s="96"/>
    </row>
    <row r="22" spans="1:13" ht="15.75" customHeight="1" x14ac:dyDescent="0.3">
      <c r="I22" s="94" t="s">
        <v>421</v>
      </c>
      <c r="J22" s="115">
        <f>+MIN(J5:J20)</f>
        <v>10.003098438468641</v>
      </c>
      <c r="K22" s="116" t="s">
        <v>422</v>
      </c>
    </row>
    <row r="23" spans="1:13" ht="15.75" customHeight="1" x14ac:dyDescent="0.3">
      <c r="I23" s="9" t="s">
        <v>423</v>
      </c>
      <c r="J23" s="97">
        <f>+J21-J22</f>
        <v>3.4919366528665279</v>
      </c>
    </row>
    <row r="24" spans="1:13" ht="15.75" customHeight="1" x14ac:dyDescent="0.3">
      <c r="D24" s="73"/>
      <c r="I24" s="98" t="s">
        <v>424</v>
      </c>
      <c r="J24" s="512" t="str">
        <f>+IF(J22&gt;=10,"VERIFICA","NO VERIFICA")</f>
        <v>VERIFICA</v>
      </c>
    </row>
    <row r="25" spans="1:13" ht="15.75" customHeight="1" x14ac:dyDescent="0.3">
      <c r="B25" s="117"/>
      <c r="D25" s="12"/>
      <c r="I25" s="98"/>
      <c r="J25" s="99"/>
      <c r="K25" s="5"/>
    </row>
    <row r="26" spans="1:13" ht="15.75" customHeight="1" x14ac:dyDescent="0.3">
      <c r="D26" s="515" t="s">
        <v>1003</v>
      </c>
      <c r="E26" s="8"/>
      <c r="F26" s="73"/>
    </row>
    <row r="27" spans="1:13" ht="15.75" customHeight="1" x14ac:dyDescent="0.3">
      <c r="D27" s="117">
        <f>I16</f>
        <v>97</v>
      </c>
      <c r="E27" s="10"/>
      <c r="G27" s="73">
        <f>I14</f>
        <v>95</v>
      </c>
    </row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>
      <c r="E31" s="8"/>
    </row>
    <row r="32" spans="1:13" ht="15.75" customHeight="1" x14ac:dyDescent="0.3">
      <c r="B32" s="117"/>
      <c r="D32" s="71"/>
      <c r="F32" s="73"/>
    </row>
    <row r="33" spans="4:7" ht="15.75" customHeight="1" x14ac:dyDescent="0.3">
      <c r="D33" s="28">
        <f>I10</f>
        <v>96</v>
      </c>
      <c r="G33" s="73">
        <f>I8</f>
        <v>94</v>
      </c>
    </row>
    <row r="34" spans="4:7" ht="15.75" customHeight="1" x14ac:dyDescent="0.3">
      <c r="D34" s="144"/>
    </row>
    <row r="35" spans="4:7" ht="15.75" customHeight="1" x14ac:dyDescent="0.3"/>
    <row r="36" spans="4:7" ht="15.75" customHeight="1" x14ac:dyDescent="0.3"/>
    <row r="37" spans="4:7" ht="15.75" customHeight="1" x14ac:dyDescent="0.3"/>
    <row r="38" spans="4:7" ht="15.75" customHeight="1" x14ac:dyDescent="0.3"/>
    <row r="39" spans="4:7" ht="15.75" customHeight="1" x14ac:dyDescent="0.3">
      <c r="D39" s="146">
        <f>I5</f>
        <v>94</v>
      </c>
      <c r="G39" s="73">
        <f>I6</f>
        <v>92</v>
      </c>
    </row>
    <row r="40" spans="4:7" ht="15.75" customHeight="1" x14ac:dyDescent="0.3"/>
    <row r="41" spans="4:7" ht="15.75" customHeight="1" x14ac:dyDescent="0.3"/>
    <row r="42" spans="4:7" ht="15.75" customHeight="1" x14ac:dyDescent="0.3"/>
    <row r="43" spans="4:7" ht="15.75" customHeight="1" x14ac:dyDescent="0.3"/>
    <row r="44" spans="4:7" ht="15.75" customHeight="1" x14ac:dyDescent="0.3"/>
    <row r="45" spans="4:7" ht="15.75" customHeight="1" x14ac:dyDescent="0.3"/>
    <row r="46" spans="4:7" ht="15.75" customHeight="1" x14ac:dyDescent="0.3"/>
    <row r="47" spans="4:7" ht="15.75" customHeight="1" x14ac:dyDescent="0.3"/>
    <row r="48" spans="4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6">
    <mergeCell ref="G11:G12"/>
    <mergeCell ref="C7:C8"/>
    <mergeCell ref="D5:D6"/>
    <mergeCell ref="C9:C10"/>
    <mergeCell ref="A2:J2"/>
    <mergeCell ref="E9:E10"/>
    <mergeCell ref="F9:F10"/>
    <mergeCell ref="G9:G10"/>
    <mergeCell ref="F7:F8"/>
    <mergeCell ref="F5:F6"/>
    <mergeCell ref="E17:E18"/>
    <mergeCell ref="E3:E4"/>
    <mergeCell ref="A13:A20"/>
    <mergeCell ref="A5:A12"/>
    <mergeCell ref="A3:A4"/>
    <mergeCell ref="B3:B4"/>
    <mergeCell ref="E11:E12"/>
    <mergeCell ref="E13:E14"/>
    <mergeCell ref="E7:E8"/>
    <mergeCell ref="E5:E6"/>
    <mergeCell ref="C19:C20"/>
    <mergeCell ref="C3:C4"/>
    <mergeCell ref="D3:D4"/>
    <mergeCell ref="D7:D8"/>
    <mergeCell ref="D13:D14"/>
    <mergeCell ref="C5:C6"/>
    <mergeCell ref="C17:C18"/>
    <mergeCell ref="D17:D18"/>
    <mergeCell ref="D11:D12"/>
    <mergeCell ref="D9:D10"/>
    <mergeCell ref="C11:C12"/>
    <mergeCell ref="C13:C14"/>
    <mergeCell ref="M3:M4"/>
    <mergeCell ref="G5:G6"/>
    <mergeCell ref="G7:G8"/>
    <mergeCell ref="F3:F4"/>
    <mergeCell ref="G3:G4"/>
    <mergeCell ref="J3:J4"/>
    <mergeCell ref="I3:I4"/>
    <mergeCell ref="H3:H4"/>
    <mergeCell ref="A1:J1"/>
    <mergeCell ref="B21:G21"/>
    <mergeCell ref="C15:C16"/>
    <mergeCell ref="F19:F20"/>
    <mergeCell ref="G19:G20"/>
    <mergeCell ref="G17:G18"/>
    <mergeCell ref="D15:D16"/>
    <mergeCell ref="F15:F16"/>
    <mergeCell ref="E15:E16"/>
    <mergeCell ref="F17:F18"/>
    <mergeCell ref="G15:G16"/>
    <mergeCell ref="E19:E20"/>
    <mergeCell ref="D19:D20"/>
    <mergeCell ref="G13:G14"/>
    <mergeCell ref="F11:F12"/>
    <mergeCell ref="F13:F14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3"/>
  <sheetViews>
    <sheetView zoomScaleNormal="100" workbookViewId="0">
      <selection activeCell="B20" sqref="B20"/>
    </sheetView>
  </sheetViews>
  <sheetFormatPr baseColWidth="10" defaultRowHeight="14.4" x14ac:dyDescent="0.3"/>
  <cols>
    <col min="1" max="1" width="30.109375" customWidth="1"/>
    <col min="2" max="2" width="28.6640625" customWidth="1"/>
    <col min="15" max="15" width="13.33203125" customWidth="1"/>
    <col min="16" max="16" width="17.33203125" customWidth="1"/>
    <col min="17" max="17" width="14" customWidth="1"/>
    <col min="25" max="25" width="13.109375" customWidth="1"/>
  </cols>
  <sheetData>
    <row r="1" spans="1:25" ht="21.6" thickBot="1" x14ac:dyDescent="0.45">
      <c r="A1" s="743" t="s">
        <v>1005</v>
      </c>
      <c r="B1" s="744"/>
      <c r="C1" s="745"/>
      <c r="D1" s="151"/>
      <c r="E1" s="151"/>
      <c r="F1" s="151"/>
      <c r="G1" s="151"/>
      <c r="H1" s="151"/>
      <c r="I1" s="151"/>
      <c r="J1" s="151"/>
      <c r="K1" s="151"/>
      <c r="L1" s="150"/>
      <c r="M1" s="150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3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0"/>
      <c r="M2" s="150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5" x14ac:dyDescent="0.3">
      <c r="A3" s="518" t="s">
        <v>614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0"/>
      <c r="M3" s="150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spans="1:25" x14ac:dyDescent="0.3">
      <c r="A4" s="746" t="s">
        <v>615</v>
      </c>
      <c r="B4" s="746"/>
      <c r="C4" s="746"/>
      <c r="D4" s="151"/>
      <c r="E4" s="151"/>
      <c r="F4" s="151"/>
      <c r="G4" s="151"/>
      <c r="H4" s="151"/>
      <c r="I4" s="151"/>
      <c r="J4" s="151"/>
      <c r="K4" s="151"/>
      <c r="L4" s="150"/>
      <c r="M4" s="150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spans="1:25" x14ac:dyDescent="0.3">
      <c r="A5" s="516" t="s">
        <v>224</v>
      </c>
      <c r="B5" s="517">
        <f>'Datos Inic'!C4</f>
        <v>2.146527777777778</v>
      </c>
      <c r="C5" s="519" t="s">
        <v>227</v>
      </c>
      <c r="D5" s="151"/>
      <c r="E5" s="151"/>
      <c r="F5" s="151"/>
      <c r="G5" s="151"/>
      <c r="H5" s="151"/>
      <c r="I5" s="151"/>
      <c r="J5" s="151"/>
      <c r="K5" s="151"/>
      <c r="L5" s="150"/>
      <c r="M5" s="150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3">
      <c r="A6" s="153" t="s">
        <v>616</v>
      </c>
      <c r="B6" s="154">
        <v>80</v>
      </c>
      <c r="C6" s="520" t="s">
        <v>22</v>
      </c>
      <c r="D6" s="151"/>
      <c r="E6" s="151"/>
      <c r="F6" s="151"/>
      <c r="G6" s="151"/>
      <c r="H6" s="151"/>
      <c r="I6" s="151"/>
      <c r="J6" s="151"/>
      <c r="K6" s="151"/>
      <c r="L6" s="150"/>
      <c r="M6" s="150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spans="1:25" x14ac:dyDescent="0.3">
      <c r="A7" s="153" t="s">
        <v>60</v>
      </c>
      <c r="B7" s="155">
        <f>'Datos Inic'!L5</f>
        <v>1.2</v>
      </c>
      <c r="C7" s="520"/>
      <c r="D7" s="151"/>
      <c r="E7" s="151"/>
      <c r="F7" s="151"/>
      <c r="G7" s="151"/>
      <c r="H7" s="151"/>
      <c r="I7" s="151"/>
      <c r="J7" s="151"/>
      <c r="K7" s="151"/>
      <c r="L7" s="150"/>
      <c r="M7" s="150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3">
      <c r="A8" s="153" t="s">
        <v>61</v>
      </c>
      <c r="B8" s="155">
        <f>'Datos Inic'!L6</f>
        <v>1.5</v>
      </c>
      <c r="C8" s="520"/>
      <c r="D8" s="151"/>
      <c r="E8" s="151"/>
      <c r="F8" s="151"/>
      <c r="G8" s="151"/>
      <c r="H8" s="151"/>
      <c r="I8" s="151"/>
      <c r="J8" s="151"/>
      <c r="K8" s="151"/>
      <c r="L8" s="150"/>
      <c r="M8" s="150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</row>
    <row r="9" spans="1:25" x14ac:dyDescent="0.3">
      <c r="A9" s="153" t="s">
        <v>617</v>
      </c>
      <c r="B9" s="155">
        <f>+SUM(C24:C98)</f>
        <v>4084</v>
      </c>
      <c r="C9" s="520" t="s">
        <v>41</v>
      </c>
      <c r="D9" s="151"/>
      <c r="E9" s="151"/>
      <c r="F9" s="151"/>
      <c r="G9" s="151"/>
      <c r="H9" s="151"/>
      <c r="I9" s="151"/>
      <c r="J9" s="151"/>
      <c r="K9" s="151"/>
      <c r="L9" s="150"/>
      <c r="M9" s="150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spans="1:25" x14ac:dyDescent="0.3">
      <c r="A10" s="153" t="s">
        <v>618</v>
      </c>
      <c r="B10" s="156">
        <f>+B5*B6/100*B7*B8</f>
        <v>3.0910000000000002</v>
      </c>
      <c r="C10" s="520" t="s">
        <v>227</v>
      </c>
      <c r="D10" s="151"/>
      <c r="E10" s="157"/>
      <c r="F10" s="151"/>
      <c r="G10" s="158"/>
      <c r="H10" s="151"/>
      <c r="I10" s="151"/>
      <c r="J10" s="151"/>
      <c r="K10" s="151"/>
      <c r="L10" s="150"/>
      <c r="M10" s="150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</row>
    <row r="11" spans="1:25" ht="15" thickBot="1" x14ac:dyDescent="0.35">
      <c r="A11" s="153" t="s">
        <v>619</v>
      </c>
      <c r="B11" s="155">
        <v>0.05</v>
      </c>
      <c r="C11" s="520" t="s">
        <v>620</v>
      </c>
      <c r="D11" s="159"/>
      <c r="E11" s="157"/>
      <c r="F11" s="151"/>
      <c r="G11" s="151"/>
      <c r="H11" s="151"/>
      <c r="I11" s="151"/>
      <c r="J11" s="151"/>
      <c r="K11" s="151"/>
      <c r="L11" s="150"/>
      <c r="M11" s="150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</row>
    <row r="12" spans="1:25" x14ac:dyDescent="0.3">
      <c r="A12" s="152" t="s">
        <v>621</v>
      </c>
      <c r="B12" s="160">
        <f>(F94+E94)/1000</f>
        <v>0.23512020000000006</v>
      </c>
      <c r="C12" s="268" t="s">
        <v>24</v>
      </c>
      <c r="D12" s="151"/>
      <c r="E12" s="151"/>
      <c r="F12" s="151"/>
      <c r="G12" s="151"/>
      <c r="H12" s="151"/>
      <c r="I12" s="151"/>
      <c r="J12" s="151"/>
      <c r="K12" s="151"/>
      <c r="L12" s="150"/>
      <c r="M12" s="150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</row>
    <row r="13" spans="1:25" x14ac:dyDescent="0.3">
      <c r="A13" s="153"/>
      <c r="B13" s="155">
        <f>B12*1000</f>
        <v>235.12020000000007</v>
      </c>
      <c r="C13" s="520" t="s">
        <v>26</v>
      </c>
      <c r="D13" s="151"/>
      <c r="E13" s="157"/>
      <c r="F13" s="151"/>
      <c r="G13" s="151"/>
      <c r="H13" s="151"/>
      <c r="I13" s="151"/>
      <c r="J13" s="151"/>
      <c r="K13" s="151"/>
      <c r="L13" s="150"/>
      <c r="M13" s="150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</row>
    <row r="14" spans="1:25" x14ac:dyDescent="0.3">
      <c r="A14" s="153" t="s">
        <v>622</v>
      </c>
      <c r="B14" s="154">
        <v>0.6</v>
      </c>
      <c r="C14" s="520" t="s">
        <v>51</v>
      </c>
      <c r="D14" s="151"/>
      <c r="E14" s="151"/>
      <c r="F14" s="151"/>
      <c r="G14" s="158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</row>
    <row r="15" spans="1:25" x14ac:dyDescent="0.3">
      <c r="A15" s="153" t="s">
        <v>623</v>
      </c>
      <c r="B15" s="154">
        <v>5</v>
      </c>
      <c r="C15" s="520" t="s">
        <v>51</v>
      </c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</row>
    <row r="16" spans="1:25" x14ac:dyDescent="0.3">
      <c r="A16" s="161" t="s">
        <v>624</v>
      </c>
      <c r="B16" s="154" t="s">
        <v>625</v>
      </c>
      <c r="C16" s="520"/>
      <c r="D16" s="151"/>
      <c r="E16" s="157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</row>
    <row r="17" spans="1:25" x14ac:dyDescent="0.3">
      <c r="A17" s="161" t="s">
        <v>626</v>
      </c>
      <c r="B17" s="154" t="s">
        <v>627</v>
      </c>
      <c r="C17" s="520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 spans="1:25" x14ac:dyDescent="0.3">
      <c r="A18" s="161" t="s">
        <v>628</v>
      </c>
      <c r="B18" s="154">
        <v>0.22</v>
      </c>
      <c r="C18" s="520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</row>
    <row r="19" spans="1:25" x14ac:dyDescent="0.3">
      <c r="A19" s="161" t="s">
        <v>629</v>
      </c>
      <c r="B19" s="154">
        <v>0.95</v>
      </c>
      <c r="C19" s="520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</row>
    <row r="20" spans="1:25" ht="37.5" customHeight="1" thickBot="1" x14ac:dyDescent="0.35">
      <c r="A20" s="162" t="s">
        <v>630</v>
      </c>
      <c r="B20" s="163">
        <f>1.2+R24</f>
        <v>1.45</v>
      </c>
      <c r="C20" s="203" t="s">
        <v>41</v>
      </c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</row>
    <row r="21" spans="1:25" x14ac:dyDescent="0.3">
      <c r="A21" s="742" t="s">
        <v>631</v>
      </c>
      <c r="B21" s="742"/>
      <c r="C21" s="742"/>
      <c r="D21" s="742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</row>
    <row r="22" spans="1:25" x14ac:dyDescent="0.3">
      <c r="A22" s="164"/>
      <c r="B22" s="164"/>
      <c r="C22" s="164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</row>
    <row r="23" spans="1:25" ht="79.2" x14ac:dyDescent="0.3">
      <c r="A23" s="165" t="s">
        <v>279</v>
      </c>
      <c r="B23" s="165" t="s">
        <v>632</v>
      </c>
      <c r="C23" s="165" t="s">
        <v>633</v>
      </c>
      <c r="D23" s="165" t="s">
        <v>634</v>
      </c>
      <c r="E23" s="165" t="s">
        <v>635</v>
      </c>
      <c r="F23" s="165" t="s">
        <v>636</v>
      </c>
      <c r="G23" s="165" t="s">
        <v>637</v>
      </c>
      <c r="H23" s="165" t="s">
        <v>638</v>
      </c>
      <c r="I23" s="165" t="s">
        <v>639</v>
      </c>
      <c r="J23" s="165" t="s">
        <v>640</v>
      </c>
      <c r="K23" s="165" t="s">
        <v>641</v>
      </c>
      <c r="L23" s="165" t="s">
        <v>642</v>
      </c>
      <c r="M23" s="165" t="s">
        <v>643</v>
      </c>
      <c r="N23" s="165" t="s">
        <v>644</v>
      </c>
      <c r="O23" s="165" t="s">
        <v>645</v>
      </c>
      <c r="P23" s="165" t="s">
        <v>646</v>
      </c>
      <c r="Q23" s="165" t="s">
        <v>647</v>
      </c>
      <c r="R23" s="165" t="s">
        <v>648</v>
      </c>
      <c r="S23" s="165" t="s">
        <v>649</v>
      </c>
      <c r="T23" s="165" t="s">
        <v>650</v>
      </c>
      <c r="U23" s="165" t="s">
        <v>651</v>
      </c>
      <c r="V23" s="165" t="s">
        <v>652</v>
      </c>
      <c r="W23" s="165" t="s">
        <v>653</v>
      </c>
      <c r="X23" s="165" t="s">
        <v>654</v>
      </c>
      <c r="Y23" s="165" t="s">
        <v>655</v>
      </c>
    </row>
    <row r="24" spans="1:25" x14ac:dyDescent="0.3">
      <c r="A24" s="166" t="s">
        <v>656</v>
      </c>
      <c r="B24" s="525">
        <v>2</v>
      </c>
      <c r="C24" s="526">
        <v>112</v>
      </c>
      <c r="D24" s="167">
        <f>B24*$B$10</f>
        <v>6.1820000000000004</v>
      </c>
      <c r="E24" s="155">
        <f>+D24</f>
        <v>6.1820000000000004</v>
      </c>
      <c r="F24" s="168">
        <f>+$B$11*C24/1000</f>
        <v>5.6000000000000008E-3</v>
      </c>
      <c r="G24" s="168">
        <f>+IF((E24+F24)&gt;1.5,(E24+F24),1.5)</f>
        <v>6.1876000000000007</v>
      </c>
      <c r="H24" s="155">
        <f>(0.0055*(G24^-0.47))*100</f>
        <v>0.23353245294292571</v>
      </c>
      <c r="I24" s="530">
        <v>0.5</v>
      </c>
      <c r="J24" s="169">
        <f t="shared" ref="J24:J30" si="0">C24*(I24/100)</f>
        <v>0.56000000000000005</v>
      </c>
      <c r="K24" s="532">
        <v>97</v>
      </c>
      <c r="L24" s="170">
        <f>+K25</f>
        <v>96.666666666666671</v>
      </c>
      <c r="M24" s="170">
        <f>+K24-$B$20</f>
        <v>95.55</v>
      </c>
      <c r="N24" s="170">
        <f>+M24-J24</f>
        <v>94.99</v>
      </c>
      <c r="O24" s="170">
        <f>K24-M24</f>
        <v>1.4500000000000028</v>
      </c>
      <c r="P24" s="533" t="str">
        <f>IF((K24-M24)&gt;=1.2,"verifica","aumentar pendiente")</f>
        <v>verifica</v>
      </c>
      <c r="Q24" s="170">
        <f>L24-N24</f>
        <v>1.6766666666666765</v>
      </c>
      <c r="R24" s="171">
        <v>0.25</v>
      </c>
      <c r="S24" s="172">
        <f>R24/4</f>
        <v>6.25E-2</v>
      </c>
      <c r="T24" s="172">
        <f t="shared" ref="T24:T30" si="1">(87/(1+(0.14/S24^(1/2))))*(S24*(I24/100))^(1/2)</f>
        <v>0.98587003146201335</v>
      </c>
      <c r="U24" s="534" t="str">
        <f>IF(T24&gt;=$B$14,"verifica", "aumentar diámetro")</f>
        <v>verifica</v>
      </c>
      <c r="V24" s="534" t="str">
        <f t="shared" ref="V24:V30" si="2">IF(T24&lt;=$B$15,"verifica","disminuir pend.")</f>
        <v>verifica</v>
      </c>
      <c r="W24" s="168">
        <f t="shared" ref="W24:W30" si="3">(3.14*(R24/2)^2*T24)</f>
        <v>4.8369248418605029E-2</v>
      </c>
      <c r="X24" s="173">
        <f t="shared" ref="X24:X30" si="4">(E24+F24)/1000</f>
        <v>6.1876000000000006E-3</v>
      </c>
      <c r="Y24" s="534" t="str">
        <f>IF(W24&gt;=X24,"verifica","no verifica")</f>
        <v>verifica</v>
      </c>
    </row>
    <row r="25" spans="1:25" x14ac:dyDescent="0.3">
      <c r="A25" s="154" t="s">
        <v>657</v>
      </c>
      <c r="B25" s="525">
        <v>2</v>
      </c>
      <c r="C25" s="526">
        <v>112</v>
      </c>
      <c r="D25" s="167">
        <f>B25*$B$10</f>
        <v>6.1820000000000004</v>
      </c>
      <c r="E25" s="155">
        <f>+E24+D25</f>
        <v>12.364000000000001</v>
      </c>
      <c r="F25" s="168">
        <f>+$B$11*C25/1000+F24</f>
        <v>1.1200000000000002E-2</v>
      </c>
      <c r="G25" s="168">
        <f t="shared" ref="G25:G30" si="5">+IF((E25+F25)&gt;1.5,(E25+F25),1.5)</f>
        <v>12.375200000000001</v>
      </c>
      <c r="H25" s="155">
        <f t="shared" ref="H25:H30" si="6">(0.0055*(G25^-0.47))*100</f>
        <v>0.16860216345313694</v>
      </c>
      <c r="I25" s="530">
        <v>0.5</v>
      </c>
      <c r="J25" s="169">
        <f t="shared" si="0"/>
        <v>0.56000000000000005</v>
      </c>
      <c r="K25" s="174">
        <f>K24-(K24-K27)/(C24*3)*C24</f>
        <v>96.666666666666671</v>
      </c>
      <c r="L25" s="170">
        <f>+K26</f>
        <v>96.333333333333329</v>
      </c>
      <c r="M25" s="170">
        <f>+N24</f>
        <v>94.99</v>
      </c>
      <c r="N25" s="170">
        <f>+M25-J25</f>
        <v>94.429999999999993</v>
      </c>
      <c r="O25" s="170">
        <f>K25-M25</f>
        <v>1.6766666666666765</v>
      </c>
      <c r="P25" s="533" t="str">
        <f t="shared" ref="P25:P36" si="7">IF((K25-M25)&gt;=1.2,"verifica","aumentar pendiente")</f>
        <v>verifica</v>
      </c>
      <c r="Q25" s="170">
        <f t="shared" ref="Q25:Q30" si="8">L25-N25</f>
        <v>1.903333333333336</v>
      </c>
      <c r="R25" s="171">
        <v>0.25</v>
      </c>
      <c r="S25" s="172">
        <f t="shared" ref="S25:S30" si="9">R25/4</f>
        <v>6.25E-2</v>
      </c>
      <c r="T25" s="172">
        <f t="shared" si="1"/>
        <v>0.98587003146201335</v>
      </c>
      <c r="U25" s="534" t="str">
        <f t="shared" ref="U25:U30" si="10">IF(T25&gt;=$B$14,"verifica", "aumentar diámetro")</f>
        <v>verifica</v>
      </c>
      <c r="V25" s="534" t="str">
        <f t="shared" si="2"/>
        <v>verifica</v>
      </c>
      <c r="W25" s="168">
        <f t="shared" si="3"/>
        <v>4.8369248418605029E-2</v>
      </c>
      <c r="X25" s="173">
        <f t="shared" si="4"/>
        <v>1.2375200000000001E-2</v>
      </c>
      <c r="Y25" s="534" t="str">
        <f t="shared" ref="Y25:Y30" si="11">IF(W25&gt;=X25,"verifica","no verifica")</f>
        <v>verifica</v>
      </c>
    </row>
    <row r="26" spans="1:25" x14ac:dyDescent="0.3">
      <c r="A26" s="154" t="s">
        <v>658</v>
      </c>
      <c r="B26" s="525">
        <v>2</v>
      </c>
      <c r="C26" s="526">
        <v>112</v>
      </c>
      <c r="D26" s="167">
        <f>B26*$B$10</f>
        <v>6.1820000000000004</v>
      </c>
      <c r="E26" s="155">
        <f>+E25+D26</f>
        <v>18.545999999999999</v>
      </c>
      <c r="F26" s="168">
        <f>+$B$11*C26/1000+F25</f>
        <v>1.6800000000000002E-2</v>
      </c>
      <c r="G26" s="168">
        <f>+IF((E26+F26)&gt;1.5,(E26+F26),1.5)</f>
        <v>18.562799999999999</v>
      </c>
      <c r="H26" s="155">
        <f t="shared" si="6"/>
        <v>0.13934784324319843</v>
      </c>
      <c r="I26" s="530">
        <v>0.5</v>
      </c>
      <c r="J26" s="169">
        <f t="shared" si="0"/>
        <v>0.56000000000000005</v>
      </c>
      <c r="K26" s="174">
        <f>K24-(K24-K27)/(C24*3)*C24*2</f>
        <v>96.333333333333329</v>
      </c>
      <c r="L26" s="170">
        <f>+K27</f>
        <v>96</v>
      </c>
      <c r="M26" s="170">
        <f>+N25</f>
        <v>94.429999999999993</v>
      </c>
      <c r="N26" s="170">
        <f>+M26-J26</f>
        <v>93.86999999999999</v>
      </c>
      <c r="O26" s="170">
        <f t="shared" ref="O26:O31" si="12">K26-M26</f>
        <v>1.903333333333336</v>
      </c>
      <c r="P26" s="533" t="str">
        <f t="shared" si="7"/>
        <v>verifica</v>
      </c>
      <c r="Q26" s="170">
        <f t="shared" si="8"/>
        <v>2.1300000000000097</v>
      </c>
      <c r="R26" s="171">
        <v>0.25</v>
      </c>
      <c r="S26" s="172">
        <f t="shared" si="9"/>
        <v>6.25E-2</v>
      </c>
      <c r="T26" s="172">
        <f t="shared" si="1"/>
        <v>0.98587003146201335</v>
      </c>
      <c r="U26" s="534" t="str">
        <f t="shared" si="10"/>
        <v>verifica</v>
      </c>
      <c r="V26" s="534" t="str">
        <f t="shared" si="2"/>
        <v>verifica</v>
      </c>
      <c r="W26" s="168">
        <f t="shared" si="3"/>
        <v>4.8369248418605029E-2</v>
      </c>
      <c r="X26" s="173">
        <f t="shared" si="4"/>
        <v>1.8562800000000001E-2</v>
      </c>
      <c r="Y26" s="534" t="str">
        <f t="shared" si="11"/>
        <v>verifica</v>
      </c>
    </row>
    <row r="27" spans="1:25" x14ac:dyDescent="0.3">
      <c r="A27" s="154" t="s">
        <v>659</v>
      </c>
      <c r="B27" s="525">
        <v>2</v>
      </c>
      <c r="C27" s="526">
        <v>112</v>
      </c>
      <c r="D27" s="167">
        <f t="shared" ref="D27:D30" si="13">B27*$B$10</f>
        <v>6.1820000000000004</v>
      </c>
      <c r="E27" s="155">
        <f t="shared" ref="E27:E30" si="14">+E26+D27</f>
        <v>24.728000000000002</v>
      </c>
      <c r="F27" s="168">
        <f>+$B$11*C27/1000+F25</f>
        <v>1.6800000000000002E-2</v>
      </c>
      <c r="G27" s="168">
        <f t="shared" si="5"/>
        <v>24.744800000000001</v>
      </c>
      <c r="H27" s="155">
        <f t="shared" si="6"/>
        <v>0.12173773969552558</v>
      </c>
      <c r="I27" s="530">
        <v>0.5</v>
      </c>
      <c r="J27" s="169">
        <f t="shared" si="0"/>
        <v>0.56000000000000005</v>
      </c>
      <c r="K27" s="532">
        <v>96</v>
      </c>
      <c r="L27" s="170">
        <f>+K28</f>
        <v>95.333333333333329</v>
      </c>
      <c r="M27" s="170">
        <f t="shared" ref="M27:M31" si="15">+N26</f>
        <v>93.86999999999999</v>
      </c>
      <c r="N27" s="170">
        <f>+M27-J27</f>
        <v>93.309999999999988</v>
      </c>
      <c r="O27" s="170">
        <f t="shared" si="12"/>
        <v>2.1300000000000097</v>
      </c>
      <c r="P27" s="533" t="str">
        <f t="shared" si="7"/>
        <v>verifica</v>
      </c>
      <c r="Q27" s="170">
        <f t="shared" si="8"/>
        <v>2.0233333333333405</v>
      </c>
      <c r="R27" s="171">
        <v>0.25</v>
      </c>
      <c r="S27" s="172">
        <f t="shared" si="9"/>
        <v>6.25E-2</v>
      </c>
      <c r="T27" s="172">
        <f t="shared" si="1"/>
        <v>0.98587003146201335</v>
      </c>
      <c r="U27" s="534" t="str">
        <f t="shared" si="10"/>
        <v>verifica</v>
      </c>
      <c r="V27" s="534" t="str">
        <f t="shared" si="2"/>
        <v>verifica</v>
      </c>
      <c r="W27" s="168">
        <f t="shared" si="3"/>
        <v>4.8369248418605029E-2</v>
      </c>
      <c r="X27" s="173">
        <f t="shared" si="4"/>
        <v>2.4744800000000001E-2</v>
      </c>
      <c r="Y27" s="534" t="str">
        <f t="shared" si="11"/>
        <v>verifica</v>
      </c>
    </row>
    <row r="28" spans="1:25" x14ac:dyDescent="0.3">
      <c r="A28" s="154" t="s">
        <v>660</v>
      </c>
      <c r="B28" s="525">
        <v>2</v>
      </c>
      <c r="C28" s="526">
        <v>112</v>
      </c>
      <c r="D28" s="167">
        <f t="shared" si="13"/>
        <v>6.1820000000000004</v>
      </c>
      <c r="E28" s="155">
        <f t="shared" si="14"/>
        <v>30.910000000000004</v>
      </c>
      <c r="F28" s="168">
        <f>+$B$11*C28/1000+F26</f>
        <v>2.2400000000000003E-2</v>
      </c>
      <c r="G28" s="168">
        <f t="shared" si="5"/>
        <v>30.932400000000005</v>
      </c>
      <c r="H28" s="155">
        <f t="shared" si="6"/>
        <v>0.10961457118515142</v>
      </c>
      <c r="I28" s="530">
        <v>0.5</v>
      </c>
      <c r="J28" s="169">
        <f t="shared" si="0"/>
        <v>0.56000000000000005</v>
      </c>
      <c r="K28" s="174">
        <f>K27-(K27-K30)/(C28*3)*C24</f>
        <v>95.333333333333329</v>
      </c>
      <c r="L28" s="170">
        <f t="shared" ref="L28:L30" si="16">+K29</f>
        <v>94.666666666666657</v>
      </c>
      <c r="M28" s="170">
        <f t="shared" si="15"/>
        <v>93.309999999999988</v>
      </c>
      <c r="N28" s="170">
        <f t="shared" ref="N28:N30" si="17">+M28-J28</f>
        <v>92.749999999999986</v>
      </c>
      <c r="O28" s="170">
        <f t="shared" si="12"/>
        <v>2.0233333333333405</v>
      </c>
      <c r="P28" s="533" t="str">
        <f t="shared" si="7"/>
        <v>verifica</v>
      </c>
      <c r="Q28" s="170">
        <f t="shared" si="8"/>
        <v>1.9166666666666714</v>
      </c>
      <c r="R28" s="171">
        <v>0.25</v>
      </c>
      <c r="S28" s="172">
        <f t="shared" si="9"/>
        <v>6.25E-2</v>
      </c>
      <c r="T28" s="172">
        <f t="shared" si="1"/>
        <v>0.98587003146201335</v>
      </c>
      <c r="U28" s="534" t="str">
        <f t="shared" si="10"/>
        <v>verifica</v>
      </c>
      <c r="V28" s="534" t="str">
        <f t="shared" si="2"/>
        <v>verifica</v>
      </c>
      <c r="W28" s="168">
        <f t="shared" si="3"/>
        <v>4.8369248418605029E-2</v>
      </c>
      <c r="X28" s="173">
        <f t="shared" si="4"/>
        <v>3.0932400000000006E-2</v>
      </c>
      <c r="Y28" s="534" t="str">
        <f t="shared" si="11"/>
        <v>verifica</v>
      </c>
    </row>
    <row r="29" spans="1:25" x14ac:dyDescent="0.3">
      <c r="A29" s="154" t="s">
        <v>661</v>
      </c>
      <c r="B29" s="525">
        <v>2</v>
      </c>
      <c r="C29" s="526">
        <v>112</v>
      </c>
      <c r="D29" s="167">
        <f t="shared" si="13"/>
        <v>6.1820000000000004</v>
      </c>
      <c r="E29" s="155">
        <f t="shared" si="14"/>
        <v>37.092000000000006</v>
      </c>
      <c r="F29" s="168">
        <f>+$B$11*C29/1000+F27</f>
        <v>2.2400000000000003E-2</v>
      </c>
      <c r="G29" s="168">
        <f t="shared" si="5"/>
        <v>37.114400000000003</v>
      </c>
      <c r="H29" s="155">
        <f t="shared" si="6"/>
        <v>0.10061847732536724</v>
      </c>
      <c r="I29" s="530">
        <v>0.5</v>
      </c>
      <c r="J29" s="169">
        <f t="shared" si="0"/>
        <v>0.56000000000000005</v>
      </c>
      <c r="K29" s="174">
        <f>K28-(K27-K30)/(C29*3)*C28</f>
        <v>94.666666666666657</v>
      </c>
      <c r="L29" s="170">
        <f t="shared" si="16"/>
        <v>94</v>
      </c>
      <c r="M29" s="170">
        <f t="shared" si="15"/>
        <v>92.749999999999986</v>
      </c>
      <c r="N29" s="170">
        <f t="shared" si="17"/>
        <v>92.189999999999984</v>
      </c>
      <c r="O29" s="170">
        <f t="shared" si="12"/>
        <v>1.9166666666666714</v>
      </c>
      <c r="P29" s="533" t="str">
        <f t="shared" si="7"/>
        <v>verifica</v>
      </c>
      <c r="Q29" s="170">
        <f t="shared" si="8"/>
        <v>1.8100000000000165</v>
      </c>
      <c r="R29" s="171">
        <v>0.25</v>
      </c>
      <c r="S29" s="172">
        <f t="shared" si="9"/>
        <v>6.25E-2</v>
      </c>
      <c r="T29" s="172">
        <f t="shared" si="1"/>
        <v>0.98587003146201335</v>
      </c>
      <c r="U29" s="534" t="str">
        <f t="shared" si="10"/>
        <v>verifica</v>
      </c>
      <c r="V29" s="534" t="str">
        <f t="shared" si="2"/>
        <v>verifica</v>
      </c>
      <c r="W29" s="168">
        <f t="shared" si="3"/>
        <v>4.8369248418605029E-2</v>
      </c>
      <c r="X29" s="173">
        <f t="shared" si="4"/>
        <v>3.7114400000000006E-2</v>
      </c>
      <c r="Y29" s="534" t="str">
        <f t="shared" si="11"/>
        <v>verifica</v>
      </c>
    </row>
    <row r="30" spans="1:25" x14ac:dyDescent="0.3">
      <c r="A30" s="154" t="s">
        <v>662</v>
      </c>
      <c r="B30" s="525">
        <v>1</v>
      </c>
      <c r="C30" s="526">
        <v>112</v>
      </c>
      <c r="D30" s="167">
        <f t="shared" si="13"/>
        <v>3.0910000000000002</v>
      </c>
      <c r="E30" s="155">
        <f t="shared" si="14"/>
        <v>40.183000000000007</v>
      </c>
      <c r="F30" s="168">
        <f>+$B$11*C30/1000+F29</f>
        <v>2.8000000000000004E-2</v>
      </c>
      <c r="G30" s="168">
        <f t="shared" si="5"/>
        <v>40.211000000000006</v>
      </c>
      <c r="H30" s="155">
        <f t="shared" si="6"/>
        <v>9.6899290889669323E-2</v>
      </c>
      <c r="I30" s="530">
        <v>0.5</v>
      </c>
      <c r="J30" s="169">
        <f t="shared" si="0"/>
        <v>0.56000000000000005</v>
      </c>
      <c r="K30" s="532">
        <v>94</v>
      </c>
      <c r="L30" s="170">
        <f t="shared" si="16"/>
        <v>93</v>
      </c>
      <c r="M30" s="170">
        <f t="shared" si="15"/>
        <v>92.189999999999984</v>
      </c>
      <c r="N30" s="170">
        <f t="shared" si="17"/>
        <v>91.629999999999981</v>
      </c>
      <c r="O30" s="170">
        <f t="shared" si="12"/>
        <v>1.8100000000000165</v>
      </c>
      <c r="P30" s="533" t="str">
        <f t="shared" si="7"/>
        <v>verifica</v>
      </c>
      <c r="Q30" s="170">
        <f t="shared" si="8"/>
        <v>1.3700000000000188</v>
      </c>
      <c r="R30" s="171">
        <v>0.25</v>
      </c>
      <c r="S30" s="172">
        <f t="shared" si="9"/>
        <v>6.25E-2</v>
      </c>
      <c r="T30" s="172">
        <f t="shared" si="1"/>
        <v>0.98587003146201335</v>
      </c>
      <c r="U30" s="534" t="str">
        <f t="shared" si="10"/>
        <v>verifica</v>
      </c>
      <c r="V30" s="534" t="str">
        <f t="shared" si="2"/>
        <v>verifica</v>
      </c>
      <c r="W30" s="168">
        <f t="shared" si="3"/>
        <v>4.8369248418605029E-2</v>
      </c>
      <c r="X30" s="173">
        <f t="shared" si="4"/>
        <v>4.0211000000000004E-2</v>
      </c>
      <c r="Y30" s="534" t="str">
        <f t="shared" si="11"/>
        <v>verifica</v>
      </c>
    </row>
    <row r="31" spans="1:25" x14ac:dyDescent="0.3">
      <c r="A31" s="154">
        <v>11</v>
      </c>
      <c r="B31" s="527"/>
      <c r="C31" s="528"/>
      <c r="D31" s="171"/>
      <c r="E31" s="155"/>
      <c r="F31" s="168"/>
      <c r="G31" s="168"/>
      <c r="H31" s="155"/>
      <c r="I31" s="531"/>
      <c r="J31" s="169"/>
      <c r="K31" s="174">
        <f>+(K30+K89)/2</f>
        <v>93</v>
      </c>
      <c r="L31" s="170"/>
      <c r="M31" s="170">
        <f t="shared" si="15"/>
        <v>91.629999999999981</v>
      </c>
      <c r="N31" s="170"/>
      <c r="O31" s="170">
        <f t="shared" si="12"/>
        <v>1.3700000000000188</v>
      </c>
      <c r="P31" s="170"/>
      <c r="Q31" s="170"/>
      <c r="R31" s="177"/>
      <c r="S31" s="172"/>
      <c r="T31" s="172"/>
      <c r="U31" s="154"/>
      <c r="V31" s="154"/>
      <c r="W31" s="168"/>
      <c r="X31" s="173"/>
      <c r="Y31" s="154"/>
    </row>
    <row r="32" spans="1:25" x14ac:dyDescent="0.3">
      <c r="A32" s="154"/>
      <c r="B32" s="527"/>
      <c r="C32" s="528"/>
      <c r="D32" s="171"/>
      <c r="E32" s="155"/>
      <c r="F32" s="168"/>
      <c r="G32" s="168"/>
      <c r="H32" s="155"/>
      <c r="I32" s="528"/>
      <c r="J32" s="169"/>
      <c r="K32" s="174"/>
      <c r="L32" s="170"/>
      <c r="M32" s="170"/>
      <c r="N32" s="170"/>
      <c r="O32" s="170"/>
      <c r="P32" s="170"/>
      <c r="Q32" s="170"/>
      <c r="R32" s="177"/>
      <c r="S32" s="172"/>
      <c r="T32" s="172"/>
      <c r="U32" s="154"/>
      <c r="V32" s="154"/>
      <c r="W32" s="168"/>
      <c r="X32" s="173"/>
      <c r="Y32" s="154"/>
    </row>
    <row r="33" spans="1:25" x14ac:dyDescent="0.3">
      <c r="A33" s="154"/>
      <c r="B33" s="527"/>
      <c r="C33" s="528"/>
      <c r="D33" s="178"/>
      <c r="E33" s="155"/>
      <c r="F33" s="168"/>
      <c r="G33" s="168"/>
      <c r="H33" s="175"/>
      <c r="I33" s="528"/>
      <c r="J33" s="169"/>
      <c r="K33" s="174"/>
      <c r="L33" s="170"/>
      <c r="M33" s="170"/>
      <c r="N33" s="170"/>
      <c r="O33" s="170"/>
      <c r="P33" s="170"/>
      <c r="Q33" s="170"/>
      <c r="R33" s="177"/>
      <c r="S33" s="172"/>
      <c r="T33" s="172"/>
      <c r="U33" s="154"/>
      <c r="V33" s="154"/>
      <c r="W33" s="168"/>
      <c r="X33" s="168"/>
      <c r="Y33" s="154"/>
    </row>
    <row r="34" spans="1:25" x14ac:dyDescent="0.3">
      <c r="A34" s="154"/>
      <c r="B34" s="527"/>
      <c r="C34" s="528"/>
      <c r="D34" s="178"/>
      <c r="E34" s="155"/>
      <c r="F34" s="168"/>
      <c r="G34" s="168"/>
      <c r="H34" s="175"/>
      <c r="I34" s="528"/>
      <c r="J34" s="169"/>
      <c r="K34" s="174"/>
      <c r="L34" s="170"/>
      <c r="M34" s="170"/>
      <c r="N34" s="170"/>
      <c r="O34" s="170"/>
      <c r="P34" s="170"/>
      <c r="Q34" s="170"/>
      <c r="R34" s="177"/>
      <c r="S34" s="172"/>
      <c r="T34" s="172"/>
      <c r="U34" s="154"/>
      <c r="V34" s="154"/>
      <c r="W34" s="168"/>
      <c r="X34" s="168"/>
      <c r="Y34" s="154"/>
    </row>
    <row r="35" spans="1:25" x14ac:dyDescent="0.3">
      <c r="A35" s="154" t="s">
        <v>663</v>
      </c>
      <c r="B35" s="525">
        <v>1</v>
      </c>
      <c r="C35" s="526">
        <v>112</v>
      </c>
      <c r="D35" s="179">
        <f t="shared" ref="D35" si="18">B35*$B$10</f>
        <v>3.0910000000000002</v>
      </c>
      <c r="E35" s="155">
        <f>+D35</f>
        <v>3.0910000000000002</v>
      </c>
      <c r="F35" s="168">
        <f>+$B$11*C35/1000</f>
        <v>5.6000000000000008E-3</v>
      </c>
      <c r="G35" s="168">
        <f t="shared" ref="G35" si="19">+IF((E35+F35)&gt;1.5,(E35+F35),1.5)</f>
        <v>3.0966</v>
      </c>
      <c r="H35" s="155">
        <f t="shared" ref="H35" si="20">(0.0055*(G35^-0.47))*100</f>
        <v>0.32333051056770457</v>
      </c>
      <c r="I35" s="530">
        <v>0.7</v>
      </c>
      <c r="J35" s="169">
        <f>C35*(I35/100)</f>
        <v>0.78399999999999992</v>
      </c>
      <c r="K35" s="174">
        <f>+K24</f>
        <v>97</v>
      </c>
      <c r="L35" s="170">
        <f>+K36</f>
        <v>96</v>
      </c>
      <c r="M35" s="170">
        <f>+K35-$B$20</f>
        <v>95.55</v>
      </c>
      <c r="N35" s="170">
        <f>+M35-J35</f>
        <v>94.765999999999991</v>
      </c>
      <c r="O35" s="170">
        <f>K35-M35</f>
        <v>1.4500000000000028</v>
      </c>
      <c r="P35" s="533" t="str">
        <f t="shared" si="7"/>
        <v>verifica</v>
      </c>
      <c r="Q35" s="170">
        <f>L35-N35</f>
        <v>1.2340000000000089</v>
      </c>
      <c r="R35" s="177">
        <v>0.15</v>
      </c>
      <c r="S35" s="172">
        <f>R35/4</f>
        <v>3.7499999999999999E-2</v>
      </c>
      <c r="T35" s="172">
        <f>(87/(1+(0.14/S35^(1/2))))*(S35*(I35/100))^(1/2)</f>
        <v>0.81810584410308418</v>
      </c>
      <c r="U35" s="534" t="str">
        <f t="shared" ref="U35" si="21">IF(T35&gt;=$B$14,"verifica", "aumentar diámetro")</f>
        <v>verifica</v>
      </c>
      <c r="V35" s="534" t="str">
        <f>IF(T35&lt;=$B$15,"verifica","disminuir pend.")</f>
        <v>verifica</v>
      </c>
      <c r="W35" s="168">
        <f>(3.14*(R35/2)^2*T35)</f>
        <v>1.4449794471470725E-2</v>
      </c>
      <c r="X35" s="173">
        <f>(E35+F35)/1000</f>
        <v>3.0966000000000001E-3</v>
      </c>
      <c r="Y35" s="534" t="str">
        <f>IF(W35&gt;=X35,"verifica","no verifica")</f>
        <v>verifica</v>
      </c>
    </row>
    <row r="36" spans="1:25" x14ac:dyDescent="0.3">
      <c r="A36" s="154">
        <v>17</v>
      </c>
      <c r="B36" s="527"/>
      <c r="C36" s="528"/>
      <c r="D36" s="178"/>
      <c r="E36" s="155"/>
      <c r="F36" s="168"/>
      <c r="G36" s="168"/>
      <c r="H36" s="175"/>
      <c r="I36" s="528"/>
      <c r="J36" s="169"/>
      <c r="K36" s="174">
        <f>+(K35+K83)/2</f>
        <v>96</v>
      </c>
      <c r="L36" s="170"/>
      <c r="M36" s="170">
        <f>+N35</f>
        <v>94.765999999999991</v>
      </c>
      <c r="N36" s="170"/>
      <c r="O36" s="170">
        <f>K36-M36</f>
        <v>1.2340000000000089</v>
      </c>
      <c r="P36" s="533" t="str">
        <f t="shared" si="7"/>
        <v>verifica</v>
      </c>
      <c r="Q36" s="170"/>
      <c r="R36" s="177"/>
      <c r="S36" s="172"/>
      <c r="T36" s="172"/>
      <c r="U36" s="154"/>
      <c r="V36" s="154"/>
      <c r="W36" s="168"/>
      <c r="X36" s="168"/>
      <c r="Y36" s="154"/>
    </row>
    <row r="37" spans="1:25" x14ac:dyDescent="0.3">
      <c r="A37" s="154"/>
      <c r="B37" s="529"/>
      <c r="C37" s="528"/>
      <c r="D37" s="178"/>
      <c r="E37" s="155"/>
      <c r="F37" s="168"/>
      <c r="G37" s="168"/>
      <c r="H37" s="175"/>
      <c r="I37" s="528"/>
      <c r="J37" s="169"/>
      <c r="K37" s="174"/>
      <c r="L37" s="170"/>
      <c r="M37" s="170"/>
      <c r="N37" s="170"/>
      <c r="O37" s="170"/>
      <c r="P37" s="170"/>
      <c r="Q37" s="170"/>
      <c r="R37" s="177"/>
      <c r="S37" s="172"/>
      <c r="T37" s="172"/>
      <c r="U37" s="154"/>
      <c r="V37" s="154"/>
      <c r="W37" s="168"/>
      <c r="X37" s="168"/>
      <c r="Y37" s="154"/>
    </row>
    <row r="38" spans="1:25" x14ac:dyDescent="0.3">
      <c r="A38" s="154" t="s">
        <v>664</v>
      </c>
      <c r="B38" s="525">
        <v>2</v>
      </c>
      <c r="C38" s="526">
        <v>112</v>
      </c>
      <c r="D38" s="179">
        <f t="shared" ref="D38" si="22">B38*$B$10</f>
        <v>6.1820000000000004</v>
      </c>
      <c r="E38" s="155">
        <f>+D38</f>
        <v>6.1820000000000004</v>
      </c>
      <c r="F38" s="168">
        <f>+$B$11*C38/1000</f>
        <v>5.6000000000000008E-3</v>
      </c>
      <c r="G38" s="168">
        <f t="shared" ref="G38" si="23">+IF((E38+F38)&gt;1.5,(E38+F38),1.5)</f>
        <v>6.1876000000000007</v>
      </c>
      <c r="H38" s="155">
        <f t="shared" ref="H38" si="24">(0.0055*(G38^-0.47))*100</f>
        <v>0.23353245294292571</v>
      </c>
      <c r="I38" s="530">
        <v>0.7</v>
      </c>
      <c r="J38" s="169">
        <f>C38*(I38/100)</f>
        <v>0.78399999999999992</v>
      </c>
      <c r="K38" s="174">
        <f>+K25</f>
        <v>96.666666666666671</v>
      </c>
      <c r="L38" s="170">
        <f>+K39</f>
        <v>95.666666666666671</v>
      </c>
      <c r="M38" s="170">
        <f>+K38-$B$20</f>
        <v>95.216666666666669</v>
      </c>
      <c r="N38" s="170">
        <f>+M38-J38</f>
        <v>94.432666666666663</v>
      </c>
      <c r="O38" s="170">
        <f>K38-M38</f>
        <v>1.4500000000000028</v>
      </c>
      <c r="P38" s="533" t="str">
        <f t="shared" ref="P38:P39" si="25">IF((K38-M38)&gt;=1.2,"verifica","aumentar pendiente")</f>
        <v>verifica</v>
      </c>
      <c r="Q38" s="170">
        <f>L38-N38</f>
        <v>1.2340000000000089</v>
      </c>
      <c r="R38" s="177">
        <v>0.15</v>
      </c>
      <c r="S38" s="172">
        <f>R38/4</f>
        <v>3.7499999999999999E-2</v>
      </c>
      <c r="T38" s="172">
        <f>(87/(1+(0.14/S38^(1/2))))*(S38*(I38/100))^(1/2)</f>
        <v>0.81810584410308418</v>
      </c>
      <c r="U38" s="534" t="str">
        <f t="shared" ref="U38" si="26">IF(T38&gt;=$B$14,"verifica", "aumentar diámetro")</f>
        <v>verifica</v>
      </c>
      <c r="V38" s="534" t="str">
        <f>IF(T38&lt;=$B$15,"verifica","disminuir pend.")</f>
        <v>verifica</v>
      </c>
      <c r="W38" s="168">
        <f>(3.14*(R38/2)^2*T38)</f>
        <v>1.4449794471470725E-2</v>
      </c>
      <c r="X38" s="173">
        <f>(E38+F38)/1000</f>
        <v>6.1876000000000006E-3</v>
      </c>
      <c r="Y38" s="534" t="str">
        <f>IF(W38&gt;=X38,"verifica","no verifica")</f>
        <v>verifica</v>
      </c>
    </row>
    <row r="39" spans="1:25" x14ac:dyDescent="0.3">
      <c r="A39" s="154">
        <v>16</v>
      </c>
      <c r="B39" s="529"/>
      <c r="C39" s="528"/>
      <c r="D39" s="178"/>
      <c r="E39" s="155"/>
      <c r="F39" s="168"/>
      <c r="G39" s="168"/>
      <c r="H39" s="175"/>
      <c r="I39" s="528"/>
      <c r="J39" s="169"/>
      <c r="K39" s="174">
        <f>+(K25+K84)/2</f>
        <v>95.666666666666671</v>
      </c>
      <c r="L39" s="170"/>
      <c r="M39" s="170">
        <f>+N38</f>
        <v>94.432666666666663</v>
      </c>
      <c r="N39" s="170"/>
      <c r="O39" s="170">
        <f>K39-M39</f>
        <v>1.2340000000000089</v>
      </c>
      <c r="P39" s="533" t="str">
        <f t="shared" si="25"/>
        <v>verifica</v>
      </c>
      <c r="Q39" s="170"/>
      <c r="R39" s="177"/>
      <c r="S39" s="172"/>
      <c r="T39" s="172"/>
      <c r="U39" s="154"/>
      <c r="V39" s="154"/>
      <c r="W39" s="168"/>
      <c r="X39" s="168"/>
      <c r="Y39" s="154"/>
    </row>
    <row r="40" spans="1:25" x14ac:dyDescent="0.3">
      <c r="A40" s="154"/>
      <c r="B40" s="529"/>
      <c r="C40" s="528"/>
      <c r="D40" s="178"/>
      <c r="E40" s="155"/>
      <c r="F40" s="168"/>
      <c r="G40" s="168"/>
      <c r="H40" s="175"/>
      <c r="I40" s="528"/>
      <c r="J40" s="169"/>
      <c r="K40" s="174"/>
      <c r="L40" s="170"/>
      <c r="M40" s="170"/>
      <c r="N40" s="170"/>
      <c r="O40" s="170"/>
      <c r="P40" s="170"/>
      <c r="Q40" s="170"/>
      <c r="R40" s="177"/>
      <c r="S40" s="172"/>
      <c r="T40" s="172"/>
      <c r="U40" s="154"/>
      <c r="V40" s="154"/>
      <c r="W40" s="168"/>
      <c r="X40" s="168"/>
      <c r="Y40" s="154"/>
    </row>
    <row r="41" spans="1:25" x14ac:dyDescent="0.3">
      <c r="A41" s="154" t="s">
        <v>665</v>
      </c>
      <c r="B41" s="525">
        <v>2</v>
      </c>
      <c r="C41" s="526">
        <v>112</v>
      </c>
      <c r="D41" s="179">
        <f t="shared" ref="D41" si="27">B41*$B$10</f>
        <v>6.1820000000000004</v>
      </c>
      <c r="E41" s="155">
        <f>+D41</f>
        <v>6.1820000000000004</v>
      </c>
      <c r="F41" s="168">
        <f>+$B$11*C41/1000</f>
        <v>5.6000000000000008E-3</v>
      </c>
      <c r="G41" s="168">
        <f t="shared" ref="G41" si="28">+IF((E41+F41)&gt;1.5,(E41+F41),1.5)</f>
        <v>6.1876000000000007</v>
      </c>
      <c r="H41" s="155">
        <f t="shared" ref="H41" si="29">(0.0055*(G41^-0.47))*100</f>
        <v>0.23353245294292571</v>
      </c>
      <c r="I41" s="530">
        <v>0.7</v>
      </c>
      <c r="J41" s="169">
        <f>C41*(I41/100)</f>
        <v>0.78399999999999992</v>
      </c>
      <c r="K41" s="174">
        <f>+K26</f>
        <v>96.333333333333329</v>
      </c>
      <c r="L41" s="170">
        <f>+K42</f>
        <v>95.388888888888886</v>
      </c>
      <c r="M41" s="170">
        <f>+K41-$B$20</f>
        <v>94.883333333333326</v>
      </c>
      <c r="N41" s="170">
        <f>+M41-J41</f>
        <v>94.09933333333332</v>
      </c>
      <c r="O41" s="170">
        <f>K41-M41</f>
        <v>1.4500000000000028</v>
      </c>
      <c r="P41" s="533" t="str">
        <f t="shared" ref="P41:P42" si="30">IF((K41-M41)&gt;=1.2,"verifica","aumentar pendiente")</f>
        <v>verifica</v>
      </c>
      <c r="Q41" s="170">
        <f>L41-N41</f>
        <v>1.289555555555566</v>
      </c>
      <c r="R41" s="177">
        <v>0.15</v>
      </c>
      <c r="S41" s="172">
        <f>R41/4</f>
        <v>3.7499999999999999E-2</v>
      </c>
      <c r="T41" s="172">
        <f>(87/(1+(0.14/S41^(1/2))))*(S41*(I41/100))^(1/2)</f>
        <v>0.81810584410308418</v>
      </c>
      <c r="U41" s="534" t="str">
        <f t="shared" ref="U41" si="31">IF(T41&gt;=$B$14,"verifica", "aumentar diámetro")</f>
        <v>verifica</v>
      </c>
      <c r="V41" s="534" t="str">
        <f>IF(T41&lt;=$B$15,"verifica","disminuir pend.")</f>
        <v>verifica</v>
      </c>
      <c r="W41" s="168">
        <f>(3.14*(R41/2)^2*T41)</f>
        <v>1.4449794471470725E-2</v>
      </c>
      <c r="X41" s="173">
        <f>(E41+F41)/1000</f>
        <v>6.1876000000000006E-3</v>
      </c>
      <c r="Y41" s="534" t="str">
        <f>IF(W41&gt;=X41,"verifica","no verifica")</f>
        <v>verifica</v>
      </c>
    </row>
    <row r="42" spans="1:25" x14ac:dyDescent="0.3">
      <c r="A42" s="154">
        <v>15</v>
      </c>
      <c r="B42" s="529"/>
      <c r="C42" s="528"/>
      <c r="D42" s="178"/>
      <c r="E42" s="155"/>
      <c r="F42" s="168"/>
      <c r="G42" s="168"/>
      <c r="H42" s="175"/>
      <c r="I42" s="528"/>
      <c r="J42" s="169"/>
      <c r="K42" s="174">
        <f>+(K26+K85)/2</f>
        <v>95.388888888888886</v>
      </c>
      <c r="L42" s="170"/>
      <c r="M42" s="170">
        <f>+N41</f>
        <v>94.09933333333332</v>
      </c>
      <c r="N42" s="170"/>
      <c r="O42" s="170">
        <f>K42-M42</f>
        <v>1.289555555555566</v>
      </c>
      <c r="P42" s="533" t="str">
        <f t="shared" si="30"/>
        <v>verifica</v>
      </c>
      <c r="Q42" s="170"/>
      <c r="R42" s="177"/>
      <c r="S42" s="172"/>
      <c r="T42" s="172"/>
      <c r="U42" s="154"/>
      <c r="V42" s="154"/>
      <c r="W42" s="168"/>
      <c r="X42" s="168"/>
      <c r="Y42" s="154"/>
    </row>
    <row r="43" spans="1:25" x14ac:dyDescent="0.3">
      <c r="A43" s="154"/>
      <c r="B43" s="529"/>
      <c r="C43" s="528"/>
      <c r="D43" s="178"/>
      <c r="E43" s="155"/>
      <c r="F43" s="168"/>
      <c r="G43" s="168"/>
      <c r="H43" s="175"/>
      <c r="I43" s="528"/>
      <c r="J43" s="169"/>
      <c r="K43" s="174"/>
      <c r="L43" s="170"/>
      <c r="M43" s="170"/>
      <c r="N43" s="170"/>
      <c r="O43" s="170"/>
      <c r="P43" s="170"/>
      <c r="Q43" s="170"/>
      <c r="R43" s="177"/>
      <c r="S43" s="172"/>
      <c r="T43" s="172"/>
      <c r="U43" s="154"/>
      <c r="V43" s="154"/>
      <c r="W43" s="168"/>
      <c r="X43" s="168"/>
      <c r="Y43" s="154"/>
    </row>
    <row r="44" spans="1:25" x14ac:dyDescent="0.3">
      <c r="A44" s="154" t="s">
        <v>666</v>
      </c>
      <c r="B44" s="525">
        <v>2</v>
      </c>
      <c r="C44" s="526">
        <v>112</v>
      </c>
      <c r="D44" s="179">
        <f>B44*$B$10</f>
        <v>6.1820000000000004</v>
      </c>
      <c r="E44" s="155">
        <f>+D44</f>
        <v>6.1820000000000004</v>
      </c>
      <c r="F44" s="168">
        <f>+$B$11*C44/1000</f>
        <v>5.6000000000000008E-3</v>
      </c>
      <c r="G44" s="168">
        <f t="shared" ref="G44" si="32">+IF((E44+F44)&gt;1.5,(E44+F44),1.5)</f>
        <v>6.1876000000000007</v>
      </c>
      <c r="H44" s="155">
        <f t="shared" ref="H44" si="33">(0.0055*(G44^-0.47))*100</f>
        <v>0.23353245294292571</v>
      </c>
      <c r="I44" s="530">
        <v>0.7</v>
      </c>
      <c r="J44" s="169">
        <f>C44*(I44/100)</f>
        <v>0.78399999999999992</v>
      </c>
      <c r="K44" s="174">
        <f>+K27</f>
        <v>96</v>
      </c>
      <c r="L44" s="170">
        <f>+K45</f>
        <v>95</v>
      </c>
      <c r="M44" s="170">
        <f>+K44-$B$20</f>
        <v>94.55</v>
      </c>
      <c r="N44" s="170">
        <f>+M44-J44</f>
        <v>93.765999999999991</v>
      </c>
      <c r="O44" s="170">
        <f>K44-M44</f>
        <v>1.4500000000000028</v>
      </c>
      <c r="P44" s="533" t="str">
        <f t="shared" ref="P44:P45" si="34">IF((K44-M44)&gt;=1.2,"verifica","aumentar pendiente")</f>
        <v>verifica</v>
      </c>
      <c r="Q44" s="170">
        <f>L44-N44</f>
        <v>1.2340000000000089</v>
      </c>
      <c r="R44" s="177">
        <v>0.15</v>
      </c>
      <c r="S44" s="172">
        <f>R44/4</f>
        <v>3.7499999999999999E-2</v>
      </c>
      <c r="T44" s="172">
        <f>(87/(1+(0.14/S44^(1/2))))*(S44*(I44/100))^(1/2)</f>
        <v>0.81810584410308418</v>
      </c>
      <c r="U44" s="534" t="str">
        <f t="shared" ref="U44" si="35">IF(T44&gt;=$B$14,"verifica", "aumentar diámetro")</f>
        <v>verifica</v>
      </c>
      <c r="V44" s="534" t="str">
        <f>IF(T44&lt;=$B$15,"verifica","disminuir pend.")</f>
        <v>verifica</v>
      </c>
      <c r="W44" s="168">
        <f>(3.14*(R44/2)^2*T44)</f>
        <v>1.4449794471470725E-2</v>
      </c>
      <c r="X44" s="173">
        <f>(E44+F44)/1000</f>
        <v>6.1876000000000006E-3</v>
      </c>
      <c r="Y44" s="534" t="str">
        <f>IF(W44&gt;=X44,"verifica","no verifica")</f>
        <v>verifica</v>
      </c>
    </row>
    <row r="45" spans="1:25" x14ac:dyDescent="0.3">
      <c r="A45" s="154">
        <v>14</v>
      </c>
      <c r="B45" s="529"/>
      <c r="C45" s="528"/>
      <c r="D45" s="178"/>
      <c r="E45" s="155"/>
      <c r="F45" s="168"/>
      <c r="G45" s="168"/>
      <c r="H45" s="175"/>
      <c r="I45" s="528"/>
      <c r="J45" s="169"/>
      <c r="K45" s="174">
        <f>+(K27+K86)/2</f>
        <v>95</v>
      </c>
      <c r="L45" s="170"/>
      <c r="M45" s="170">
        <f>+N44</f>
        <v>93.765999999999991</v>
      </c>
      <c r="N45" s="170"/>
      <c r="O45" s="170">
        <f>K45-M45</f>
        <v>1.2340000000000089</v>
      </c>
      <c r="P45" s="533" t="str">
        <f t="shared" si="34"/>
        <v>verifica</v>
      </c>
      <c r="Q45" s="170"/>
      <c r="R45" s="177"/>
      <c r="S45" s="172"/>
      <c r="T45" s="172"/>
      <c r="U45" s="154"/>
      <c r="V45" s="154"/>
      <c r="W45" s="168"/>
      <c r="X45" s="168"/>
      <c r="Y45" s="154"/>
    </row>
    <row r="46" spans="1:25" x14ac:dyDescent="0.3">
      <c r="A46" s="154"/>
      <c r="B46" s="529"/>
      <c r="C46" s="528"/>
      <c r="D46" s="178"/>
      <c r="E46" s="155"/>
      <c r="F46" s="168"/>
      <c r="G46" s="168"/>
      <c r="H46" s="175"/>
      <c r="I46" s="528"/>
      <c r="J46" s="169"/>
      <c r="K46" s="174"/>
      <c r="L46" s="170"/>
      <c r="M46" s="170"/>
      <c r="N46" s="170"/>
      <c r="O46" s="170"/>
      <c r="P46" s="170"/>
      <c r="Q46" s="170"/>
      <c r="R46" s="177"/>
      <c r="S46" s="172"/>
      <c r="T46" s="172"/>
      <c r="U46" s="154"/>
      <c r="V46" s="154"/>
      <c r="W46" s="168"/>
      <c r="X46" s="168"/>
      <c r="Y46" s="154"/>
    </row>
    <row r="47" spans="1:25" x14ac:dyDescent="0.3">
      <c r="A47" s="154" t="s">
        <v>667</v>
      </c>
      <c r="B47" s="525">
        <v>2</v>
      </c>
      <c r="C47" s="526">
        <v>112</v>
      </c>
      <c r="D47" s="179">
        <f t="shared" ref="D47" si="36">B47*$B$10</f>
        <v>6.1820000000000004</v>
      </c>
      <c r="E47" s="155">
        <f>+D47</f>
        <v>6.1820000000000004</v>
      </c>
      <c r="F47" s="168">
        <f>+$B$11*C47/1000</f>
        <v>5.6000000000000008E-3</v>
      </c>
      <c r="G47" s="168">
        <f t="shared" ref="G47" si="37">+IF((E47+F47)&gt;1.5,(E47+F47),1.5)</f>
        <v>6.1876000000000007</v>
      </c>
      <c r="H47" s="155">
        <f t="shared" ref="H47" si="38">(0.0055*(G47^-0.47))*100</f>
        <v>0.23353245294292571</v>
      </c>
      <c r="I47" s="530">
        <v>2</v>
      </c>
      <c r="J47" s="169">
        <f>C47*(I47/100)</f>
        <v>2.2400000000000002</v>
      </c>
      <c r="K47" s="174">
        <f>+K28</f>
        <v>95.333333333333329</v>
      </c>
      <c r="L47" s="170">
        <f>+K48</f>
        <v>93.333333333333329</v>
      </c>
      <c r="M47" s="170">
        <f>+K47-$B$20</f>
        <v>93.883333333333326</v>
      </c>
      <c r="N47" s="170">
        <f>+M47-J47</f>
        <v>91.643333333333331</v>
      </c>
      <c r="O47" s="170">
        <f>K47-M47</f>
        <v>1.4500000000000028</v>
      </c>
      <c r="P47" s="533" t="str">
        <f t="shared" ref="P47:P48" si="39">IF((K47-M47)&gt;=1.2,"verifica","aumentar pendiente")</f>
        <v>verifica</v>
      </c>
      <c r="Q47" s="170">
        <f>L47-N47</f>
        <v>1.6899999999999977</v>
      </c>
      <c r="R47" s="177">
        <v>0.1</v>
      </c>
      <c r="S47" s="172">
        <f>R47/4</f>
        <v>2.5000000000000001E-2</v>
      </c>
      <c r="T47" s="172">
        <f>(87/(1+(0.14/S47^(1/2))))*(S47*(I47/100))^(1/2)</f>
        <v>1.0317917659925335</v>
      </c>
      <c r="U47" s="534" t="str">
        <f t="shared" ref="U47" si="40">IF(T47&gt;=$B$14,"verifica", "aumentar diámetro")</f>
        <v>verifica</v>
      </c>
      <c r="V47" s="534" t="str">
        <f>IF(T47&lt;=$B$15,"verifica","disminuir pend.")</f>
        <v>verifica</v>
      </c>
      <c r="W47" s="168">
        <f>(3.14*(R47/2)^2*T47)</f>
        <v>8.0995653630413899E-3</v>
      </c>
      <c r="X47" s="173">
        <f>(E47+F47)/1000</f>
        <v>6.1876000000000006E-3</v>
      </c>
      <c r="Y47" s="534" t="str">
        <f>IF(W47&gt;=X47,"verifica","no verifica")</f>
        <v>verifica</v>
      </c>
    </row>
    <row r="48" spans="1:25" x14ac:dyDescent="0.3">
      <c r="A48" s="154">
        <v>13</v>
      </c>
      <c r="B48" s="529"/>
      <c r="C48" s="528"/>
      <c r="D48" s="178"/>
      <c r="E48" s="155"/>
      <c r="F48" s="168"/>
      <c r="G48" s="168"/>
      <c r="H48" s="175"/>
      <c r="I48" s="528"/>
      <c r="J48" s="169"/>
      <c r="K48" s="174">
        <f>+K87</f>
        <v>93.333333333333329</v>
      </c>
      <c r="L48" s="170"/>
      <c r="M48" s="170">
        <f>+N47</f>
        <v>91.643333333333331</v>
      </c>
      <c r="N48" s="170"/>
      <c r="O48" s="170">
        <f>K48-M48</f>
        <v>1.6899999999999977</v>
      </c>
      <c r="P48" s="533" t="str">
        <f t="shared" si="39"/>
        <v>verifica</v>
      </c>
      <c r="Q48" s="170"/>
      <c r="R48" s="177"/>
      <c r="S48" s="172"/>
      <c r="T48" s="172"/>
      <c r="U48" s="154"/>
      <c r="V48" s="154"/>
      <c r="W48" s="168"/>
      <c r="X48" s="168"/>
      <c r="Y48" s="154"/>
    </row>
    <row r="49" spans="1:25" x14ac:dyDescent="0.3">
      <c r="A49" s="154"/>
      <c r="B49" s="529"/>
      <c r="C49" s="528"/>
      <c r="D49" s="178"/>
      <c r="E49" s="155"/>
      <c r="F49" s="168"/>
      <c r="G49" s="168"/>
      <c r="H49" s="175"/>
      <c r="I49" s="528"/>
      <c r="J49" s="169"/>
      <c r="K49" s="174"/>
      <c r="L49" s="170"/>
      <c r="M49" s="170"/>
      <c r="N49" s="170"/>
      <c r="O49" s="170"/>
      <c r="P49" s="170"/>
      <c r="Q49" s="170"/>
      <c r="R49" s="177"/>
      <c r="S49" s="172"/>
      <c r="T49" s="172"/>
      <c r="U49" s="154"/>
      <c r="V49" s="154"/>
      <c r="W49" s="168"/>
      <c r="X49" s="168"/>
      <c r="Y49" s="154"/>
    </row>
    <row r="50" spans="1:25" x14ac:dyDescent="0.3">
      <c r="A50" s="154" t="s">
        <v>668</v>
      </c>
      <c r="B50" s="525">
        <v>2</v>
      </c>
      <c r="C50" s="526">
        <v>112</v>
      </c>
      <c r="D50" s="179">
        <f>B50*$B$10</f>
        <v>6.1820000000000004</v>
      </c>
      <c r="E50" s="155">
        <f>+D50</f>
        <v>6.1820000000000004</v>
      </c>
      <c r="F50" s="168">
        <f>+$B$11*C50/1000</f>
        <v>5.6000000000000008E-3</v>
      </c>
      <c r="G50" s="168">
        <f t="shared" ref="G50" si="41">+IF((E50+F50)&gt;1.5,(E50+F50),1.5)</f>
        <v>6.1876000000000007</v>
      </c>
      <c r="H50" s="155">
        <f t="shared" ref="H50" si="42">(0.0055*(G50^-0.47))*100</f>
        <v>0.23353245294292571</v>
      </c>
      <c r="I50" s="530">
        <v>2</v>
      </c>
      <c r="J50" s="169">
        <f>C50*(I50/100)</f>
        <v>2.2400000000000002</v>
      </c>
      <c r="K50" s="174">
        <f>+K29</f>
        <v>94.666666666666657</v>
      </c>
      <c r="L50" s="170">
        <f>+K51</f>
        <v>92.888888888888886</v>
      </c>
      <c r="M50" s="170">
        <f>+K50-$B$20</f>
        <v>93.216666666666654</v>
      </c>
      <c r="N50" s="170">
        <f>+M50-J50</f>
        <v>90.976666666666659</v>
      </c>
      <c r="O50" s="170">
        <f>K50-M50</f>
        <v>1.4500000000000028</v>
      </c>
      <c r="P50" s="533" t="str">
        <f t="shared" ref="P50:P51" si="43">IF((K50-M50)&gt;=1.2,"verifica","aumentar pendiente")</f>
        <v>verifica</v>
      </c>
      <c r="Q50" s="170">
        <f>L50-N50</f>
        <v>1.9122222222222263</v>
      </c>
      <c r="R50" s="177">
        <v>0.1</v>
      </c>
      <c r="S50" s="172">
        <f>R50/4</f>
        <v>2.5000000000000001E-2</v>
      </c>
      <c r="T50" s="172">
        <f>(87/(1+(0.14/S50^(1/2))))*(S50*(I50/100))^(1/2)</f>
        <v>1.0317917659925335</v>
      </c>
      <c r="U50" s="534" t="str">
        <f t="shared" ref="U50" si="44">IF(T50&gt;=$B$14,"verifica", "aumentar diámetro")</f>
        <v>verifica</v>
      </c>
      <c r="V50" s="534" t="str">
        <f>IF(T50&lt;=$B$15,"verifica","disminuir pend.")</f>
        <v>verifica</v>
      </c>
      <c r="W50" s="168">
        <f>(3.14*(R50/2)^2*T50)</f>
        <v>8.0995653630413899E-3</v>
      </c>
      <c r="X50" s="173">
        <f>(E50+F50)/1000</f>
        <v>6.1876000000000006E-3</v>
      </c>
      <c r="Y50" s="534" t="str">
        <f>IF(W50&gt;=X50,"verifica","no verifica")</f>
        <v>verifica</v>
      </c>
    </row>
    <row r="51" spans="1:25" x14ac:dyDescent="0.3">
      <c r="A51" s="154">
        <v>12</v>
      </c>
      <c r="B51" s="529"/>
      <c r="C51" s="528"/>
      <c r="D51" s="178"/>
      <c r="E51" s="155"/>
      <c r="F51" s="168"/>
      <c r="G51" s="168"/>
      <c r="H51" s="175"/>
      <c r="I51" s="528"/>
      <c r="J51" s="169"/>
      <c r="K51" s="174">
        <f>+K88</f>
        <v>92.888888888888886</v>
      </c>
      <c r="L51" s="170"/>
      <c r="M51" s="170">
        <f>+N50</f>
        <v>90.976666666666659</v>
      </c>
      <c r="N51" s="170"/>
      <c r="O51" s="170">
        <f>K51-M51</f>
        <v>1.9122222222222263</v>
      </c>
      <c r="P51" s="533" t="str">
        <f t="shared" si="43"/>
        <v>verifica</v>
      </c>
      <c r="Q51" s="170"/>
      <c r="R51" s="177"/>
      <c r="S51" s="172"/>
      <c r="T51" s="172"/>
      <c r="U51" s="154"/>
      <c r="V51" s="154"/>
      <c r="W51" s="168"/>
      <c r="X51" s="168"/>
      <c r="Y51" s="154"/>
    </row>
    <row r="52" spans="1:25" x14ac:dyDescent="0.3">
      <c r="A52" s="154"/>
      <c r="B52" s="529"/>
      <c r="C52" s="528"/>
      <c r="D52" s="178"/>
      <c r="E52" s="155"/>
      <c r="F52" s="168"/>
      <c r="G52" s="168"/>
      <c r="H52" s="175"/>
      <c r="I52" s="528"/>
      <c r="J52" s="169"/>
      <c r="K52" s="170"/>
      <c r="L52" s="170"/>
      <c r="M52" s="170"/>
      <c r="N52" s="170"/>
      <c r="O52" s="170"/>
      <c r="P52" s="170"/>
      <c r="Q52" s="170"/>
      <c r="R52" s="177"/>
      <c r="S52" s="172"/>
      <c r="T52" s="172"/>
      <c r="U52" s="154"/>
      <c r="V52" s="154"/>
      <c r="W52" s="168"/>
      <c r="X52" s="168"/>
      <c r="Y52" s="154"/>
    </row>
    <row r="53" spans="1:25" x14ac:dyDescent="0.3">
      <c r="A53" s="166" t="s">
        <v>669</v>
      </c>
      <c r="B53" s="525">
        <v>4</v>
      </c>
      <c r="C53" s="526">
        <v>112</v>
      </c>
      <c r="D53" s="171">
        <f t="shared" ref="D53:D56" si="45">B53*$B$10</f>
        <v>12.364000000000001</v>
      </c>
      <c r="E53" s="155">
        <f>+D53+G35</f>
        <v>15.460600000000001</v>
      </c>
      <c r="F53" s="168">
        <f>+$B$11*C53/1000</f>
        <v>5.6000000000000008E-3</v>
      </c>
      <c r="G53" s="168">
        <f>+IF((E53+F53)&gt;1.5,(E53+F53),1.5)</f>
        <v>15.466200000000001</v>
      </c>
      <c r="H53" s="155">
        <f t="shared" ref="H53:H56" si="46">(0.0055*(G53^-0.47))*100</f>
        <v>0.15182818039147217</v>
      </c>
      <c r="I53" s="530">
        <v>0.5</v>
      </c>
      <c r="J53" s="169">
        <f t="shared" ref="J53:J58" si="47">C53*(I53/100)</f>
        <v>0.56000000000000005</v>
      </c>
      <c r="K53" s="532">
        <f>+K36</f>
        <v>96</v>
      </c>
      <c r="L53" s="170">
        <f>+K54</f>
        <v>95.796296296296291</v>
      </c>
      <c r="M53" s="170">
        <f>+K53-$B$20</f>
        <v>94.55</v>
      </c>
      <c r="N53" s="170">
        <f t="shared" ref="N53:N58" si="48">+M53-J53</f>
        <v>93.99</v>
      </c>
      <c r="O53" s="170">
        <f t="shared" ref="O53:O59" si="49">K53-M53</f>
        <v>1.4500000000000028</v>
      </c>
      <c r="P53" s="533" t="str">
        <f t="shared" ref="P53:P56" si="50">IF((K53-M53)&gt;=1.2,"verifica","aumentar pendiente")</f>
        <v>verifica</v>
      </c>
      <c r="Q53" s="170">
        <f t="shared" ref="Q53:Q58" si="51">L53-N53</f>
        <v>1.8062962962962956</v>
      </c>
      <c r="R53" s="177">
        <v>0.25</v>
      </c>
      <c r="S53" s="172">
        <f t="shared" ref="S53:S58" si="52">R53/4</f>
        <v>6.25E-2</v>
      </c>
      <c r="T53" s="172">
        <f t="shared" ref="T53:T58" si="53">(87/(1+(0.14/S53^(1/2))))*(S53*(I53/100))^(1/2)</f>
        <v>0.98587003146201335</v>
      </c>
      <c r="U53" s="534" t="str">
        <f t="shared" ref="U53:U58" si="54">IF(T53&gt;=$B$14,"verifica", "aumentar diámetro")</f>
        <v>verifica</v>
      </c>
      <c r="V53" s="534" t="str">
        <f t="shared" ref="V53:V58" si="55">IF(T53&lt;=$B$15,"verifica","disminuir pend.")</f>
        <v>verifica</v>
      </c>
      <c r="W53" s="168">
        <f t="shared" ref="W53:W58" si="56">(3.14*(R53/2)^2*T53)</f>
        <v>4.8369248418605029E-2</v>
      </c>
      <c r="X53" s="173">
        <f t="shared" ref="X53:X58" si="57">(E53+F53)/1000</f>
        <v>1.5466200000000001E-2</v>
      </c>
      <c r="Y53" s="534" t="str">
        <f t="shared" ref="Y53:Y58" si="58">IF(W53&gt;=X53,"verifica","no verifica")</f>
        <v>verifica</v>
      </c>
    </row>
    <row r="54" spans="1:25" x14ac:dyDescent="0.3">
      <c r="A54" s="154" t="s">
        <v>670</v>
      </c>
      <c r="B54" s="525">
        <v>4</v>
      </c>
      <c r="C54" s="526">
        <v>112</v>
      </c>
      <c r="D54" s="171">
        <f t="shared" si="45"/>
        <v>12.364000000000001</v>
      </c>
      <c r="E54" s="155">
        <f>+D54+E53+G38</f>
        <v>34.012200000000007</v>
      </c>
      <c r="F54" s="168">
        <f>+$B$11*C54/1000+F53+F44</f>
        <v>1.6800000000000002E-2</v>
      </c>
      <c r="G54" s="168">
        <f t="shared" ref="G54:G56" si="59">+IF((E54+F54)&gt;1.5,(E54+F54),1.5)</f>
        <v>34.029000000000011</v>
      </c>
      <c r="H54" s="155">
        <f t="shared" si="46"/>
        <v>0.1048077919898639</v>
      </c>
      <c r="I54" s="530">
        <v>0.5</v>
      </c>
      <c r="J54" s="169">
        <f t="shared" si="47"/>
        <v>0.56000000000000005</v>
      </c>
      <c r="K54" s="174">
        <f>K53-(K53-K56)/(C53*3)*C53</f>
        <v>95.796296296296291</v>
      </c>
      <c r="L54" s="170">
        <f t="shared" ref="L54:L58" si="60">+K55</f>
        <v>95.660493827160494</v>
      </c>
      <c r="M54" s="170">
        <f>+N53</f>
        <v>93.99</v>
      </c>
      <c r="N54" s="170">
        <f t="shared" si="48"/>
        <v>93.429999999999993</v>
      </c>
      <c r="O54" s="170">
        <f t="shared" si="49"/>
        <v>1.8062962962962956</v>
      </c>
      <c r="P54" s="533" t="str">
        <f t="shared" si="50"/>
        <v>verifica</v>
      </c>
      <c r="Q54" s="170">
        <f t="shared" si="51"/>
        <v>2.230493827160501</v>
      </c>
      <c r="R54" s="177">
        <v>0.25</v>
      </c>
      <c r="S54" s="172">
        <f t="shared" si="52"/>
        <v>6.25E-2</v>
      </c>
      <c r="T54" s="172">
        <f t="shared" si="53"/>
        <v>0.98587003146201335</v>
      </c>
      <c r="U54" s="534" t="str">
        <f t="shared" si="54"/>
        <v>verifica</v>
      </c>
      <c r="V54" s="534" t="str">
        <f t="shared" si="55"/>
        <v>verifica</v>
      </c>
      <c r="W54" s="168">
        <f t="shared" si="56"/>
        <v>4.8369248418605029E-2</v>
      </c>
      <c r="X54" s="173">
        <f t="shared" si="57"/>
        <v>3.4029000000000011E-2</v>
      </c>
      <c r="Y54" s="534" t="str">
        <f t="shared" si="58"/>
        <v>verifica</v>
      </c>
    </row>
    <row r="55" spans="1:25" x14ac:dyDescent="0.3">
      <c r="A55" s="154" t="s">
        <v>671</v>
      </c>
      <c r="B55" s="525">
        <v>4</v>
      </c>
      <c r="C55" s="526">
        <v>112</v>
      </c>
      <c r="D55" s="171">
        <f t="shared" si="45"/>
        <v>12.364000000000001</v>
      </c>
      <c r="E55" s="155">
        <f>+D55+E54+G41</f>
        <v>52.563800000000015</v>
      </c>
      <c r="F55" s="168">
        <f>+$B$11*C55/1000+F54+G41</f>
        <v>6.2100000000000009</v>
      </c>
      <c r="G55" s="168">
        <f t="shared" si="59"/>
        <v>58.773800000000016</v>
      </c>
      <c r="H55" s="155">
        <f t="shared" si="46"/>
        <v>8.106741357272737E-2</v>
      </c>
      <c r="I55" s="530">
        <v>0.5</v>
      </c>
      <c r="J55" s="169">
        <f t="shared" si="47"/>
        <v>0.56000000000000005</v>
      </c>
      <c r="K55" s="174">
        <f>K54-(K54-K56)/(C54*3)*C54</f>
        <v>95.660493827160494</v>
      </c>
      <c r="L55" s="170">
        <f t="shared" si="60"/>
        <v>95.388888888888886</v>
      </c>
      <c r="M55" s="170">
        <f t="shared" ref="M55:M59" si="61">+N54</f>
        <v>93.429999999999993</v>
      </c>
      <c r="N55" s="170">
        <f t="shared" si="48"/>
        <v>92.86999999999999</v>
      </c>
      <c r="O55" s="170">
        <f t="shared" si="49"/>
        <v>2.230493827160501</v>
      </c>
      <c r="P55" s="533" t="str">
        <f t="shared" si="50"/>
        <v>verifica</v>
      </c>
      <c r="Q55" s="170">
        <f t="shared" si="51"/>
        <v>2.5188888888888954</v>
      </c>
      <c r="R55" s="177">
        <v>0.3</v>
      </c>
      <c r="S55" s="172">
        <f t="shared" si="52"/>
        <v>7.4999999999999997E-2</v>
      </c>
      <c r="T55" s="172">
        <f t="shared" si="53"/>
        <v>1.114835328675557</v>
      </c>
      <c r="U55" s="534" t="str">
        <f t="shared" si="54"/>
        <v>verifica</v>
      </c>
      <c r="V55" s="534" t="str">
        <f t="shared" si="55"/>
        <v>verifica</v>
      </c>
      <c r="W55" s="168">
        <f t="shared" si="56"/>
        <v>7.876311597092811E-2</v>
      </c>
      <c r="X55" s="173">
        <f t="shared" si="57"/>
        <v>5.8773800000000015E-2</v>
      </c>
      <c r="Y55" s="534" t="str">
        <f t="shared" si="58"/>
        <v>verifica</v>
      </c>
    </row>
    <row r="56" spans="1:25" x14ac:dyDescent="0.3">
      <c r="A56" s="154" t="s">
        <v>672</v>
      </c>
      <c r="B56" s="525">
        <v>4</v>
      </c>
      <c r="C56" s="526">
        <v>112</v>
      </c>
      <c r="D56" s="171">
        <f t="shared" si="45"/>
        <v>12.364000000000001</v>
      </c>
      <c r="E56" s="155">
        <f>+D56+E55+G44</f>
        <v>71.115400000000022</v>
      </c>
      <c r="F56" s="168">
        <f>+$B$11*C56/1000+F54+G44</f>
        <v>6.2100000000000009</v>
      </c>
      <c r="G56" s="168">
        <f t="shared" si="59"/>
        <v>77.32540000000003</v>
      </c>
      <c r="H56" s="155">
        <f t="shared" si="46"/>
        <v>7.1260894106981679E-2</v>
      </c>
      <c r="I56" s="530">
        <v>0.5</v>
      </c>
      <c r="J56" s="169">
        <f t="shared" si="47"/>
        <v>0.56000000000000005</v>
      </c>
      <c r="K56" s="532">
        <f>+K42</f>
        <v>95.388888888888886</v>
      </c>
      <c r="L56" s="170">
        <f t="shared" si="60"/>
        <v>94.592592592592595</v>
      </c>
      <c r="M56" s="170">
        <f t="shared" si="61"/>
        <v>92.86999999999999</v>
      </c>
      <c r="N56" s="170">
        <f t="shared" si="48"/>
        <v>92.309999999999988</v>
      </c>
      <c r="O56" s="170">
        <f t="shared" si="49"/>
        <v>2.5188888888888954</v>
      </c>
      <c r="P56" s="533" t="str">
        <f t="shared" si="50"/>
        <v>verifica</v>
      </c>
      <c r="Q56" s="170">
        <f t="shared" si="51"/>
        <v>2.2825925925926072</v>
      </c>
      <c r="R56" s="177">
        <v>0.3</v>
      </c>
      <c r="S56" s="172">
        <f t="shared" si="52"/>
        <v>7.4999999999999997E-2</v>
      </c>
      <c r="T56" s="172">
        <f t="shared" si="53"/>
        <v>1.114835328675557</v>
      </c>
      <c r="U56" s="534" t="str">
        <f t="shared" si="54"/>
        <v>verifica</v>
      </c>
      <c r="V56" s="534" t="str">
        <f t="shared" si="55"/>
        <v>verifica</v>
      </c>
      <c r="W56" s="168">
        <f t="shared" si="56"/>
        <v>7.876311597092811E-2</v>
      </c>
      <c r="X56" s="173">
        <f t="shared" si="57"/>
        <v>7.732540000000003E-2</v>
      </c>
      <c r="Y56" s="534" t="str">
        <f t="shared" si="58"/>
        <v>verifica</v>
      </c>
    </row>
    <row r="57" spans="1:25" x14ac:dyDescent="0.3">
      <c r="A57" s="154" t="s">
        <v>673</v>
      </c>
      <c r="B57" s="525">
        <v>4</v>
      </c>
      <c r="C57" s="526">
        <v>112</v>
      </c>
      <c r="D57" s="171">
        <f>B57*$B$10</f>
        <v>12.364000000000001</v>
      </c>
      <c r="E57" s="155">
        <f>+D57+E56+G47</f>
        <v>89.66700000000003</v>
      </c>
      <c r="F57" s="168">
        <f>+$B$11*C57/1000+F56+G50</f>
        <v>12.403200000000002</v>
      </c>
      <c r="G57" s="168">
        <f>+IF((E57+F57)&gt;1.5,(E57+F57),1.5)</f>
        <v>102.07020000000003</v>
      </c>
      <c r="H57" s="155">
        <f>(0.0055*(G57^-0.47))*100</f>
        <v>6.2543211175339508E-2</v>
      </c>
      <c r="I57" s="530">
        <v>0.5</v>
      </c>
      <c r="J57" s="169">
        <f t="shared" si="47"/>
        <v>0.56000000000000005</v>
      </c>
      <c r="K57" s="174">
        <f>K56-(K56-K59)/(C56*3)*C56</f>
        <v>94.592592592592595</v>
      </c>
      <c r="L57" s="170">
        <f t="shared" si="60"/>
        <v>94.061728395061735</v>
      </c>
      <c r="M57" s="170">
        <f t="shared" si="61"/>
        <v>92.309999999999988</v>
      </c>
      <c r="N57" s="170">
        <f t="shared" si="48"/>
        <v>91.749999999999986</v>
      </c>
      <c r="O57" s="170">
        <f t="shared" si="49"/>
        <v>2.2825925925926072</v>
      </c>
      <c r="P57" s="533" t="str">
        <f>IF((K57-M57)&gt;=1.2,"verifica","aumentar pendiente")</f>
        <v>verifica</v>
      </c>
      <c r="Q57" s="170">
        <f t="shared" si="51"/>
        <v>2.3117283950617491</v>
      </c>
      <c r="R57" s="177">
        <v>0.35</v>
      </c>
      <c r="S57" s="172">
        <f t="shared" si="52"/>
        <v>8.7499999999999994E-2</v>
      </c>
      <c r="T57" s="172">
        <f t="shared" si="53"/>
        <v>1.235153992559793</v>
      </c>
      <c r="U57" s="534" t="str">
        <f t="shared" si="54"/>
        <v>verifica</v>
      </c>
      <c r="V57" s="534" t="str">
        <f t="shared" si="55"/>
        <v>verifica</v>
      </c>
      <c r="W57" s="168">
        <f t="shared" si="56"/>
        <v>0.11877549580953109</v>
      </c>
      <c r="X57" s="173">
        <f t="shared" si="57"/>
        <v>0.10207020000000003</v>
      </c>
      <c r="Y57" s="534" t="str">
        <f t="shared" si="58"/>
        <v>verifica</v>
      </c>
    </row>
    <row r="58" spans="1:25" x14ac:dyDescent="0.3">
      <c r="A58" s="154" t="s">
        <v>674</v>
      </c>
      <c r="B58" s="525">
        <v>4</v>
      </c>
      <c r="C58" s="526">
        <v>112</v>
      </c>
      <c r="D58" s="171">
        <f>B58*$B$10</f>
        <v>12.364000000000001</v>
      </c>
      <c r="E58" s="155">
        <f>+D58+E57+G50</f>
        <v>108.21860000000004</v>
      </c>
      <c r="F58" s="168">
        <f>+$B$11*C58/1000+F57+F51</f>
        <v>12.408800000000001</v>
      </c>
      <c r="G58" s="168">
        <f>+IF((E58+F58)&gt;1.5,(E58+F58),1.5)</f>
        <v>120.62740000000004</v>
      </c>
      <c r="H58" s="155">
        <f>(0.0055*(G58^-0.47))*100</f>
        <v>5.782066536147696E-2</v>
      </c>
      <c r="I58" s="530">
        <v>1</v>
      </c>
      <c r="J58" s="169">
        <f t="shared" si="47"/>
        <v>1.1200000000000001</v>
      </c>
      <c r="K58" s="174">
        <f>K57-(K57-K59)/(C57*3)*C57</f>
        <v>94.061728395061735</v>
      </c>
      <c r="L58" s="170">
        <f t="shared" si="60"/>
        <v>93</v>
      </c>
      <c r="M58" s="170">
        <f t="shared" si="61"/>
        <v>91.749999999999986</v>
      </c>
      <c r="N58" s="170">
        <f t="shared" si="48"/>
        <v>90.629999999999981</v>
      </c>
      <c r="O58" s="170">
        <f t="shared" si="49"/>
        <v>2.3117283950617491</v>
      </c>
      <c r="P58" s="533" t="str">
        <f>IF((K58-M58)&gt;=1.2,"verifica","aumentar pendiente")</f>
        <v>verifica</v>
      </c>
      <c r="Q58" s="170">
        <f t="shared" si="51"/>
        <v>2.3700000000000188</v>
      </c>
      <c r="R58" s="177">
        <v>0.35</v>
      </c>
      <c r="S58" s="172">
        <f t="shared" si="52"/>
        <v>8.7499999999999994E-2</v>
      </c>
      <c r="T58" s="172">
        <f t="shared" si="53"/>
        <v>1.7467715278973359</v>
      </c>
      <c r="U58" s="534" t="str">
        <f t="shared" si="54"/>
        <v>verifica</v>
      </c>
      <c r="V58" s="534" t="str">
        <f t="shared" si="55"/>
        <v>verifica</v>
      </c>
      <c r="W58" s="168">
        <f t="shared" si="56"/>
        <v>0.16797391705142756</v>
      </c>
      <c r="X58" s="173">
        <f t="shared" si="57"/>
        <v>0.12062740000000004</v>
      </c>
      <c r="Y58" s="534" t="str">
        <f t="shared" si="58"/>
        <v>verifica</v>
      </c>
    </row>
    <row r="59" spans="1:25" x14ac:dyDescent="0.3">
      <c r="A59" s="154">
        <v>11</v>
      </c>
      <c r="B59" s="527"/>
      <c r="C59" s="528"/>
      <c r="D59" s="178"/>
      <c r="E59" s="155"/>
      <c r="F59" s="168"/>
      <c r="G59" s="168"/>
      <c r="H59" s="175"/>
      <c r="I59" s="528"/>
      <c r="J59" s="169"/>
      <c r="K59" s="532">
        <f>+K31</f>
        <v>93</v>
      </c>
      <c r="L59" s="170"/>
      <c r="M59" s="170">
        <f t="shared" si="61"/>
        <v>90.629999999999981</v>
      </c>
      <c r="N59" s="170"/>
      <c r="O59" s="170">
        <f t="shared" si="49"/>
        <v>2.3700000000000188</v>
      </c>
      <c r="P59" s="533" t="str">
        <f t="shared" ref="P59" si="62">IF((K59-M59)&gt;=1.2,"verifica","aumentar pendiente")</f>
        <v>verifica</v>
      </c>
      <c r="Q59" s="170"/>
      <c r="R59" s="177"/>
      <c r="S59" s="172"/>
      <c r="T59" s="172"/>
      <c r="U59" s="154"/>
      <c r="V59" s="154"/>
      <c r="W59" s="168"/>
      <c r="X59" s="168"/>
      <c r="Y59" s="154"/>
    </row>
    <row r="60" spans="1:25" x14ac:dyDescent="0.3">
      <c r="A60" s="154"/>
      <c r="B60" s="527"/>
      <c r="C60" s="528"/>
      <c r="D60" s="171"/>
      <c r="E60" s="155"/>
      <c r="F60" s="168"/>
      <c r="G60" s="168"/>
      <c r="H60" s="155"/>
      <c r="I60" s="528"/>
      <c r="J60" s="169"/>
      <c r="K60" s="174"/>
      <c r="L60" s="170"/>
      <c r="M60" s="170"/>
      <c r="N60" s="170"/>
      <c r="O60" s="170"/>
      <c r="P60" s="170"/>
      <c r="Q60" s="170"/>
      <c r="R60" s="177"/>
      <c r="S60" s="172"/>
      <c r="T60" s="172"/>
      <c r="U60" s="154"/>
      <c r="V60" s="154"/>
      <c r="W60" s="168"/>
      <c r="X60" s="173"/>
      <c r="Y60" s="154"/>
    </row>
    <row r="61" spans="1:25" x14ac:dyDescent="0.3">
      <c r="A61" s="154"/>
      <c r="B61" s="527"/>
      <c r="C61" s="528"/>
      <c r="D61" s="178"/>
      <c r="E61" s="155"/>
      <c r="F61" s="168"/>
      <c r="G61" s="168"/>
      <c r="H61" s="175"/>
      <c r="I61" s="528"/>
      <c r="J61" s="169"/>
      <c r="K61" s="174"/>
      <c r="L61" s="170"/>
      <c r="M61" s="170"/>
      <c r="N61" s="170"/>
      <c r="O61" s="170"/>
      <c r="P61" s="170"/>
      <c r="Q61" s="170"/>
      <c r="R61" s="177"/>
      <c r="S61" s="172"/>
      <c r="T61" s="172"/>
      <c r="U61" s="154"/>
      <c r="V61" s="154"/>
      <c r="W61" s="168"/>
      <c r="X61" s="168"/>
      <c r="Y61" s="154"/>
    </row>
    <row r="62" spans="1:25" x14ac:dyDescent="0.3">
      <c r="A62" s="154"/>
      <c r="B62" s="527"/>
      <c r="C62" s="528"/>
      <c r="D62" s="178"/>
      <c r="E62" s="155"/>
      <c r="F62" s="168"/>
      <c r="G62" s="168"/>
      <c r="H62" s="175"/>
      <c r="I62" s="528"/>
      <c r="J62" s="169"/>
      <c r="K62" s="174"/>
      <c r="L62" s="170"/>
      <c r="M62" s="170"/>
      <c r="N62" s="170"/>
      <c r="O62" s="170"/>
      <c r="P62" s="170"/>
      <c r="Q62" s="170"/>
      <c r="R62" s="177"/>
      <c r="S62" s="172"/>
      <c r="T62" s="172"/>
      <c r="U62" s="154"/>
      <c r="V62" s="154"/>
      <c r="W62" s="168"/>
      <c r="X62" s="168"/>
      <c r="Y62" s="154"/>
    </row>
    <row r="63" spans="1:25" x14ac:dyDescent="0.3">
      <c r="A63" s="154" t="s">
        <v>675</v>
      </c>
      <c r="B63" s="525">
        <v>1</v>
      </c>
      <c r="C63" s="526">
        <v>112</v>
      </c>
      <c r="D63" s="179">
        <f t="shared" ref="D63" si="63">B63*$B$10</f>
        <v>3.0910000000000002</v>
      </c>
      <c r="E63" s="155">
        <f>+D63</f>
        <v>3.0910000000000002</v>
      </c>
      <c r="F63" s="168">
        <f>+$B$11*C63/1000</f>
        <v>5.6000000000000008E-3</v>
      </c>
      <c r="G63" s="168">
        <f t="shared" ref="G63" si="64">+IF((E63+F63)&gt;1.5,(E63+F63),1.5)</f>
        <v>3.0966</v>
      </c>
      <c r="H63" s="155">
        <f t="shared" ref="H63" si="65">(0.0055*(G63^-0.47))*100</f>
        <v>0.32333051056770457</v>
      </c>
      <c r="I63" s="530">
        <v>0.7</v>
      </c>
      <c r="J63" s="169">
        <f>C63*(I63/100)</f>
        <v>0.78399999999999992</v>
      </c>
      <c r="K63" s="174">
        <f>+K36</f>
        <v>96</v>
      </c>
      <c r="L63" s="170">
        <f>+K64</f>
        <v>95.5</v>
      </c>
      <c r="M63" s="170">
        <f>+K63-$B$20</f>
        <v>94.55</v>
      </c>
      <c r="N63" s="170">
        <f>+M63-J63</f>
        <v>93.765999999999991</v>
      </c>
      <c r="O63" s="170">
        <f>K63-M63</f>
        <v>1.4500000000000028</v>
      </c>
      <c r="P63" s="533" t="str">
        <f t="shared" ref="P63:P64" si="66">IF((K63-M63)&gt;=1.2,"verifica","aumentar pendiente")</f>
        <v>verifica</v>
      </c>
      <c r="Q63" s="170">
        <f>L63-N63</f>
        <v>1.7340000000000089</v>
      </c>
      <c r="R63" s="177">
        <v>0.15</v>
      </c>
      <c r="S63" s="172">
        <f>R63/4</f>
        <v>3.7499999999999999E-2</v>
      </c>
      <c r="T63" s="172">
        <f>(87/(1+(0.14/S63^(1/2))))*(S63*(I63/100))^(1/2)</f>
        <v>0.81810584410308418</v>
      </c>
      <c r="U63" s="534" t="str">
        <f t="shared" ref="U63" si="67">IF(T63&gt;=$B$14,"verifica", "aumentar diámetro")</f>
        <v>verifica</v>
      </c>
      <c r="V63" s="534" t="str">
        <f>IF(T63&lt;=$B$15,"verifica","disminuir pend.")</f>
        <v>verifica</v>
      </c>
      <c r="W63" s="168">
        <f>(3.14*(R63/2)^2*T63)</f>
        <v>1.4449794471470725E-2</v>
      </c>
      <c r="X63" s="173">
        <f>(E63+F63)/1000</f>
        <v>3.0966000000000001E-3</v>
      </c>
      <c r="Y63" s="534" t="str">
        <f>IF(W63&gt;=X63,"verifica","no verifica")</f>
        <v>verifica</v>
      </c>
    </row>
    <row r="64" spans="1:25" x14ac:dyDescent="0.3">
      <c r="A64" s="154">
        <v>27</v>
      </c>
      <c r="B64" s="527"/>
      <c r="C64" s="528"/>
      <c r="D64" s="178"/>
      <c r="E64" s="155"/>
      <c r="F64" s="168"/>
      <c r="G64" s="168"/>
      <c r="H64" s="175"/>
      <c r="I64" s="528"/>
      <c r="J64" s="169"/>
      <c r="K64" s="174">
        <f>+(K63+K83)/2</f>
        <v>95.5</v>
      </c>
      <c r="L64" s="170"/>
      <c r="M64" s="170">
        <f>+N63</f>
        <v>93.765999999999991</v>
      </c>
      <c r="N64" s="170"/>
      <c r="O64" s="170">
        <f>K64-M64</f>
        <v>1.7340000000000089</v>
      </c>
      <c r="P64" s="533" t="str">
        <f t="shared" si="66"/>
        <v>verifica</v>
      </c>
      <c r="Q64" s="170"/>
      <c r="R64" s="177"/>
      <c r="S64" s="172"/>
      <c r="T64" s="172"/>
      <c r="U64" s="154"/>
      <c r="V64" s="154"/>
      <c r="W64" s="168"/>
      <c r="X64" s="168"/>
      <c r="Y64" s="154"/>
    </row>
    <row r="65" spans="1:25" x14ac:dyDescent="0.3">
      <c r="A65" s="154"/>
      <c r="B65" s="527"/>
      <c r="C65" s="528"/>
      <c r="D65" s="178"/>
      <c r="E65" s="155"/>
      <c r="F65" s="168"/>
      <c r="G65" s="168"/>
      <c r="H65" s="175"/>
      <c r="I65" s="528"/>
      <c r="J65" s="169"/>
      <c r="K65" s="174"/>
      <c r="L65" s="170"/>
      <c r="M65" s="170"/>
      <c r="N65" s="170"/>
      <c r="O65" s="170"/>
      <c r="P65" s="170"/>
      <c r="Q65" s="170"/>
      <c r="R65" s="177"/>
      <c r="S65" s="172"/>
      <c r="T65" s="172"/>
      <c r="U65" s="154"/>
      <c r="V65" s="154"/>
      <c r="W65" s="168"/>
      <c r="X65" s="168"/>
      <c r="Y65" s="154"/>
    </row>
    <row r="66" spans="1:25" x14ac:dyDescent="0.3">
      <c r="A66" s="154" t="s">
        <v>676</v>
      </c>
      <c r="B66" s="525">
        <v>2</v>
      </c>
      <c r="C66" s="526">
        <v>112</v>
      </c>
      <c r="D66" s="179">
        <f t="shared" ref="D66" si="68">B66*$B$10</f>
        <v>6.1820000000000004</v>
      </c>
      <c r="E66" s="155">
        <f>+D66</f>
        <v>6.1820000000000004</v>
      </c>
      <c r="F66" s="168">
        <f>+$B$11*C66/1000</f>
        <v>5.6000000000000008E-3</v>
      </c>
      <c r="G66" s="168">
        <f t="shared" ref="G66" si="69">+IF((E66+F66)&gt;1.5,(E66+F66),1.5)</f>
        <v>6.1876000000000007</v>
      </c>
      <c r="H66" s="155">
        <f t="shared" ref="H66" si="70">(0.0055*(G66^-0.47))*100</f>
        <v>0.23353245294292571</v>
      </c>
      <c r="I66" s="530">
        <v>0.7</v>
      </c>
      <c r="J66" s="169">
        <f>C66*(I66/100)</f>
        <v>0.78399999999999992</v>
      </c>
      <c r="K66" s="174">
        <f>+K54</f>
        <v>95.796296296296291</v>
      </c>
      <c r="L66" s="170">
        <f>+K67</f>
        <v>95.231481481481481</v>
      </c>
      <c r="M66" s="170">
        <f>+K66-$B$20</f>
        <v>94.346296296296288</v>
      </c>
      <c r="N66" s="170">
        <f>+M66-J66</f>
        <v>93.562296296296282</v>
      </c>
      <c r="O66" s="170">
        <f>K66-M66</f>
        <v>1.4500000000000028</v>
      </c>
      <c r="P66" s="533" t="str">
        <f t="shared" ref="P66:P67" si="71">IF((K66-M66)&gt;=1.2,"verifica","aumentar pendiente")</f>
        <v>verifica</v>
      </c>
      <c r="Q66" s="170">
        <f>L66-N66</f>
        <v>1.6691851851851993</v>
      </c>
      <c r="R66" s="177">
        <v>0.15</v>
      </c>
      <c r="S66" s="172">
        <f>R66/4</f>
        <v>3.7499999999999999E-2</v>
      </c>
      <c r="T66" s="172">
        <f>(87/(1+(0.14/S66^(1/2))))*(S66*(I66/100))^(1/2)</f>
        <v>0.81810584410308418</v>
      </c>
      <c r="U66" s="534" t="str">
        <f t="shared" ref="U66" si="72">IF(T66&gt;=$B$14,"verifica", "aumentar diámetro")</f>
        <v>verifica</v>
      </c>
      <c r="V66" s="534" t="str">
        <f>IF(T66&lt;=$B$15,"verifica","disminuir pend.")</f>
        <v>verifica</v>
      </c>
      <c r="W66" s="168">
        <f>(3.14*(R66/2)^2*T66)</f>
        <v>1.4449794471470725E-2</v>
      </c>
      <c r="X66" s="173">
        <f>(E66+F66)/1000</f>
        <v>6.1876000000000006E-3</v>
      </c>
      <c r="Y66" s="534" t="str">
        <f>IF(W66&gt;=X66,"verifica","no verifica")</f>
        <v>verifica</v>
      </c>
    </row>
    <row r="67" spans="1:25" x14ac:dyDescent="0.3">
      <c r="A67" s="154">
        <v>26</v>
      </c>
      <c r="B67" s="529"/>
      <c r="C67" s="528"/>
      <c r="D67" s="178"/>
      <c r="E67" s="155"/>
      <c r="F67" s="168"/>
      <c r="G67" s="168"/>
      <c r="H67" s="175"/>
      <c r="I67" s="528"/>
      <c r="J67" s="169"/>
      <c r="K67" s="174">
        <f>+(K54+K84)/2</f>
        <v>95.231481481481481</v>
      </c>
      <c r="L67" s="170"/>
      <c r="M67" s="170">
        <f>+N66</f>
        <v>93.562296296296282</v>
      </c>
      <c r="N67" s="170"/>
      <c r="O67" s="170">
        <f>K67-M67</f>
        <v>1.6691851851851993</v>
      </c>
      <c r="P67" s="533" t="str">
        <f t="shared" si="71"/>
        <v>verifica</v>
      </c>
      <c r="Q67" s="170"/>
      <c r="R67" s="177"/>
      <c r="S67" s="172"/>
      <c r="T67" s="172"/>
      <c r="U67" s="154"/>
      <c r="V67" s="154"/>
      <c r="W67" s="168"/>
      <c r="X67" s="168"/>
      <c r="Y67" s="154"/>
    </row>
    <row r="68" spans="1:25" x14ac:dyDescent="0.3">
      <c r="A68" s="154"/>
      <c r="B68" s="529"/>
      <c r="C68" s="528"/>
      <c r="D68" s="178"/>
      <c r="E68" s="155"/>
      <c r="F68" s="168"/>
      <c r="G68" s="168"/>
      <c r="H68" s="175"/>
      <c r="I68" s="528"/>
      <c r="J68" s="169"/>
      <c r="K68" s="174"/>
      <c r="L68" s="170"/>
      <c r="M68" s="170"/>
      <c r="N68" s="170"/>
      <c r="O68" s="170"/>
      <c r="P68" s="170"/>
      <c r="Q68" s="170"/>
      <c r="R68" s="177"/>
      <c r="S68" s="172"/>
      <c r="T68" s="172"/>
      <c r="U68" s="154"/>
      <c r="V68" s="154"/>
      <c r="W68" s="168"/>
      <c r="X68" s="168"/>
      <c r="Y68" s="154"/>
    </row>
    <row r="69" spans="1:25" x14ac:dyDescent="0.3">
      <c r="A69" s="154" t="s">
        <v>677</v>
      </c>
      <c r="B69" s="525">
        <v>2</v>
      </c>
      <c r="C69" s="526">
        <v>112</v>
      </c>
      <c r="D69" s="179">
        <f t="shared" ref="D69" si="73">B69*$B$10</f>
        <v>6.1820000000000004</v>
      </c>
      <c r="E69" s="155">
        <f>+D69</f>
        <v>6.1820000000000004</v>
      </c>
      <c r="F69" s="168">
        <f>+$B$11*C69/1000</f>
        <v>5.6000000000000008E-3</v>
      </c>
      <c r="G69" s="168">
        <f t="shared" ref="G69" si="74">+IF((E69+F69)&gt;1.5,(E69+F69),1.5)</f>
        <v>6.1876000000000007</v>
      </c>
      <c r="H69" s="155">
        <f t="shared" ref="H69" si="75">(0.0055*(G69^-0.47))*100</f>
        <v>0.23353245294292571</v>
      </c>
      <c r="I69" s="530">
        <v>0.7</v>
      </c>
      <c r="J69" s="169">
        <f>C69*(I69/100)</f>
        <v>0.78399999999999992</v>
      </c>
      <c r="K69" s="174">
        <f>+K55</f>
        <v>95.660493827160494</v>
      </c>
      <c r="L69" s="170">
        <f>+K70</f>
        <v>95.052469135802468</v>
      </c>
      <c r="M69" s="170">
        <f>+K69-$B$20</f>
        <v>94.210493827160491</v>
      </c>
      <c r="N69" s="170">
        <f>+M69-J69</f>
        <v>93.426493827160485</v>
      </c>
      <c r="O69" s="170">
        <f>K69-M69</f>
        <v>1.4500000000000028</v>
      </c>
      <c r="P69" s="533" t="str">
        <f t="shared" ref="P69:P70" si="76">IF((K69-M69)&gt;=1.2,"verifica","aumentar pendiente")</f>
        <v>verifica</v>
      </c>
      <c r="Q69" s="170">
        <f>L69-N69</f>
        <v>1.6259753086419835</v>
      </c>
      <c r="R69" s="177">
        <v>0.15</v>
      </c>
      <c r="S69" s="172">
        <f>R69/4</f>
        <v>3.7499999999999999E-2</v>
      </c>
      <c r="T69" s="172">
        <f>(87/(1+(0.14/S69^(1/2))))*(S69*(I69/100))^(1/2)</f>
        <v>0.81810584410308418</v>
      </c>
      <c r="U69" s="534" t="str">
        <f t="shared" ref="U69" si="77">IF(T69&gt;=$B$14,"verifica", "aumentar diámetro")</f>
        <v>verifica</v>
      </c>
      <c r="V69" s="534" t="str">
        <f>IF(T69&lt;=$B$15,"verifica","disminuir pend.")</f>
        <v>verifica</v>
      </c>
      <c r="W69" s="168">
        <f>(3.14*(R69/2)^2*T69)</f>
        <v>1.4449794471470725E-2</v>
      </c>
      <c r="X69" s="173">
        <f>(E69+F69)/1000</f>
        <v>6.1876000000000006E-3</v>
      </c>
      <c r="Y69" s="534" t="str">
        <f>IF(W69&gt;=X69,"verifica","no verifica")</f>
        <v>verifica</v>
      </c>
    </row>
    <row r="70" spans="1:25" x14ac:dyDescent="0.3">
      <c r="A70" s="154">
        <v>25</v>
      </c>
      <c r="B70" s="529"/>
      <c r="C70" s="528"/>
      <c r="D70" s="178"/>
      <c r="E70" s="155"/>
      <c r="F70" s="168"/>
      <c r="G70" s="168"/>
      <c r="H70" s="175"/>
      <c r="I70" s="528"/>
      <c r="J70" s="169"/>
      <c r="K70" s="174">
        <f>+(K55+K85)/2</f>
        <v>95.052469135802468</v>
      </c>
      <c r="L70" s="170"/>
      <c r="M70" s="170">
        <f>+N69</f>
        <v>93.426493827160485</v>
      </c>
      <c r="N70" s="170"/>
      <c r="O70" s="170">
        <f>K70-M70</f>
        <v>1.6259753086419835</v>
      </c>
      <c r="P70" s="533" t="str">
        <f t="shared" si="76"/>
        <v>verifica</v>
      </c>
      <c r="Q70" s="170"/>
      <c r="R70" s="177"/>
      <c r="S70" s="172"/>
      <c r="T70" s="172"/>
      <c r="U70" s="154"/>
      <c r="V70" s="154"/>
      <c r="W70" s="168"/>
      <c r="X70" s="168"/>
      <c r="Y70" s="154"/>
    </row>
    <row r="71" spans="1:25" x14ac:dyDescent="0.3">
      <c r="A71" s="154"/>
      <c r="B71" s="529"/>
      <c r="C71" s="528"/>
      <c r="D71" s="178"/>
      <c r="E71" s="155"/>
      <c r="F71" s="168"/>
      <c r="G71" s="168"/>
      <c r="H71" s="175"/>
      <c r="I71" s="528"/>
      <c r="J71" s="169"/>
      <c r="K71" s="174"/>
      <c r="L71" s="170"/>
      <c r="M71" s="170"/>
      <c r="N71" s="170"/>
      <c r="O71" s="170"/>
      <c r="P71" s="170"/>
      <c r="Q71" s="170"/>
      <c r="R71" s="177"/>
      <c r="S71" s="172"/>
      <c r="T71" s="172"/>
      <c r="U71" s="154"/>
      <c r="V71" s="154"/>
      <c r="W71" s="168"/>
      <c r="X71" s="168"/>
      <c r="Y71" s="154"/>
    </row>
    <row r="72" spans="1:25" x14ac:dyDescent="0.3">
      <c r="A72" s="154" t="s">
        <v>678</v>
      </c>
      <c r="B72" s="525">
        <v>2</v>
      </c>
      <c r="C72" s="526">
        <v>112</v>
      </c>
      <c r="D72" s="179">
        <f>B72*$B$10</f>
        <v>6.1820000000000004</v>
      </c>
      <c r="E72" s="155">
        <f>+D72</f>
        <v>6.1820000000000004</v>
      </c>
      <c r="F72" s="168">
        <f>+$B$11*C72/1000</f>
        <v>5.6000000000000008E-3</v>
      </c>
      <c r="G72" s="168">
        <f t="shared" ref="G72" si="78">+IF((E72+F72)&gt;1.5,(E72+F72),1.5)</f>
        <v>6.1876000000000007</v>
      </c>
      <c r="H72" s="155">
        <f t="shared" ref="H72" si="79">(0.0055*(G72^-0.47))*100</f>
        <v>0.23353245294292571</v>
      </c>
      <c r="I72" s="530">
        <v>0.7</v>
      </c>
      <c r="J72" s="169">
        <f>C72*(I72/100)</f>
        <v>0.78399999999999992</v>
      </c>
      <c r="K72" s="174">
        <f>+K56</f>
        <v>95.388888888888886</v>
      </c>
      <c r="L72" s="170">
        <f>+K73</f>
        <v>94.694444444444443</v>
      </c>
      <c r="M72" s="170">
        <f>+K72-$B$20</f>
        <v>93.938888888888883</v>
      </c>
      <c r="N72" s="170">
        <f>+M72-J72</f>
        <v>93.154888888888877</v>
      </c>
      <c r="O72" s="170">
        <f>K72-M72</f>
        <v>1.4500000000000028</v>
      </c>
      <c r="P72" s="533" t="str">
        <f t="shared" ref="P72:P73" si="80">IF((K72-M72)&gt;=1.2,"verifica","aumentar pendiente")</f>
        <v>verifica</v>
      </c>
      <c r="Q72" s="170">
        <f>L72-N72</f>
        <v>1.539555555555566</v>
      </c>
      <c r="R72" s="177">
        <v>0.15</v>
      </c>
      <c r="S72" s="172">
        <f>R72/4</f>
        <v>3.7499999999999999E-2</v>
      </c>
      <c r="T72" s="172">
        <f>(87/(1+(0.14/S72^(1/2))))*(S72*(I72/100))^(1/2)</f>
        <v>0.81810584410308418</v>
      </c>
      <c r="U72" s="534" t="str">
        <f t="shared" ref="U72" si="81">IF(T72&gt;=$B$14,"verifica", "aumentar diámetro")</f>
        <v>verifica</v>
      </c>
      <c r="V72" s="534" t="str">
        <f>IF(T72&lt;=$B$15,"verifica","disminuir pend.")</f>
        <v>verifica</v>
      </c>
      <c r="W72" s="168">
        <f>(3.14*(R72/2)^2*T72)</f>
        <v>1.4449794471470725E-2</v>
      </c>
      <c r="X72" s="173">
        <f>(E72+F72)/1000</f>
        <v>6.1876000000000006E-3</v>
      </c>
      <c r="Y72" s="534" t="str">
        <f>IF(W72&gt;=X72,"verifica","no verifica")</f>
        <v>verifica</v>
      </c>
    </row>
    <row r="73" spans="1:25" x14ac:dyDescent="0.3">
      <c r="A73" s="154">
        <v>24</v>
      </c>
      <c r="B73" s="529"/>
      <c r="C73" s="528"/>
      <c r="D73" s="178"/>
      <c r="E73" s="155"/>
      <c r="F73" s="168"/>
      <c r="G73" s="168"/>
      <c r="H73" s="175"/>
      <c r="I73" s="528"/>
      <c r="J73" s="169"/>
      <c r="K73" s="174">
        <f>+(K56+K86)/2</f>
        <v>94.694444444444443</v>
      </c>
      <c r="L73" s="170"/>
      <c r="M73" s="170">
        <f>+N72</f>
        <v>93.154888888888877</v>
      </c>
      <c r="N73" s="170"/>
      <c r="O73" s="170">
        <f>K73-M73</f>
        <v>1.539555555555566</v>
      </c>
      <c r="P73" s="533" t="str">
        <f t="shared" si="80"/>
        <v>verifica</v>
      </c>
      <c r="Q73" s="170"/>
      <c r="R73" s="177"/>
      <c r="S73" s="172"/>
      <c r="T73" s="172"/>
      <c r="U73" s="154"/>
      <c r="V73" s="154"/>
      <c r="W73" s="168"/>
      <c r="X73" s="168"/>
      <c r="Y73" s="154"/>
    </row>
    <row r="74" spans="1:25" x14ac:dyDescent="0.3">
      <c r="A74" s="154"/>
      <c r="B74" s="529"/>
      <c r="C74" s="528"/>
      <c r="D74" s="178"/>
      <c r="E74" s="155"/>
      <c r="F74" s="168"/>
      <c r="G74" s="168"/>
      <c r="H74" s="175"/>
      <c r="I74" s="528"/>
      <c r="J74" s="169"/>
      <c r="K74" s="174"/>
      <c r="L74" s="170"/>
      <c r="M74" s="170"/>
      <c r="N74" s="170"/>
      <c r="O74" s="170"/>
      <c r="P74" s="170"/>
      <c r="Q74" s="170"/>
      <c r="R74" s="177"/>
      <c r="S74" s="172"/>
      <c r="T74" s="172"/>
      <c r="U74" s="154"/>
      <c r="V74" s="154"/>
      <c r="W74" s="168"/>
      <c r="X74" s="168"/>
      <c r="Y74" s="154"/>
    </row>
    <row r="75" spans="1:25" x14ac:dyDescent="0.3">
      <c r="A75" s="154" t="s">
        <v>679</v>
      </c>
      <c r="B75" s="525">
        <v>2</v>
      </c>
      <c r="C75" s="526">
        <v>112</v>
      </c>
      <c r="D75" s="179">
        <f t="shared" ref="D75" si="82">B75*$B$10</f>
        <v>6.1820000000000004</v>
      </c>
      <c r="E75" s="155">
        <f>+D75</f>
        <v>6.1820000000000004</v>
      </c>
      <c r="F75" s="168">
        <f>+$B$11*C75/1000</f>
        <v>5.6000000000000008E-3</v>
      </c>
      <c r="G75" s="168">
        <f t="shared" ref="G75" si="83">+IF((E75+F75)&gt;1.5,(E75+F75),1.5)</f>
        <v>6.1876000000000007</v>
      </c>
      <c r="H75" s="155">
        <f t="shared" ref="H75" si="84">(0.0055*(G75^-0.47))*100</f>
        <v>0.23353245294292571</v>
      </c>
      <c r="I75" s="530">
        <v>2</v>
      </c>
      <c r="J75" s="169">
        <f>C75*(I75/100)</f>
        <v>2.2400000000000002</v>
      </c>
      <c r="K75" s="174">
        <f>+K57</f>
        <v>94.592592592592595</v>
      </c>
      <c r="L75" s="170">
        <f>+K76</f>
        <v>93.333333333333329</v>
      </c>
      <c r="M75" s="170">
        <f>+K75-$B$20</f>
        <v>93.142592592592592</v>
      </c>
      <c r="N75" s="170">
        <f>+M75-J75</f>
        <v>90.902592592592597</v>
      </c>
      <c r="O75" s="170">
        <f>K75-M75</f>
        <v>1.4500000000000028</v>
      </c>
      <c r="P75" s="533" t="str">
        <f t="shared" ref="P75:P76" si="85">IF((K75-M75)&gt;=1.2,"verifica","aumentar pendiente")</f>
        <v>verifica</v>
      </c>
      <c r="Q75" s="170">
        <f>L75-N75</f>
        <v>2.4307407407407311</v>
      </c>
      <c r="R75" s="177">
        <v>0.15</v>
      </c>
      <c r="S75" s="172">
        <f>R75/4</f>
        <v>3.7499999999999999E-2</v>
      </c>
      <c r="T75" s="172">
        <f>(87/(1+(0.14/S75^(1/2))))*(S75*(I75/100))^(1/2)</f>
        <v>1.3828512699239723</v>
      </c>
      <c r="U75" s="534" t="str">
        <f t="shared" ref="U75" si="86">IF(T75&gt;=$B$14,"verifica", "aumentar diámetro")</f>
        <v>verifica</v>
      </c>
      <c r="V75" s="534" t="str">
        <f>IF(T75&lt;=$B$15,"verifica","disminuir pend.")</f>
        <v>verifica</v>
      </c>
      <c r="W75" s="168">
        <f>(3.14*(R75/2)^2*T75)</f>
        <v>2.4424610555032162E-2</v>
      </c>
      <c r="X75" s="173">
        <f>(E75+F75)/1000</f>
        <v>6.1876000000000006E-3</v>
      </c>
      <c r="Y75" s="534" t="str">
        <f>IF(W75&gt;=X75,"verifica","no verifica")</f>
        <v>verifica</v>
      </c>
    </row>
    <row r="76" spans="1:25" x14ac:dyDescent="0.3">
      <c r="A76" s="154">
        <v>23</v>
      </c>
      <c r="B76" s="529"/>
      <c r="C76" s="528"/>
      <c r="D76" s="178"/>
      <c r="E76" s="155"/>
      <c r="F76" s="168"/>
      <c r="G76" s="168"/>
      <c r="H76" s="175"/>
      <c r="I76" s="528"/>
      <c r="J76" s="169"/>
      <c r="K76" s="174">
        <f>+K87</f>
        <v>93.333333333333329</v>
      </c>
      <c r="L76" s="170"/>
      <c r="M76" s="170">
        <f>+N75</f>
        <v>90.902592592592597</v>
      </c>
      <c r="N76" s="170"/>
      <c r="O76" s="170">
        <f>K76-M76</f>
        <v>2.4307407407407311</v>
      </c>
      <c r="P76" s="533" t="str">
        <f t="shared" si="85"/>
        <v>verifica</v>
      </c>
      <c r="Q76" s="170"/>
      <c r="R76" s="177"/>
      <c r="S76" s="172"/>
      <c r="T76" s="172"/>
      <c r="U76" s="154"/>
      <c r="V76" s="154"/>
      <c r="W76" s="168"/>
      <c r="X76" s="168"/>
      <c r="Y76" s="154"/>
    </row>
    <row r="77" spans="1:25" x14ac:dyDescent="0.3">
      <c r="A77" s="154"/>
      <c r="B77" s="529"/>
      <c r="C77" s="528"/>
      <c r="D77" s="178"/>
      <c r="E77" s="155"/>
      <c r="F77" s="168"/>
      <c r="G77" s="168"/>
      <c r="H77" s="175"/>
      <c r="I77" s="528"/>
      <c r="J77" s="169"/>
      <c r="K77" s="174"/>
      <c r="L77" s="170"/>
      <c r="M77" s="170"/>
      <c r="N77" s="170"/>
      <c r="O77" s="170"/>
      <c r="P77" s="170"/>
      <c r="Q77" s="170"/>
      <c r="R77" s="177"/>
      <c r="S77" s="172"/>
      <c r="T77" s="172"/>
      <c r="U77" s="154"/>
      <c r="V77" s="154"/>
      <c r="W77" s="168"/>
      <c r="X77" s="168"/>
      <c r="Y77" s="154"/>
    </row>
    <row r="78" spans="1:25" x14ac:dyDescent="0.3">
      <c r="A78" s="154" t="s">
        <v>680</v>
      </c>
      <c r="B78" s="525">
        <v>2</v>
      </c>
      <c r="C78" s="526">
        <v>112</v>
      </c>
      <c r="D78" s="179">
        <f>B78*$B$10</f>
        <v>6.1820000000000004</v>
      </c>
      <c r="E78" s="155">
        <f>+D78</f>
        <v>6.1820000000000004</v>
      </c>
      <c r="F78" s="168">
        <f>+$B$11*C78/1000</f>
        <v>5.6000000000000008E-3</v>
      </c>
      <c r="G78" s="168">
        <f t="shared" ref="G78" si="87">+IF((E78+F78)&gt;1.5,(E78+F78),1.5)</f>
        <v>6.1876000000000007</v>
      </c>
      <c r="H78" s="155">
        <f t="shared" ref="H78" si="88">(0.0055*(G78^-0.47))*100</f>
        <v>0.23353245294292571</v>
      </c>
      <c r="I78" s="530">
        <v>2</v>
      </c>
      <c r="J78" s="169">
        <f>C78*(I78/100)</f>
        <v>2.2400000000000002</v>
      </c>
      <c r="K78" s="174">
        <f>+K58</f>
        <v>94.061728395061735</v>
      </c>
      <c r="L78" s="170">
        <f>+K79</f>
        <v>92.888888888888886</v>
      </c>
      <c r="M78" s="170">
        <f>+K78-$B$20</f>
        <v>92.611728395061732</v>
      </c>
      <c r="N78" s="170">
        <f>+M78-J78</f>
        <v>90.371728395061737</v>
      </c>
      <c r="O78" s="170">
        <f>K78-M78</f>
        <v>1.4500000000000028</v>
      </c>
      <c r="P78" s="533" t="str">
        <f t="shared" ref="P78:P79" si="89">IF((K78-M78)&gt;=1.2,"verifica","aumentar pendiente")</f>
        <v>verifica</v>
      </c>
      <c r="Q78" s="170">
        <f>L78-N78</f>
        <v>2.5171604938271486</v>
      </c>
      <c r="R78" s="177">
        <v>0.15</v>
      </c>
      <c r="S78" s="172">
        <f>R78/4</f>
        <v>3.7499999999999999E-2</v>
      </c>
      <c r="T78" s="172">
        <f>(87/(1+(0.14/S78^(1/2))))*(S78*(I78/100))^(1/2)</f>
        <v>1.3828512699239723</v>
      </c>
      <c r="U78" s="534" t="str">
        <f t="shared" ref="U78" si="90">IF(T78&gt;=$B$14,"verifica", "aumentar diámetro")</f>
        <v>verifica</v>
      </c>
      <c r="V78" s="534" t="str">
        <f>IF(T78&lt;=$B$15,"verifica","disminuir pend.")</f>
        <v>verifica</v>
      </c>
      <c r="W78" s="168">
        <f>(3.14*(R78/2)^2*T78)</f>
        <v>2.4424610555032162E-2</v>
      </c>
      <c r="X78" s="173">
        <f>(E78+F78)/1000</f>
        <v>6.1876000000000006E-3</v>
      </c>
      <c r="Y78" s="534" t="str">
        <f>IF(W78&gt;=X78,"verifica","no verifica")</f>
        <v>verifica</v>
      </c>
    </row>
    <row r="79" spans="1:25" x14ac:dyDescent="0.3">
      <c r="A79" s="154">
        <v>22</v>
      </c>
      <c r="B79" s="529"/>
      <c r="C79" s="528"/>
      <c r="D79" s="178"/>
      <c r="E79" s="155"/>
      <c r="F79" s="168"/>
      <c r="G79" s="168"/>
      <c r="H79" s="175"/>
      <c r="I79" s="528"/>
      <c r="J79" s="169"/>
      <c r="K79" s="174">
        <f>K88+K119</f>
        <v>92.888888888888886</v>
      </c>
      <c r="L79" s="170"/>
      <c r="M79" s="170">
        <f>+N78</f>
        <v>90.371728395061737</v>
      </c>
      <c r="N79" s="170"/>
      <c r="O79" s="170">
        <f>K79-M79</f>
        <v>2.5171604938271486</v>
      </c>
      <c r="P79" s="533" t="str">
        <f t="shared" si="89"/>
        <v>verifica</v>
      </c>
      <c r="Q79" s="170"/>
      <c r="R79" s="177"/>
      <c r="S79" s="172"/>
      <c r="T79" s="172"/>
      <c r="U79" s="154"/>
      <c r="V79" s="154"/>
      <c r="W79" s="168"/>
      <c r="X79" s="168"/>
      <c r="Y79" s="154"/>
    </row>
    <row r="80" spans="1:25" x14ac:dyDescent="0.3">
      <c r="A80" s="154"/>
      <c r="B80" s="529"/>
      <c r="C80" s="528"/>
      <c r="D80" s="178"/>
      <c r="E80" s="155"/>
      <c r="F80" s="168"/>
      <c r="G80" s="168"/>
      <c r="H80" s="175"/>
      <c r="I80" s="528"/>
      <c r="J80" s="169"/>
      <c r="K80" s="174"/>
      <c r="L80" s="170"/>
      <c r="M80" s="170"/>
      <c r="N80" s="170"/>
      <c r="O80" s="170"/>
      <c r="P80" s="170"/>
      <c r="Q80" s="170"/>
      <c r="R80" s="177"/>
      <c r="S80" s="172"/>
      <c r="T80" s="172"/>
      <c r="U80" s="154"/>
      <c r="V80" s="154"/>
      <c r="W80" s="168"/>
      <c r="X80" s="168"/>
      <c r="Y80" s="154"/>
    </row>
    <row r="81" spans="1:25" x14ac:dyDescent="0.3">
      <c r="A81" s="154"/>
      <c r="B81" s="529"/>
      <c r="C81" s="528"/>
      <c r="D81" s="178"/>
      <c r="E81" s="155"/>
      <c r="F81" s="168"/>
      <c r="G81" s="168"/>
      <c r="H81" s="175"/>
      <c r="I81" s="528"/>
      <c r="J81" s="169"/>
      <c r="K81" s="174"/>
      <c r="L81" s="170"/>
      <c r="M81" s="170"/>
      <c r="N81" s="170"/>
      <c r="O81" s="170"/>
      <c r="P81" s="170"/>
      <c r="Q81" s="170"/>
      <c r="R81" s="177"/>
      <c r="S81" s="172"/>
      <c r="T81" s="172"/>
      <c r="U81" s="154"/>
      <c r="V81" s="154"/>
      <c r="W81" s="168"/>
      <c r="X81" s="168"/>
      <c r="Y81" s="154"/>
    </row>
    <row r="82" spans="1:25" x14ac:dyDescent="0.3">
      <c r="A82" s="154"/>
      <c r="B82" s="529"/>
      <c r="C82" s="528"/>
      <c r="D82" s="180"/>
      <c r="E82" s="155"/>
      <c r="F82" s="168"/>
      <c r="G82" s="168"/>
      <c r="H82" s="175"/>
      <c r="I82" s="528"/>
      <c r="J82" s="169"/>
      <c r="K82" s="174"/>
      <c r="L82" s="170"/>
      <c r="M82" s="170"/>
      <c r="N82" s="170"/>
      <c r="O82" s="170"/>
      <c r="P82" s="170"/>
      <c r="Q82" s="170"/>
      <c r="R82" s="177"/>
      <c r="S82" s="172"/>
      <c r="T82" s="172"/>
      <c r="U82" s="154"/>
      <c r="V82" s="154"/>
      <c r="W82" s="168"/>
      <c r="X82" s="168"/>
      <c r="Y82" s="154"/>
    </row>
    <row r="83" spans="1:25" x14ac:dyDescent="0.3">
      <c r="A83" s="166" t="s">
        <v>681</v>
      </c>
      <c r="B83" s="525">
        <v>2</v>
      </c>
      <c r="C83" s="526">
        <v>112</v>
      </c>
      <c r="D83" s="171">
        <f t="shared" ref="D83:D86" si="91">B83*$B$10</f>
        <v>6.1820000000000004</v>
      </c>
      <c r="E83" s="155">
        <f>+D83+G63</f>
        <v>9.2786000000000008</v>
      </c>
      <c r="F83" s="168">
        <f>+$B$11*C83/1000</f>
        <v>5.6000000000000008E-3</v>
      </c>
      <c r="G83" s="168">
        <f t="shared" ref="G83:G86" si="92">+IF((E83+F83)&gt;1.5,(E83+F83),1.5)</f>
        <v>9.2842000000000002</v>
      </c>
      <c r="H83" s="155">
        <f t="shared" ref="H83:H86" si="93">(0.0055*(G83^-0.47))*100</f>
        <v>0.19298465613161284</v>
      </c>
      <c r="I83" s="530">
        <v>0.5</v>
      </c>
      <c r="J83" s="169">
        <f t="shared" ref="J83:J88" si="94">C83*(I83/100)</f>
        <v>0.56000000000000005</v>
      </c>
      <c r="K83" s="532">
        <v>95</v>
      </c>
      <c r="L83" s="170">
        <f>+K84</f>
        <v>94.666666666666671</v>
      </c>
      <c r="M83" s="170">
        <f>+K83-$B$20</f>
        <v>93.55</v>
      </c>
      <c r="N83" s="170">
        <f t="shared" ref="N83:N88" si="95">+M83-J83</f>
        <v>92.99</v>
      </c>
      <c r="O83" s="170">
        <f t="shared" ref="O83:O89" si="96">K83-M83</f>
        <v>1.4500000000000028</v>
      </c>
      <c r="P83" s="533" t="str">
        <f t="shared" ref="P83:P89" si="97">IF((K83-M83)&gt;=1.2,"verifica","aumentar pendiente")</f>
        <v>verifica</v>
      </c>
      <c r="Q83" s="170">
        <f t="shared" ref="Q83:Q88" si="98">L83-N83</f>
        <v>1.6766666666666765</v>
      </c>
      <c r="R83" s="171">
        <v>0.15</v>
      </c>
      <c r="S83" s="172">
        <f t="shared" ref="S83:S88" si="99">R83/4</f>
        <v>3.7499999999999999E-2</v>
      </c>
      <c r="T83" s="172">
        <f t="shared" ref="T83:T88" si="100">(87/(1+(0.14/S83^(1/2))))*(S83*(I83/100))^(1/2)</f>
        <v>0.69142563496198617</v>
      </c>
      <c r="U83" s="534" t="str">
        <f t="shared" ref="U83:U88" si="101">IF(T83&gt;=$B$14,"verifica", "aumentar diámetro")</f>
        <v>verifica</v>
      </c>
      <c r="V83" s="534" t="str">
        <f t="shared" ref="V83:V88" si="102">IF(T83&lt;=$B$15,"verifica","disminuir pend.")</f>
        <v>verifica</v>
      </c>
      <c r="W83" s="168">
        <f t="shared" ref="W83:W88" si="103">(3.14*(R83/2)^2*T83)</f>
        <v>1.2212305277516081E-2</v>
      </c>
      <c r="X83" s="173">
        <f t="shared" ref="X83:X88" si="104">(E83+F83)/1000</f>
        <v>9.2841999999999994E-3</v>
      </c>
      <c r="Y83" s="534" t="str">
        <f t="shared" ref="Y83:Y88" si="105">IF(W83&gt;=X83,"verifica","no verifica")</f>
        <v>verifica</v>
      </c>
    </row>
    <row r="84" spans="1:25" x14ac:dyDescent="0.3">
      <c r="A84" s="154" t="s">
        <v>682</v>
      </c>
      <c r="B84" s="525">
        <v>2</v>
      </c>
      <c r="C84" s="526">
        <v>112</v>
      </c>
      <c r="D84" s="171">
        <f>B84*$B$10</f>
        <v>6.1820000000000004</v>
      </c>
      <c r="E84" s="155">
        <f>+D84+E83+G66</f>
        <v>21.648200000000003</v>
      </c>
      <c r="F84" s="168">
        <f>+$B$11*C84/1000+F83</f>
        <v>1.1200000000000002E-2</v>
      </c>
      <c r="G84" s="168">
        <f t="shared" si="92"/>
        <v>21.659400000000002</v>
      </c>
      <c r="H84" s="155">
        <f t="shared" si="93"/>
        <v>0.12960115478521061</v>
      </c>
      <c r="I84" s="530">
        <v>0.5</v>
      </c>
      <c r="J84" s="169">
        <f t="shared" si="94"/>
        <v>0.56000000000000005</v>
      </c>
      <c r="K84" s="174">
        <f>K83-(K83-K86)/(C83*3)*C83</f>
        <v>94.666666666666671</v>
      </c>
      <c r="L84" s="170">
        <f t="shared" ref="L84:L88" si="106">+K85</f>
        <v>94.444444444444443</v>
      </c>
      <c r="M84" s="170">
        <f>+N83</f>
        <v>92.99</v>
      </c>
      <c r="N84" s="170">
        <f t="shared" si="95"/>
        <v>92.429999999999993</v>
      </c>
      <c r="O84" s="170">
        <f t="shared" si="96"/>
        <v>1.6766666666666765</v>
      </c>
      <c r="P84" s="533" t="str">
        <f t="shared" si="97"/>
        <v>verifica</v>
      </c>
      <c r="Q84" s="170">
        <f t="shared" si="98"/>
        <v>2.0144444444444503</v>
      </c>
      <c r="R84" s="171">
        <v>0.3</v>
      </c>
      <c r="S84" s="172">
        <f t="shared" si="99"/>
        <v>7.4999999999999997E-2</v>
      </c>
      <c r="T84" s="172">
        <f t="shared" si="100"/>
        <v>1.114835328675557</v>
      </c>
      <c r="U84" s="534" t="str">
        <f t="shared" si="101"/>
        <v>verifica</v>
      </c>
      <c r="V84" s="534" t="str">
        <f t="shared" si="102"/>
        <v>verifica</v>
      </c>
      <c r="W84" s="168">
        <f t="shared" si="103"/>
        <v>7.876311597092811E-2</v>
      </c>
      <c r="X84" s="173">
        <f t="shared" si="104"/>
        <v>2.1659400000000002E-2</v>
      </c>
      <c r="Y84" s="534" t="str">
        <f t="shared" si="105"/>
        <v>verifica</v>
      </c>
    </row>
    <row r="85" spans="1:25" x14ac:dyDescent="0.3">
      <c r="A85" s="154" t="s">
        <v>683</v>
      </c>
      <c r="B85" s="525">
        <v>2</v>
      </c>
      <c r="C85" s="526">
        <v>112</v>
      </c>
      <c r="D85" s="171">
        <f t="shared" ref="D85" si="107">B85*$B$10</f>
        <v>6.1820000000000004</v>
      </c>
      <c r="E85" s="155">
        <f>+D85+E84+G69</f>
        <v>34.017800000000008</v>
      </c>
      <c r="F85" s="168">
        <f t="shared" ref="F85:F88" si="108">+$B$11*C85/1000+F84</f>
        <v>1.6800000000000002E-2</v>
      </c>
      <c r="G85" s="168">
        <f t="shared" si="92"/>
        <v>34.034600000000012</v>
      </c>
      <c r="H85" s="155">
        <f t="shared" si="93"/>
        <v>0.10479968652843621</v>
      </c>
      <c r="I85" s="530">
        <v>0.5</v>
      </c>
      <c r="J85" s="169">
        <f t="shared" si="94"/>
        <v>0.56000000000000005</v>
      </c>
      <c r="K85" s="174">
        <f>K84-(K84-K86)/(C84*3)*C84</f>
        <v>94.444444444444443</v>
      </c>
      <c r="L85" s="170">
        <f t="shared" si="106"/>
        <v>94</v>
      </c>
      <c r="M85" s="170">
        <f t="shared" ref="M85:M89" si="109">+N84</f>
        <v>92.429999999999993</v>
      </c>
      <c r="N85" s="170">
        <f t="shared" si="95"/>
        <v>91.86999999999999</v>
      </c>
      <c r="O85" s="170">
        <f t="shared" si="96"/>
        <v>2.0144444444444503</v>
      </c>
      <c r="P85" s="533" t="str">
        <f t="shared" si="97"/>
        <v>verifica</v>
      </c>
      <c r="Q85" s="170">
        <f t="shared" si="98"/>
        <v>2.1300000000000097</v>
      </c>
      <c r="R85" s="171">
        <v>0.3</v>
      </c>
      <c r="S85" s="172">
        <f t="shared" si="99"/>
        <v>7.4999999999999997E-2</v>
      </c>
      <c r="T85" s="172">
        <f t="shared" si="100"/>
        <v>1.114835328675557</v>
      </c>
      <c r="U85" s="534" t="str">
        <f t="shared" si="101"/>
        <v>verifica</v>
      </c>
      <c r="V85" s="534" t="str">
        <f t="shared" si="102"/>
        <v>verifica</v>
      </c>
      <c r="W85" s="168">
        <f t="shared" si="103"/>
        <v>7.876311597092811E-2</v>
      </c>
      <c r="X85" s="173">
        <f t="shared" si="104"/>
        <v>3.4034600000000012E-2</v>
      </c>
      <c r="Y85" s="534" t="str">
        <f t="shared" si="105"/>
        <v>verifica</v>
      </c>
    </row>
    <row r="86" spans="1:25" x14ac:dyDescent="0.3">
      <c r="A86" s="154" t="s">
        <v>684</v>
      </c>
      <c r="B86" s="525">
        <v>2</v>
      </c>
      <c r="C86" s="526">
        <v>112</v>
      </c>
      <c r="D86" s="171">
        <f t="shared" si="91"/>
        <v>6.1820000000000004</v>
      </c>
      <c r="E86" s="155">
        <f>+D86+E85+G72</f>
        <v>46.387400000000014</v>
      </c>
      <c r="F86" s="168">
        <f t="shared" si="108"/>
        <v>2.2400000000000003E-2</v>
      </c>
      <c r="G86" s="168">
        <f t="shared" si="92"/>
        <v>46.409800000000011</v>
      </c>
      <c r="H86" s="155">
        <f t="shared" si="93"/>
        <v>9.058496731689368E-2</v>
      </c>
      <c r="I86" s="530">
        <v>0.5</v>
      </c>
      <c r="J86" s="169">
        <f t="shared" si="94"/>
        <v>0.56000000000000005</v>
      </c>
      <c r="K86" s="532">
        <v>94</v>
      </c>
      <c r="L86" s="170">
        <f t="shared" si="106"/>
        <v>93.333333333333329</v>
      </c>
      <c r="M86" s="170">
        <f t="shared" si="109"/>
        <v>91.86999999999999</v>
      </c>
      <c r="N86" s="170">
        <f t="shared" si="95"/>
        <v>91.309999999999988</v>
      </c>
      <c r="O86" s="170">
        <f t="shared" si="96"/>
        <v>2.1300000000000097</v>
      </c>
      <c r="P86" s="533" t="str">
        <f t="shared" si="97"/>
        <v>verifica</v>
      </c>
      <c r="Q86" s="170">
        <f t="shared" si="98"/>
        <v>2.0233333333333405</v>
      </c>
      <c r="R86" s="171">
        <v>0.3</v>
      </c>
      <c r="S86" s="172">
        <f t="shared" si="99"/>
        <v>7.4999999999999997E-2</v>
      </c>
      <c r="T86" s="172">
        <f t="shared" si="100"/>
        <v>1.114835328675557</v>
      </c>
      <c r="U86" s="534" t="str">
        <f t="shared" si="101"/>
        <v>verifica</v>
      </c>
      <c r="V86" s="534" t="str">
        <f t="shared" si="102"/>
        <v>verifica</v>
      </c>
      <c r="W86" s="168">
        <f t="shared" si="103"/>
        <v>7.876311597092811E-2</v>
      </c>
      <c r="X86" s="173">
        <f t="shared" si="104"/>
        <v>4.6409800000000008E-2</v>
      </c>
      <c r="Y86" s="534" t="str">
        <f t="shared" si="105"/>
        <v>verifica</v>
      </c>
    </row>
    <row r="87" spans="1:25" x14ac:dyDescent="0.3">
      <c r="A87" s="154" t="s">
        <v>685</v>
      </c>
      <c r="B87" s="525">
        <v>2</v>
      </c>
      <c r="C87" s="526">
        <v>112</v>
      </c>
      <c r="D87" s="171">
        <f>B87*$B$10</f>
        <v>6.1820000000000004</v>
      </c>
      <c r="E87" s="155">
        <f>+D87+E86+G75</f>
        <v>58.757000000000019</v>
      </c>
      <c r="F87" s="168">
        <f>+$B$11*C87/1000+F86</f>
        <v>2.8000000000000004E-2</v>
      </c>
      <c r="G87" s="168">
        <f>+IF((E87+F87)&gt;1.5,(E87+F87),1.5)</f>
        <v>58.785000000000018</v>
      </c>
      <c r="H87" s="155">
        <f>(0.0055*(G87^-0.47))*100</f>
        <v>8.1060153890618172E-2</v>
      </c>
      <c r="I87" s="530">
        <v>0.5</v>
      </c>
      <c r="J87" s="169">
        <f t="shared" si="94"/>
        <v>0.56000000000000005</v>
      </c>
      <c r="K87" s="174">
        <f>K86-(K86-K89)/(C86*3)*C86</f>
        <v>93.333333333333329</v>
      </c>
      <c r="L87" s="170">
        <f t="shared" si="106"/>
        <v>92.888888888888886</v>
      </c>
      <c r="M87" s="170">
        <f t="shared" si="109"/>
        <v>91.309999999999988</v>
      </c>
      <c r="N87" s="170">
        <f t="shared" si="95"/>
        <v>90.749999999999986</v>
      </c>
      <c r="O87" s="170">
        <f t="shared" si="96"/>
        <v>2.0233333333333405</v>
      </c>
      <c r="P87" s="533" t="str">
        <f>IF((K87-M87)&gt;=1.2,"verifica","aumentar pendiente")</f>
        <v>verifica</v>
      </c>
      <c r="Q87" s="170">
        <f t="shared" si="98"/>
        <v>2.1388888888888999</v>
      </c>
      <c r="R87" s="171">
        <v>0.3</v>
      </c>
      <c r="S87" s="172">
        <f t="shared" si="99"/>
        <v>7.4999999999999997E-2</v>
      </c>
      <c r="T87" s="172">
        <f t="shared" si="100"/>
        <v>1.114835328675557</v>
      </c>
      <c r="U87" s="534" t="str">
        <f t="shared" si="101"/>
        <v>verifica</v>
      </c>
      <c r="V87" s="534" t="str">
        <f t="shared" si="102"/>
        <v>verifica</v>
      </c>
      <c r="W87" s="168">
        <f t="shared" si="103"/>
        <v>7.876311597092811E-2</v>
      </c>
      <c r="X87" s="173">
        <f t="shared" si="104"/>
        <v>5.8785000000000018E-2</v>
      </c>
      <c r="Y87" s="534" t="str">
        <f t="shared" si="105"/>
        <v>verifica</v>
      </c>
    </row>
    <row r="88" spans="1:25" x14ac:dyDescent="0.3">
      <c r="A88" s="154" t="s">
        <v>686</v>
      </c>
      <c r="B88" s="525">
        <v>2</v>
      </c>
      <c r="C88" s="526">
        <v>112</v>
      </c>
      <c r="D88" s="171">
        <f>B88*$B$10</f>
        <v>6.1820000000000004</v>
      </c>
      <c r="E88" s="155">
        <f>+D88+E87+G78</f>
        <v>71.126600000000025</v>
      </c>
      <c r="F88" s="168">
        <f t="shared" si="108"/>
        <v>3.3600000000000005E-2</v>
      </c>
      <c r="G88" s="168">
        <f>+IF((E88+F88)&gt;1.5,(E88+F88),1.5)</f>
        <v>71.160200000000032</v>
      </c>
      <c r="H88" s="155">
        <f>(0.0055*(G88^-0.47))*100</f>
        <v>7.4098808440425948E-2</v>
      </c>
      <c r="I88" s="530">
        <v>0.5</v>
      </c>
      <c r="J88" s="169">
        <f t="shared" si="94"/>
        <v>0.56000000000000005</v>
      </c>
      <c r="K88" s="174">
        <f>K87-(K87-K89)/(C87*3)*C87</f>
        <v>92.888888888888886</v>
      </c>
      <c r="L88" s="170">
        <f t="shared" si="106"/>
        <v>92</v>
      </c>
      <c r="M88" s="170">
        <f t="shared" si="109"/>
        <v>90.749999999999986</v>
      </c>
      <c r="N88" s="170">
        <f t="shared" si="95"/>
        <v>90.189999999999984</v>
      </c>
      <c r="O88" s="170">
        <f t="shared" si="96"/>
        <v>2.1388888888888999</v>
      </c>
      <c r="P88" s="533" t="str">
        <f>IF((K88-M88)&gt;=1.2,"verifica","aumentar pendiente")</f>
        <v>verifica</v>
      </c>
      <c r="Q88" s="170">
        <f t="shared" si="98"/>
        <v>1.8100000000000165</v>
      </c>
      <c r="R88" s="171">
        <v>0.3</v>
      </c>
      <c r="S88" s="172">
        <f t="shared" si="99"/>
        <v>7.4999999999999997E-2</v>
      </c>
      <c r="T88" s="172">
        <f t="shared" si="100"/>
        <v>1.114835328675557</v>
      </c>
      <c r="U88" s="534" t="str">
        <f t="shared" si="101"/>
        <v>verifica</v>
      </c>
      <c r="V88" s="534" t="str">
        <f t="shared" si="102"/>
        <v>verifica</v>
      </c>
      <c r="W88" s="168">
        <f t="shared" si="103"/>
        <v>7.876311597092811E-2</v>
      </c>
      <c r="X88" s="173">
        <f t="shared" si="104"/>
        <v>7.1160200000000035E-2</v>
      </c>
      <c r="Y88" s="534" t="str">
        <f t="shared" si="105"/>
        <v>verifica</v>
      </c>
    </row>
    <row r="89" spans="1:25" x14ac:dyDescent="0.3">
      <c r="A89" s="154">
        <v>21</v>
      </c>
      <c r="B89" s="529"/>
      <c r="C89" s="528"/>
      <c r="D89" s="178"/>
      <c r="E89" s="155"/>
      <c r="F89" s="168"/>
      <c r="G89" s="168"/>
      <c r="H89" s="175"/>
      <c r="I89" s="528"/>
      <c r="J89" s="169"/>
      <c r="K89" s="532">
        <v>92</v>
      </c>
      <c r="L89" s="170"/>
      <c r="M89" s="170">
        <f t="shared" si="109"/>
        <v>90.189999999999984</v>
      </c>
      <c r="N89" s="170"/>
      <c r="O89" s="170">
        <f t="shared" si="96"/>
        <v>1.8100000000000165</v>
      </c>
      <c r="P89" s="533" t="str">
        <f t="shared" si="97"/>
        <v>verifica</v>
      </c>
      <c r="Q89" s="170"/>
      <c r="R89" s="177"/>
      <c r="S89" s="172"/>
      <c r="T89" s="172"/>
      <c r="U89" s="154"/>
      <c r="V89" s="154"/>
      <c r="W89" s="168"/>
      <c r="X89" s="168"/>
      <c r="Y89" s="154"/>
    </row>
    <row r="90" spans="1:25" x14ac:dyDescent="0.3">
      <c r="A90" s="154"/>
      <c r="B90" s="529"/>
      <c r="C90" s="528"/>
      <c r="D90" s="178"/>
      <c r="E90" s="155"/>
      <c r="F90" s="168"/>
      <c r="G90" s="168"/>
      <c r="H90" s="175"/>
      <c r="I90" s="528"/>
      <c r="J90" s="169"/>
      <c r="K90" s="174"/>
      <c r="L90" s="170"/>
      <c r="M90" s="170"/>
      <c r="N90" s="170"/>
      <c r="O90" s="170"/>
      <c r="P90" s="170"/>
      <c r="Q90" s="170"/>
      <c r="R90" s="177"/>
      <c r="S90" s="172"/>
      <c r="T90" s="172"/>
      <c r="U90" s="154"/>
      <c r="V90" s="154"/>
      <c r="W90" s="168"/>
      <c r="X90" s="168"/>
      <c r="Y90" s="154"/>
    </row>
    <row r="91" spans="1:25" x14ac:dyDescent="0.3">
      <c r="A91" s="154" t="s">
        <v>687</v>
      </c>
      <c r="B91" s="525">
        <v>1</v>
      </c>
      <c r="C91" s="526">
        <v>112</v>
      </c>
      <c r="D91" s="179">
        <f>B91*$B$10</f>
        <v>3.0910000000000002</v>
      </c>
      <c r="E91" s="155">
        <f>+D91+G30+G58</f>
        <v>163.92940000000004</v>
      </c>
      <c r="F91" s="168">
        <f>+$B$11*C91/1000</f>
        <v>5.6000000000000008E-3</v>
      </c>
      <c r="G91" s="168">
        <f>+IF((E91+F91)&gt;1.5,(E91+F91),1.5)</f>
        <v>163.93500000000003</v>
      </c>
      <c r="H91" s="155">
        <f t="shared" ref="H91" si="110">(0.0055*(G91^-0.47))*100</f>
        <v>5.0057251208705127E-2</v>
      </c>
      <c r="I91" s="530">
        <v>1</v>
      </c>
      <c r="J91" s="169">
        <f>C91*(I91/100)</f>
        <v>1.1200000000000001</v>
      </c>
      <c r="K91" s="174">
        <f>+K59</f>
        <v>93</v>
      </c>
      <c r="L91" s="170">
        <f>+K92</f>
        <v>92</v>
      </c>
      <c r="M91" s="170">
        <f>+K91-$B$20</f>
        <v>91.55</v>
      </c>
      <c r="N91" s="170">
        <f>+M91-J91</f>
        <v>90.429999999999993</v>
      </c>
      <c r="O91" s="170">
        <f>K91-M91</f>
        <v>1.4500000000000028</v>
      </c>
      <c r="P91" s="533" t="str">
        <f t="shared" ref="P91:P92" si="111">IF((K91-M91)&gt;=1.2,"verifica","aumentar pendiente")</f>
        <v>verifica</v>
      </c>
      <c r="Q91" s="170">
        <f>L91-N91</f>
        <v>1.5700000000000074</v>
      </c>
      <c r="R91" s="171">
        <v>0.35</v>
      </c>
      <c r="S91" s="172">
        <f>R91/4</f>
        <v>8.7499999999999994E-2</v>
      </c>
      <c r="T91" s="172">
        <f>(87/(1+(0.14/S91^(1/2))))*(S91*(I91/100))^(1/2)</f>
        <v>1.7467715278973359</v>
      </c>
      <c r="U91" s="534" t="str">
        <f t="shared" ref="U91" si="112">IF(T91&gt;=$B$14,"verifica", "aumentar diámetro")</f>
        <v>verifica</v>
      </c>
      <c r="V91" s="534" t="str">
        <f>IF(T91&lt;=$B$15,"verifica","disminuir pend.")</f>
        <v>verifica</v>
      </c>
      <c r="W91" s="168">
        <f>(3.14*(R91/2)^2*T91)</f>
        <v>0.16797391705142756</v>
      </c>
      <c r="X91" s="173">
        <f>(E91+F91)/1000</f>
        <v>0.16393500000000003</v>
      </c>
      <c r="Y91" s="534" t="str">
        <f>IF(W91&gt;=X91,"verifica","no verifica")</f>
        <v>verifica</v>
      </c>
    </row>
    <row r="92" spans="1:25" x14ac:dyDescent="0.3">
      <c r="A92" s="154">
        <v>21</v>
      </c>
      <c r="B92" s="177"/>
      <c r="C92" s="175"/>
      <c r="D92" s="178"/>
      <c r="E92" s="155"/>
      <c r="F92" s="168"/>
      <c r="G92" s="168"/>
      <c r="H92" s="175"/>
      <c r="I92" s="528"/>
      <c r="J92" s="169"/>
      <c r="K92" s="174">
        <f>+K89</f>
        <v>92</v>
      </c>
      <c r="L92" s="170"/>
      <c r="M92" s="170">
        <f>+N91</f>
        <v>90.429999999999993</v>
      </c>
      <c r="N92" s="170"/>
      <c r="O92" s="170">
        <f>K92-M92</f>
        <v>1.5700000000000074</v>
      </c>
      <c r="P92" s="535" t="str">
        <f t="shared" si="111"/>
        <v>verifica</v>
      </c>
      <c r="Q92" s="170"/>
      <c r="R92" s="171"/>
      <c r="S92" s="172"/>
      <c r="T92" s="172"/>
      <c r="U92" s="154"/>
      <c r="V92" s="154"/>
      <c r="W92" s="168"/>
      <c r="X92" s="168"/>
      <c r="Y92" s="154"/>
    </row>
    <row r="93" spans="1:25" x14ac:dyDescent="0.3">
      <c r="A93" s="154"/>
      <c r="B93" s="154"/>
      <c r="C93" s="175"/>
      <c r="D93" s="178"/>
      <c r="E93" s="155"/>
      <c r="F93" s="168"/>
      <c r="G93" s="168"/>
      <c r="H93" s="175"/>
      <c r="I93" s="528"/>
      <c r="J93" s="169"/>
      <c r="K93" s="174"/>
      <c r="L93" s="170"/>
      <c r="M93" s="170"/>
      <c r="N93" s="170"/>
      <c r="O93" s="170"/>
      <c r="P93" s="170"/>
      <c r="Q93" s="170"/>
      <c r="R93" s="171"/>
      <c r="S93" s="172"/>
      <c r="T93" s="172"/>
      <c r="U93" s="154"/>
      <c r="V93" s="154"/>
      <c r="W93" s="168"/>
      <c r="X93" s="168"/>
      <c r="Y93" s="154"/>
    </row>
    <row r="94" spans="1:25" x14ac:dyDescent="0.3">
      <c r="A94" s="154" t="s">
        <v>688</v>
      </c>
      <c r="B94" s="154">
        <v>0</v>
      </c>
      <c r="C94" s="175">
        <v>500</v>
      </c>
      <c r="D94" s="171">
        <f t="shared" ref="D94" si="113">B94*$B$10</f>
        <v>0</v>
      </c>
      <c r="E94" s="172">
        <f>+D94+G88+G91</f>
        <v>235.09520000000006</v>
      </c>
      <c r="F94" s="168">
        <f>$B$11*C94/1000</f>
        <v>2.5000000000000001E-2</v>
      </c>
      <c r="G94" s="173">
        <f>+IF((E94+F94)&gt;1.5,(E94+F94),1.5)</f>
        <v>235.12020000000007</v>
      </c>
      <c r="H94" s="155">
        <f t="shared" ref="H94" si="114">(0.0055*(G94^-0.47))*100</f>
        <v>4.2252889755276135E-2</v>
      </c>
      <c r="I94" s="530">
        <v>4</v>
      </c>
      <c r="J94" s="169">
        <f>C94*(I94/100)</f>
        <v>20</v>
      </c>
      <c r="K94" s="174">
        <f>+K89</f>
        <v>92</v>
      </c>
      <c r="L94" s="170">
        <f>+K95</f>
        <v>73</v>
      </c>
      <c r="M94" s="170">
        <f>+K94-$B$20</f>
        <v>90.55</v>
      </c>
      <c r="N94" s="170">
        <f>+M94-J94</f>
        <v>70.55</v>
      </c>
      <c r="O94" s="170">
        <f>K94-M94</f>
        <v>1.4500000000000028</v>
      </c>
      <c r="P94" s="533" t="str">
        <f>IF((K94-M94)&gt;=1.2,"verifica","aumentar pendiente")</f>
        <v>verifica</v>
      </c>
      <c r="Q94" s="170">
        <f>L94-N94</f>
        <v>2.4500000000000028</v>
      </c>
      <c r="R94" s="171">
        <v>0.5</v>
      </c>
      <c r="S94" s="172">
        <f>R94/4</f>
        <v>0.125</v>
      </c>
      <c r="T94" s="172">
        <f>(87/(1+(0.14/S94^(1/2))))*(S94*(I94/100))^(1/2)</f>
        <v>4.4068180696429833</v>
      </c>
      <c r="U94" s="534" t="str">
        <f t="shared" ref="U94" si="115">IF(T94&gt;=$B$14,"verifica", "aumentar diámetro")</f>
        <v>verifica</v>
      </c>
      <c r="V94" s="534" t="str">
        <f>IF(T94&lt;=$B$15,"verifica","disminuir pend.")</f>
        <v>verifica</v>
      </c>
      <c r="W94" s="168">
        <f>(3.14*(R94/2)^2*T94)</f>
        <v>0.86483804616743554</v>
      </c>
      <c r="X94" s="173">
        <f>(E94+F94)/1000</f>
        <v>0.23512020000000006</v>
      </c>
      <c r="Y94" s="534" t="str">
        <f>IF(W94&gt;=X94,"verifica","no verifica")</f>
        <v>verifica</v>
      </c>
    </row>
    <row r="95" spans="1:25" x14ac:dyDescent="0.3">
      <c r="A95" s="154" t="s">
        <v>689</v>
      </c>
      <c r="B95" s="154"/>
      <c r="C95" s="175"/>
      <c r="D95" s="178"/>
      <c r="E95" s="155"/>
      <c r="F95" s="172"/>
      <c r="G95" s="172"/>
      <c r="H95" s="175"/>
      <c r="I95" s="175"/>
      <c r="J95" s="169"/>
      <c r="K95" s="532">
        <v>73</v>
      </c>
      <c r="L95" s="170"/>
      <c r="M95" s="170">
        <f>+N94</f>
        <v>70.55</v>
      </c>
      <c r="N95" s="170"/>
      <c r="O95" s="170">
        <f>K95-M95</f>
        <v>2.4500000000000028</v>
      </c>
      <c r="P95" s="533" t="str">
        <f t="shared" ref="P95" si="116">IF((K95-M95)&gt;=1.2,"verifica","aumentar pendiente")</f>
        <v>verifica</v>
      </c>
      <c r="Q95" s="170"/>
      <c r="R95" s="177"/>
      <c r="S95" s="172"/>
      <c r="T95" s="172"/>
      <c r="U95" s="154"/>
      <c r="V95" s="154"/>
      <c r="W95" s="172"/>
      <c r="X95" s="172"/>
      <c r="Y95" s="154"/>
    </row>
    <row r="96" spans="1:25" x14ac:dyDescent="0.3">
      <c r="A96" s="154"/>
      <c r="B96" s="154"/>
      <c r="C96" s="175"/>
      <c r="D96" s="178"/>
      <c r="E96" s="155"/>
      <c r="F96" s="172"/>
      <c r="G96" s="172"/>
      <c r="H96" s="175"/>
      <c r="I96" s="175"/>
      <c r="J96" s="169"/>
      <c r="K96" s="170"/>
      <c r="L96" s="170"/>
      <c r="M96" s="170"/>
      <c r="N96" s="170"/>
      <c r="O96" s="170"/>
      <c r="P96" s="170"/>
      <c r="Q96" s="170"/>
      <c r="R96" s="177"/>
      <c r="S96" s="172"/>
      <c r="T96" s="172"/>
      <c r="U96" s="154"/>
      <c r="V96" s="154"/>
      <c r="W96" s="172"/>
      <c r="X96" s="155"/>
      <c r="Y96" s="154"/>
    </row>
    <row r="97" spans="1:25" x14ac:dyDescent="0.3">
      <c r="A97" s="154" t="s">
        <v>690</v>
      </c>
      <c r="B97" s="154">
        <f>SUM(B24:B96)</f>
        <v>72</v>
      </c>
      <c r="C97" s="154"/>
      <c r="D97" s="154">
        <f t="shared" ref="D97" si="117">SUM(D24:D96)</f>
        <v>222.55199999999991</v>
      </c>
      <c r="E97" s="155"/>
      <c r="F97" s="172"/>
      <c r="G97" s="172"/>
      <c r="H97" s="175"/>
      <c r="I97" s="175"/>
      <c r="J97" s="169"/>
      <c r="K97" s="170"/>
      <c r="L97" s="170"/>
      <c r="M97" s="181"/>
      <c r="N97" s="181"/>
      <c r="O97" s="181"/>
      <c r="P97" s="181"/>
      <c r="Q97" s="181"/>
      <c r="R97" s="177"/>
      <c r="S97" s="172"/>
      <c r="T97" s="172"/>
      <c r="U97" s="154"/>
      <c r="V97" s="154"/>
      <c r="W97" s="172"/>
      <c r="X97" s="172"/>
      <c r="Y97" s="154"/>
    </row>
    <row r="98" spans="1:25" x14ac:dyDescent="0.3">
      <c r="A98" s="154"/>
      <c r="B98" s="154"/>
      <c r="C98" s="175"/>
      <c r="D98" s="178"/>
      <c r="E98" s="155"/>
      <c r="F98" s="172"/>
      <c r="G98" s="172"/>
      <c r="H98" s="175"/>
      <c r="I98" s="175"/>
      <c r="J98" s="169"/>
      <c r="K98" s="170"/>
      <c r="L98" s="170"/>
      <c r="M98" s="181"/>
      <c r="N98" s="181"/>
      <c r="O98" s="181"/>
      <c r="P98" s="181"/>
      <c r="Q98" s="181"/>
      <c r="R98" s="154"/>
      <c r="S98" s="172"/>
      <c r="T98" s="172"/>
      <c r="U98" s="154"/>
      <c r="V98" s="154"/>
      <c r="W98" s="172"/>
      <c r="X98" s="172"/>
      <c r="Y98" s="154"/>
    </row>
    <row r="99" spans="1:25" x14ac:dyDescent="0.3">
      <c r="A99" s="521" t="s">
        <v>1006</v>
      </c>
      <c r="B99" s="522" t="str">
        <f>+IF(B97='Datos Inic'!D19,"OK","No")</f>
        <v>OK</v>
      </c>
      <c r="C99" s="523"/>
      <c r="D99" s="524"/>
      <c r="E99" s="522" t="str">
        <f>+IF(ROUNDUP(D97,3)=(ROUNDUP((0.8*'Datos Inic'!C7),3)),"OK","No")</f>
        <v>OK</v>
      </c>
      <c r="F99" s="172"/>
      <c r="G99" s="172"/>
      <c r="H99" s="175"/>
      <c r="I99" s="175"/>
      <c r="J99" s="169"/>
      <c r="K99" s="181"/>
      <c r="L99" s="181"/>
      <c r="M99" s="181"/>
      <c r="N99" s="181"/>
      <c r="O99" s="181"/>
      <c r="P99" s="181"/>
      <c r="Q99" s="181"/>
      <c r="R99" s="154"/>
      <c r="S99" s="172"/>
      <c r="T99" s="172"/>
      <c r="U99" s="154"/>
      <c r="V99" s="154"/>
      <c r="W99" s="172"/>
      <c r="X99" s="172"/>
      <c r="Y99" s="154"/>
    </row>
    <row r="103" spans="1:25" x14ac:dyDescent="0.3">
      <c r="G103" s="121"/>
    </row>
  </sheetData>
  <mergeCells count="3">
    <mergeCell ref="A21:D21"/>
    <mergeCell ref="A1:C1"/>
    <mergeCell ref="A4:C4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33"/>
  <sheetViews>
    <sheetView zoomScaleNormal="100" workbookViewId="0">
      <selection activeCell="D23" sqref="D23"/>
    </sheetView>
  </sheetViews>
  <sheetFormatPr baseColWidth="10" defaultRowHeight="14.4" x14ac:dyDescent="0.3"/>
  <cols>
    <col min="1" max="1" width="75.5546875" customWidth="1"/>
    <col min="2" max="2" width="19.33203125" customWidth="1"/>
    <col min="3" max="3" width="31.5546875" customWidth="1"/>
  </cols>
  <sheetData>
    <row r="1" spans="1:7" ht="21.6" thickBot="1" x14ac:dyDescent="0.45">
      <c r="A1" s="753" t="s">
        <v>1007</v>
      </c>
      <c r="B1" s="754"/>
      <c r="C1" s="755"/>
      <c r="D1" s="185"/>
      <c r="E1" s="185"/>
      <c r="F1" s="185"/>
      <c r="G1" s="185"/>
    </row>
    <row r="2" spans="1:7" ht="15" thickBot="1" x14ac:dyDescent="0.35">
      <c r="A2" s="186"/>
      <c r="B2" s="187"/>
      <c r="C2" s="188"/>
      <c r="D2" s="185"/>
      <c r="E2" s="185"/>
      <c r="F2" s="185"/>
      <c r="G2" s="185"/>
    </row>
    <row r="3" spans="1:7" x14ac:dyDescent="0.3">
      <c r="A3" s="536" t="s">
        <v>691</v>
      </c>
      <c r="B3" s="537" t="s">
        <v>692</v>
      </c>
      <c r="C3" s="538" t="s">
        <v>693</v>
      </c>
      <c r="D3" s="182"/>
      <c r="E3" s="182"/>
      <c r="F3" s="182"/>
      <c r="G3" s="182"/>
    </row>
    <row r="4" spans="1:7" x14ac:dyDescent="0.3">
      <c r="A4" s="756" t="s">
        <v>694</v>
      </c>
      <c r="B4" s="756"/>
      <c r="C4" s="756"/>
      <c r="D4" s="182"/>
      <c r="E4" s="182"/>
      <c r="F4" s="182"/>
      <c r="G4" s="182"/>
    </row>
    <row r="5" spans="1:7" x14ac:dyDescent="0.3">
      <c r="A5" s="539" t="s">
        <v>695</v>
      </c>
      <c r="B5" s="168">
        <f>'RED CLOACAL'!G94/1000</f>
        <v>0.23512020000000006</v>
      </c>
      <c r="C5" s="154" t="s">
        <v>24</v>
      </c>
      <c r="D5" s="191"/>
      <c r="E5" s="182"/>
      <c r="F5" s="182"/>
      <c r="G5" s="182"/>
    </row>
    <row r="6" spans="1:7" x14ac:dyDescent="0.3">
      <c r="A6" s="539" t="s">
        <v>696</v>
      </c>
      <c r="B6" s="168">
        <f>+B5/'RED CLOACAL'!B7/'RED CLOACAL'!B8</f>
        <v>0.13062233333333337</v>
      </c>
      <c r="C6" s="154" t="s">
        <v>24</v>
      </c>
      <c r="D6" s="191"/>
      <c r="E6" s="182"/>
      <c r="F6" s="182"/>
      <c r="G6" s="182"/>
    </row>
    <row r="7" spans="1:7" x14ac:dyDescent="0.3">
      <c r="A7" s="539" t="s">
        <v>697</v>
      </c>
      <c r="B7" s="168">
        <f>+B6*0.5</f>
        <v>6.5311166666666684E-2</v>
      </c>
      <c r="C7" s="154" t="s">
        <v>24</v>
      </c>
      <c r="D7" s="191"/>
      <c r="E7" s="182"/>
      <c r="F7" s="182"/>
      <c r="G7" s="182"/>
    </row>
    <row r="8" spans="1:7" x14ac:dyDescent="0.3">
      <c r="A8" s="539" t="s">
        <v>695</v>
      </c>
      <c r="B8" s="172">
        <f>+B5*1000</f>
        <v>235.12020000000007</v>
      </c>
      <c r="C8" s="154" t="s">
        <v>26</v>
      </c>
      <c r="D8" s="182"/>
      <c r="E8" s="182"/>
      <c r="F8" s="182"/>
      <c r="G8" s="182"/>
    </row>
    <row r="9" spans="1:7" x14ac:dyDescent="0.3">
      <c r="A9" s="539" t="s">
        <v>696</v>
      </c>
      <c r="B9" s="172">
        <f>+B6*1000</f>
        <v>130.62233333333336</v>
      </c>
      <c r="C9" s="154" t="s">
        <v>26</v>
      </c>
      <c r="D9" s="182"/>
      <c r="E9" s="182"/>
      <c r="F9" s="182"/>
      <c r="G9" s="182"/>
    </row>
    <row r="10" spans="1:7" x14ac:dyDescent="0.3">
      <c r="A10" s="539" t="s">
        <v>697</v>
      </c>
      <c r="B10" s="172">
        <f>+B7*1000</f>
        <v>65.311166666666679</v>
      </c>
      <c r="C10" s="154" t="s">
        <v>26</v>
      </c>
      <c r="D10" s="182"/>
      <c r="E10" s="182"/>
      <c r="F10" s="182"/>
      <c r="G10" s="182"/>
    </row>
    <row r="11" spans="1:7" x14ac:dyDescent="0.3">
      <c r="A11" s="193"/>
      <c r="B11" s="192"/>
      <c r="C11" s="190"/>
      <c r="D11" s="183"/>
      <c r="E11" s="182"/>
      <c r="F11" s="182"/>
      <c r="G11" s="182"/>
    </row>
    <row r="12" spans="1:7" x14ac:dyDescent="0.3">
      <c r="A12" s="757" t="s">
        <v>698</v>
      </c>
      <c r="B12" s="757"/>
      <c r="C12" s="757"/>
      <c r="D12" s="183"/>
      <c r="E12" s="182"/>
      <c r="F12" s="182"/>
      <c r="G12" s="182"/>
    </row>
    <row r="13" spans="1:7" x14ac:dyDescent="0.3">
      <c r="A13" s="758" t="s">
        <v>699</v>
      </c>
      <c r="B13" s="758"/>
      <c r="C13" s="758"/>
      <c r="D13" s="196"/>
      <c r="E13" s="196"/>
      <c r="F13" s="197"/>
      <c r="G13" s="196"/>
    </row>
    <row r="14" spans="1:7" x14ac:dyDescent="0.3">
      <c r="A14" s="540" t="s">
        <v>700</v>
      </c>
      <c r="B14" s="539"/>
      <c r="C14" s="540"/>
      <c r="D14" s="196"/>
      <c r="E14" s="196"/>
      <c r="F14" s="197"/>
      <c r="G14" s="196"/>
    </row>
    <row r="15" spans="1:7" x14ac:dyDescent="0.3">
      <c r="A15" s="539" t="s">
        <v>701</v>
      </c>
      <c r="B15" s="542">
        <v>2</v>
      </c>
      <c r="C15" s="154" t="s">
        <v>702</v>
      </c>
      <c r="D15" s="182" t="s">
        <v>1053</v>
      </c>
      <c r="E15" s="182"/>
      <c r="F15" s="182"/>
      <c r="G15" s="182"/>
    </row>
    <row r="16" spans="1:7" x14ac:dyDescent="0.3">
      <c r="A16" s="198"/>
      <c r="B16" s="195"/>
      <c r="C16" s="190"/>
      <c r="D16" s="196"/>
      <c r="E16" s="196"/>
      <c r="F16" s="197"/>
      <c r="G16" s="199"/>
    </row>
    <row r="17" spans="1:10" x14ac:dyDescent="0.3">
      <c r="A17" s="758" t="s">
        <v>703</v>
      </c>
      <c r="B17" s="758"/>
      <c r="C17" s="758"/>
      <c r="D17" s="182"/>
      <c r="E17" s="196"/>
      <c r="F17" s="183"/>
      <c r="G17" s="182"/>
      <c r="H17" s="182"/>
      <c r="I17" s="182"/>
      <c r="J17" s="182"/>
    </row>
    <row r="18" spans="1:10" x14ac:dyDescent="0.3">
      <c r="A18" s="549" t="s">
        <v>704</v>
      </c>
      <c r="B18" s="540"/>
      <c r="C18" s="540"/>
      <c r="D18" s="182"/>
      <c r="E18" s="196"/>
      <c r="F18" s="197"/>
      <c r="G18" s="182"/>
      <c r="H18" s="182"/>
      <c r="I18" s="182"/>
      <c r="J18" s="182"/>
    </row>
    <row r="19" spans="1:10" x14ac:dyDescent="0.3">
      <c r="A19" s="539" t="s">
        <v>705</v>
      </c>
      <c r="B19" s="172">
        <f>+(((B5/0.3))/($B$15))</f>
        <v>0.39186700000000013</v>
      </c>
      <c r="C19" s="154" t="s">
        <v>702</v>
      </c>
      <c r="D19" s="182"/>
      <c r="E19" s="182"/>
      <c r="F19" s="182"/>
      <c r="G19" s="182"/>
      <c r="H19" s="182"/>
      <c r="I19" s="182"/>
      <c r="J19" s="182"/>
    </row>
    <row r="20" spans="1:10" ht="15" thickBot="1" x14ac:dyDescent="0.35">
      <c r="A20" s="539" t="s">
        <v>706</v>
      </c>
      <c r="B20" s="172">
        <f>+(((B6/0.3))/($B$15))</f>
        <v>0.21770388888888895</v>
      </c>
      <c r="C20" s="154" t="s">
        <v>702</v>
      </c>
      <c r="D20" s="182"/>
      <c r="E20" s="182"/>
      <c r="F20" s="182"/>
      <c r="G20" s="182"/>
      <c r="H20" s="182"/>
      <c r="I20" s="182"/>
      <c r="J20" s="182"/>
    </row>
    <row r="21" spans="1:10" ht="15" thickBot="1" x14ac:dyDescent="0.35">
      <c r="A21" s="539" t="s">
        <v>707</v>
      </c>
      <c r="B21" s="172">
        <f>+(((B7/0.3))/($B$15))</f>
        <v>0.10885194444444447</v>
      </c>
      <c r="C21" s="154" t="s">
        <v>702</v>
      </c>
      <c r="D21" s="182"/>
      <c r="E21" s="182"/>
      <c r="F21" s="747" t="s">
        <v>708</v>
      </c>
      <c r="G21" s="748"/>
      <c r="H21" s="748"/>
      <c r="I21" s="748"/>
      <c r="J21" s="749"/>
    </row>
    <row r="22" spans="1:10" x14ac:dyDescent="0.3">
      <c r="A22" s="539" t="s">
        <v>709</v>
      </c>
      <c r="B22" s="526">
        <v>45</v>
      </c>
      <c r="C22" s="154" t="s">
        <v>710</v>
      </c>
      <c r="D22" s="182" t="s">
        <v>1054</v>
      </c>
      <c r="E22" s="182"/>
      <c r="F22" s="200" t="s">
        <v>711</v>
      </c>
      <c r="G22" s="750" t="s">
        <v>712</v>
      </c>
      <c r="H22" s="751"/>
      <c r="I22" s="751"/>
      <c r="J22" s="752"/>
    </row>
    <row r="23" spans="1:10" ht="15" thickBot="1" x14ac:dyDescent="0.35">
      <c r="A23" s="539" t="s">
        <v>713</v>
      </c>
      <c r="B23" s="544">
        <v>0.3</v>
      </c>
      <c r="C23" s="154" t="s">
        <v>714</v>
      </c>
      <c r="D23" s="182"/>
      <c r="E23" s="182"/>
      <c r="F23" s="201" t="s">
        <v>715</v>
      </c>
      <c r="G23" s="202" t="s">
        <v>716</v>
      </c>
      <c r="H23" s="184" t="s">
        <v>717</v>
      </c>
      <c r="I23" s="184" t="s">
        <v>718</v>
      </c>
      <c r="J23" s="203" t="s">
        <v>719</v>
      </c>
    </row>
    <row r="24" spans="1:10" x14ac:dyDescent="0.3">
      <c r="A24" s="539" t="s">
        <v>720</v>
      </c>
      <c r="B24" s="544">
        <v>2.5</v>
      </c>
      <c r="C24" s="154" t="s">
        <v>714</v>
      </c>
      <c r="D24" s="182"/>
      <c r="E24" s="182"/>
      <c r="F24" s="204">
        <v>3</v>
      </c>
      <c r="G24" s="205">
        <v>0.8</v>
      </c>
      <c r="H24" s="206">
        <v>1.4</v>
      </c>
      <c r="I24" s="206">
        <v>2.5</v>
      </c>
      <c r="J24" s="207">
        <v>3.1</v>
      </c>
    </row>
    <row r="25" spans="1:10" x14ac:dyDescent="0.3">
      <c r="A25" s="539" t="s">
        <v>721</v>
      </c>
      <c r="B25" s="544">
        <v>1</v>
      </c>
      <c r="C25" s="154" t="s">
        <v>714</v>
      </c>
      <c r="D25" s="182"/>
      <c r="E25" s="182"/>
      <c r="F25" s="208">
        <v>4</v>
      </c>
      <c r="G25" s="209">
        <v>1.2</v>
      </c>
      <c r="H25" s="210">
        <v>2.2999999999999998</v>
      </c>
      <c r="I25" s="210">
        <v>4</v>
      </c>
      <c r="J25" s="211">
        <v>4.5999999999999996</v>
      </c>
    </row>
    <row r="26" spans="1:10" x14ac:dyDescent="0.3">
      <c r="A26" s="539" t="s">
        <v>722</v>
      </c>
      <c r="B26" s="526">
        <v>0.6</v>
      </c>
      <c r="C26" s="154" t="s">
        <v>51</v>
      </c>
      <c r="D26" s="182"/>
      <c r="E26" s="182"/>
      <c r="F26" s="208">
        <v>5</v>
      </c>
      <c r="G26" s="209">
        <v>1.5</v>
      </c>
      <c r="H26" s="210">
        <v>3.2</v>
      </c>
      <c r="I26" s="210">
        <v>5.5</v>
      </c>
      <c r="J26" s="211">
        <v>7</v>
      </c>
    </row>
    <row r="27" spans="1:10" x14ac:dyDescent="0.3">
      <c r="A27" s="758" t="s">
        <v>723</v>
      </c>
      <c r="B27" s="758"/>
      <c r="C27" s="758"/>
      <c r="D27" s="182"/>
      <c r="E27" s="182"/>
      <c r="F27" s="208">
        <v>6</v>
      </c>
      <c r="G27" s="209">
        <v>2.2999999999999998</v>
      </c>
      <c r="H27" s="210">
        <v>4.5</v>
      </c>
      <c r="I27" s="210">
        <v>7.3</v>
      </c>
      <c r="J27" s="211">
        <v>9.9</v>
      </c>
    </row>
    <row r="28" spans="1:10" x14ac:dyDescent="0.3">
      <c r="A28" s="539" t="s">
        <v>724</v>
      </c>
      <c r="B28" s="168">
        <f>+B5/B26</f>
        <v>0.39186700000000013</v>
      </c>
      <c r="C28" s="154" t="s">
        <v>80</v>
      </c>
      <c r="D28" s="183"/>
      <c r="E28" s="182"/>
      <c r="F28" s="208">
        <v>7</v>
      </c>
      <c r="G28" s="209">
        <v>2.9</v>
      </c>
      <c r="H28" s="210">
        <v>5.7</v>
      </c>
      <c r="I28" s="210">
        <v>9.1</v>
      </c>
      <c r="J28" s="211">
        <v>12.5</v>
      </c>
    </row>
    <row r="29" spans="1:10" x14ac:dyDescent="0.3">
      <c r="A29" s="539" t="s">
        <v>725</v>
      </c>
      <c r="B29" s="172">
        <f>+B25/(B25+B23)</f>
        <v>0.76923076923076916</v>
      </c>
      <c r="C29" s="154"/>
      <c r="D29" s="183"/>
      <c r="E29" s="182"/>
      <c r="F29" s="208">
        <v>8</v>
      </c>
      <c r="G29" s="209">
        <v>3.5</v>
      </c>
      <c r="H29" s="210">
        <v>7.1</v>
      </c>
      <c r="I29" s="210">
        <v>11.1</v>
      </c>
      <c r="J29" s="211">
        <v>14.5</v>
      </c>
    </row>
    <row r="30" spans="1:10" x14ac:dyDescent="0.3">
      <c r="A30" s="539" t="s">
        <v>726</v>
      </c>
      <c r="B30" s="168">
        <f>+B28/B29</f>
        <v>0.50942710000000024</v>
      </c>
      <c r="C30" s="154" t="s">
        <v>80</v>
      </c>
      <c r="D30" s="183"/>
      <c r="E30" s="182"/>
      <c r="F30" s="208">
        <v>9</v>
      </c>
      <c r="G30" s="209">
        <v>4.3</v>
      </c>
      <c r="H30" s="210">
        <v>8.5</v>
      </c>
      <c r="I30" s="210">
        <v>13.5</v>
      </c>
      <c r="J30" s="211">
        <v>17.7</v>
      </c>
    </row>
    <row r="31" spans="1:10" x14ac:dyDescent="0.3">
      <c r="A31" s="539" t="s">
        <v>727</v>
      </c>
      <c r="B31" s="545">
        <f>+B30/(B19)</f>
        <v>1.3000000000000003</v>
      </c>
      <c r="C31" s="154" t="s">
        <v>41</v>
      </c>
      <c r="D31" s="182"/>
      <c r="E31" s="182"/>
      <c r="F31" s="208">
        <v>10</v>
      </c>
      <c r="G31" s="209">
        <v>5</v>
      </c>
      <c r="H31" s="210">
        <v>10.3</v>
      </c>
      <c r="I31" s="210">
        <v>15.8</v>
      </c>
      <c r="J31" s="211">
        <v>20.9</v>
      </c>
    </row>
    <row r="32" spans="1:10" x14ac:dyDescent="0.3">
      <c r="A32" s="539" t="s">
        <v>728</v>
      </c>
      <c r="B32" s="545">
        <f>+INT(B31/(B25/100+B23/100))</f>
        <v>100</v>
      </c>
      <c r="C32" s="154" t="s">
        <v>729</v>
      </c>
      <c r="D32" s="182"/>
      <c r="E32" s="182"/>
      <c r="F32" s="208">
        <v>11</v>
      </c>
      <c r="G32" s="209">
        <v>5.8</v>
      </c>
      <c r="H32" s="210">
        <v>11.6</v>
      </c>
      <c r="I32" s="210">
        <v>18.100000000000001</v>
      </c>
      <c r="J32" s="211">
        <v>23.8</v>
      </c>
    </row>
    <row r="33" spans="1:10" x14ac:dyDescent="0.3">
      <c r="A33" s="759" t="s">
        <v>1008</v>
      </c>
      <c r="B33" s="760"/>
      <c r="C33" s="761"/>
      <c r="D33" s="182"/>
      <c r="E33" s="182"/>
      <c r="F33" s="208">
        <v>12</v>
      </c>
      <c r="G33" s="209">
        <v>6.7</v>
      </c>
      <c r="H33" s="210">
        <v>13.4</v>
      </c>
      <c r="I33" s="210">
        <v>21.2</v>
      </c>
      <c r="J33" s="211">
        <v>27.4</v>
      </c>
    </row>
    <row r="34" spans="1:10" x14ac:dyDescent="0.3">
      <c r="A34" s="539" t="s">
        <v>730</v>
      </c>
      <c r="B34" s="172">
        <f>1.43*(B26^2-(B26*B29)^2)/(2*9.81)</f>
        <v>1.0712773465067047E-2</v>
      </c>
      <c r="C34" s="154" t="s">
        <v>41</v>
      </c>
      <c r="D34" s="182"/>
      <c r="E34" s="182"/>
      <c r="F34" s="208">
        <v>13</v>
      </c>
      <c r="G34" s="209">
        <v>7.5</v>
      </c>
      <c r="H34" s="210">
        <v>15.2</v>
      </c>
      <c r="I34" s="210">
        <v>23.8</v>
      </c>
      <c r="J34" s="211">
        <v>31</v>
      </c>
    </row>
    <row r="35" spans="1:10" x14ac:dyDescent="0.3">
      <c r="A35" s="539" t="s">
        <v>731</v>
      </c>
      <c r="B35" s="172">
        <f>1.43*((2*B26)^2-(B26*B29)^2)/(2*9.81)</f>
        <v>8.9428369795342258E-2</v>
      </c>
      <c r="C35" s="154" t="s">
        <v>41</v>
      </c>
      <c r="D35" s="182"/>
      <c r="E35" s="182"/>
      <c r="F35" s="208">
        <v>14</v>
      </c>
      <c r="G35" s="209">
        <v>8.5</v>
      </c>
      <c r="H35" s="210">
        <v>17.3</v>
      </c>
      <c r="I35" s="210">
        <v>26.6</v>
      </c>
      <c r="J35" s="211">
        <v>34.799999999999997</v>
      </c>
    </row>
    <row r="36" spans="1:10" x14ac:dyDescent="0.3">
      <c r="A36" s="759" t="s">
        <v>732</v>
      </c>
      <c r="B36" s="760"/>
      <c r="C36" s="761"/>
      <c r="D36" s="182"/>
      <c r="E36" s="182"/>
      <c r="F36" s="208">
        <v>15</v>
      </c>
      <c r="G36" s="209">
        <v>9.4</v>
      </c>
      <c r="H36" s="210">
        <v>19.100000000000001</v>
      </c>
      <c r="I36" s="210">
        <v>29.2</v>
      </c>
      <c r="J36" s="211">
        <v>38.4</v>
      </c>
    </row>
    <row r="37" spans="1:10" ht="15" thickBot="1" x14ac:dyDescent="0.35">
      <c r="A37" s="539" t="s">
        <v>733</v>
      </c>
      <c r="B37" s="172">
        <f>+$B$35+B19</f>
        <v>0.48129536979534238</v>
      </c>
      <c r="C37" s="154" t="s">
        <v>41</v>
      </c>
      <c r="D37" s="182"/>
      <c r="E37" s="182"/>
      <c r="F37" s="212">
        <v>16</v>
      </c>
      <c r="G37" s="213">
        <v>10.8</v>
      </c>
      <c r="H37" s="214">
        <v>21.1</v>
      </c>
      <c r="I37" s="214">
        <v>32.4</v>
      </c>
      <c r="J37" s="215">
        <v>42.5</v>
      </c>
    </row>
    <row r="38" spans="1:10" x14ac:dyDescent="0.3">
      <c r="A38" s="539" t="s">
        <v>734</v>
      </c>
      <c r="B38" s="172">
        <f>+$B$35+B20</f>
        <v>0.30713225868423122</v>
      </c>
      <c r="C38" s="154" t="s">
        <v>41</v>
      </c>
      <c r="D38" s="182"/>
      <c r="E38" s="182"/>
      <c r="F38" s="182"/>
      <c r="G38" s="182"/>
      <c r="H38" s="182"/>
      <c r="I38" s="182"/>
      <c r="J38" s="182"/>
    </row>
    <row r="39" spans="1:10" x14ac:dyDescent="0.3">
      <c r="A39" s="539" t="s">
        <v>735</v>
      </c>
      <c r="B39" s="172">
        <f>+$B$35+B21</f>
        <v>0.19828031423978673</v>
      </c>
      <c r="C39" s="154" t="s">
        <v>41</v>
      </c>
      <c r="D39" s="182"/>
      <c r="E39" s="182"/>
      <c r="F39" s="182"/>
      <c r="G39" s="182"/>
      <c r="H39" s="182"/>
      <c r="I39" s="182"/>
      <c r="J39" s="182"/>
    </row>
    <row r="40" spans="1:10" x14ac:dyDescent="0.3">
      <c r="A40" s="759" t="s">
        <v>736</v>
      </c>
      <c r="B40" s="760"/>
      <c r="C40" s="761"/>
      <c r="D40" s="182"/>
      <c r="E40" s="182"/>
      <c r="F40" s="182"/>
      <c r="G40" s="182"/>
      <c r="H40" s="182"/>
      <c r="I40" s="182"/>
      <c r="J40" s="182"/>
    </row>
    <row r="41" spans="1:10" x14ac:dyDescent="0.3">
      <c r="A41" s="539" t="s">
        <v>737</v>
      </c>
      <c r="B41" s="546">
        <f>+B68/1000</f>
        <v>0.05</v>
      </c>
      <c r="C41" s="154" t="s">
        <v>738</v>
      </c>
      <c r="D41" s="182"/>
      <c r="E41" s="182"/>
      <c r="F41" s="182"/>
      <c r="G41" s="182"/>
      <c r="H41" s="182"/>
      <c r="I41" s="182"/>
      <c r="J41" s="182"/>
    </row>
    <row r="42" spans="1:10" x14ac:dyDescent="0.3">
      <c r="A42" s="539" t="s">
        <v>739</v>
      </c>
      <c r="B42" s="526">
        <v>2</v>
      </c>
      <c r="C42" s="154" t="s">
        <v>391</v>
      </c>
      <c r="D42" s="182"/>
      <c r="E42" s="182"/>
      <c r="F42" s="182"/>
      <c r="G42" s="182"/>
      <c r="H42" s="182"/>
      <c r="I42" s="182"/>
      <c r="J42" s="182"/>
    </row>
    <row r="43" spans="1:10" x14ac:dyDescent="0.3">
      <c r="A43" s="539" t="s">
        <v>740</v>
      </c>
      <c r="B43" s="547">
        <v>2</v>
      </c>
      <c r="C43" s="154" t="s">
        <v>41</v>
      </c>
      <c r="D43" s="182"/>
      <c r="E43" s="182"/>
      <c r="F43" s="182"/>
      <c r="G43" s="182"/>
      <c r="H43" s="182"/>
      <c r="I43" s="182"/>
      <c r="J43" s="182"/>
    </row>
    <row r="44" spans="1:10" x14ac:dyDescent="0.3">
      <c r="A44" s="539" t="s">
        <v>741</v>
      </c>
      <c r="B44" s="155">
        <f>+((B42*86400*B6*B41/1000)/(B43*B15))</f>
        <v>0.2821442400000001</v>
      </c>
      <c r="C44" s="154" t="s">
        <v>41</v>
      </c>
      <c r="D44" s="182"/>
      <c r="E44" s="182"/>
      <c r="F44" s="182"/>
      <c r="G44" s="182"/>
      <c r="H44" s="182"/>
      <c r="I44" s="182"/>
      <c r="J44" s="182"/>
    </row>
    <row r="45" spans="1:10" x14ac:dyDescent="0.3">
      <c r="A45" s="189"/>
      <c r="B45" s="543"/>
      <c r="C45" s="190"/>
      <c r="D45" s="182"/>
      <c r="E45" s="182"/>
      <c r="F45" s="182"/>
      <c r="G45" s="182"/>
      <c r="H45" s="182"/>
      <c r="I45" s="182"/>
      <c r="J45" s="182"/>
    </row>
    <row r="46" spans="1:10" ht="15.6" x14ac:dyDescent="0.3">
      <c r="A46" s="762" t="s">
        <v>742</v>
      </c>
      <c r="B46" s="763"/>
      <c r="C46" s="764"/>
      <c r="D46" s="182"/>
      <c r="E46" s="182"/>
      <c r="F46" s="182"/>
      <c r="G46" s="182"/>
      <c r="H46" s="182"/>
      <c r="I46" s="182"/>
      <c r="J46" s="182"/>
    </row>
    <row r="47" spans="1:10" ht="15" thickBot="1" x14ac:dyDescent="0.35">
      <c r="A47" s="217"/>
      <c r="B47" s="218"/>
      <c r="C47" s="216"/>
      <c r="D47" s="182"/>
      <c r="E47" s="182"/>
      <c r="F47" s="182"/>
      <c r="G47" s="182"/>
      <c r="H47" s="182"/>
      <c r="I47" s="182"/>
      <c r="J47" s="182"/>
    </row>
    <row r="48" spans="1:10" x14ac:dyDescent="0.3">
      <c r="A48" s="198"/>
      <c r="B48" s="195"/>
      <c r="C48" s="190"/>
      <c r="D48" s="182"/>
      <c r="E48" s="182"/>
      <c r="F48" s="182"/>
      <c r="G48" s="182"/>
      <c r="H48" s="182"/>
      <c r="I48" s="182"/>
      <c r="J48" s="182"/>
    </row>
    <row r="49" spans="1:19" x14ac:dyDescent="0.3">
      <c r="A49" s="198"/>
      <c r="B49" s="195"/>
      <c r="C49" s="190"/>
      <c r="D49" s="182"/>
      <c r="E49" s="182"/>
      <c r="F49" s="182"/>
      <c r="G49" s="182"/>
      <c r="H49" s="182"/>
    </row>
    <row r="50" spans="1:19" x14ac:dyDescent="0.3">
      <c r="A50" s="548" t="s">
        <v>743</v>
      </c>
      <c r="B50" s="539"/>
      <c r="C50" s="540"/>
      <c r="D50" s="182"/>
      <c r="E50" s="182"/>
      <c r="F50" s="182"/>
      <c r="G50" s="182"/>
      <c r="H50" s="182"/>
    </row>
    <row r="51" spans="1:19" x14ac:dyDescent="0.3">
      <c r="A51" s="539" t="s">
        <v>744</v>
      </c>
      <c r="B51" s="172">
        <f>B5/(B19*B15)</f>
        <v>0.3</v>
      </c>
      <c r="C51" s="154" t="s">
        <v>51</v>
      </c>
      <c r="D51" s="182"/>
      <c r="E51" s="182"/>
      <c r="F51" s="182"/>
      <c r="G51" s="182"/>
      <c r="H51" s="182"/>
    </row>
    <row r="52" spans="1:19" x14ac:dyDescent="0.3">
      <c r="A52" s="539" t="s">
        <v>745</v>
      </c>
      <c r="B52" s="172">
        <f>B6/(B20*B15)</f>
        <v>0.3</v>
      </c>
      <c r="C52" s="154" t="s">
        <v>51</v>
      </c>
      <c r="D52" s="182"/>
      <c r="E52" s="182"/>
      <c r="F52" s="182"/>
      <c r="G52" s="182"/>
      <c r="H52" s="182"/>
    </row>
    <row r="53" spans="1:19" x14ac:dyDescent="0.3">
      <c r="A53" s="539" t="s">
        <v>746</v>
      </c>
      <c r="B53" s="172">
        <f>B7/(B21*B15)</f>
        <v>0.3</v>
      </c>
      <c r="C53" s="154" t="s">
        <v>51</v>
      </c>
      <c r="D53" s="182"/>
      <c r="E53" s="182"/>
      <c r="F53" s="182"/>
      <c r="G53" s="182"/>
      <c r="H53" s="182"/>
    </row>
    <row r="54" spans="1:19" x14ac:dyDescent="0.3">
      <c r="A54" s="219"/>
      <c r="B54" s="220"/>
      <c r="C54" s="221"/>
      <c r="D54" s="182"/>
      <c r="E54" s="196"/>
      <c r="F54" s="183"/>
      <c r="G54" s="182"/>
      <c r="H54" s="182"/>
    </row>
    <row r="55" spans="1:19" x14ac:dyDescent="0.3">
      <c r="A55" s="758" t="s">
        <v>747</v>
      </c>
      <c r="B55" s="758"/>
      <c r="C55" s="758"/>
      <c r="D55" s="182"/>
      <c r="E55" s="196"/>
      <c r="F55" s="183"/>
      <c r="G55" s="182"/>
      <c r="H55" s="182"/>
    </row>
    <row r="56" spans="1:19" x14ac:dyDescent="0.3">
      <c r="A56" s="540" t="s">
        <v>748</v>
      </c>
      <c r="B56" s="154"/>
      <c r="C56" s="154"/>
      <c r="D56" s="182"/>
      <c r="E56" s="196"/>
      <c r="F56" s="182"/>
      <c r="G56" s="182"/>
      <c r="H56" s="182"/>
    </row>
    <row r="57" spans="1:19" x14ac:dyDescent="0.3">
      <c r="A57" s="539" t="s">
        <v>749</v>
      </c>
      <c r="B57" s="155">
        <f>25*B19</f>
        <v>9.796675000000004</v>
      </c>
      <c r="C57" s="154" t="s">
        <v>702</v>
      </c>
      <c r="D57" s="182"/>
      <c r="E57" s="196"/>
      <c r="F57" s="182"/>
      <c r="G57" s="182"/>
      <c r="H57" s="182"/>
    </row>
    <row r="58" spans="1:19" x14ac:dyDescent="0.3">
      <c r="A58" s="539" t="s">
        <v>750</v>
      </c>
      <c r="B58" s="530">
        <v>9.4</v>
      </c>
      <c r="C58" s="154" t="s">
        <v>702</v>
      </c>
      <c r="D58" s="223"/>
      <c r="E58" s="224"/>
      <c r="F58" s="225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</row>
    <row r="59" spans="1:19" x14ac:dyDescent="0.3">
      <c r="A59" s="198"/>
      <c r="B59" s="220"/>
      <c r="C59" s="221"/>
      <c r="D59" s="223"/>
      <c r="E59" s="224"/>
      <c r="F59" s="225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</row>
    <row r="60" spans="1:19" x14ac:dyDescent="0.3">
      <c r="A60" s="758" t="s">
        <v>751</v>
      </c>
      <c r="B60" s="758"/>
      <c r="C60" s="758"/>
      <c r="D60" s="226"/>
      <c r="E60" s="227"/>
      <c r="F60" s="225">
        <f>+B15</f>
        <v>2</v>
      </c>
      <c r="G60" s="228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</row>
    <row r="61" spans="1:19" x14ac:dyDescent="0.3">
      <c r="A61" s="539" t="s">
        <v>752</v>
      </c>
      <c r="B61" s="155">
        <f>B58*B15</f>
        <v>18.8</v>
      </c>
      <c r="C61" s="154" t="s">
        <v>753</v>
      </c>
      <c r="D61" s="226"/>
      <c r="E61" s="227"/>
      <c r="F61" s="223"/>
      <c r="G61" s="228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</row>
    <row r="62" spans="1:19" x14ac:dyDescent="0.3">
      <c r="A62" s="198"/>
      <c r="B62" s="220"/>
      <c r="C62" s="551"/>
      <c r="D62" s="223"/>
      <c r="E62" s="229">
        <f>+K108</f>
        <v>1.0625907395906848</v>
      </c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</row>
    <row r="63" spans="1:19" x14ac:dyDescent="0.3">
      <c r="A63" s="758" t="s">
        <v>1009</v>
      </c>
      <c r="B63" s="758"/>
      <c r="C63" s="758"/>
      <c r="D63" s="223"/>
      <c r="E63" s="230">
        <f>+B37</f>
        <v>0.48129536979534238</v>
      </c>
      <c r="F63" s="223"/>
      <c r="G63" s="231">
        <f t="shared" ref="G63:G64" si="0">B20</f>
        <v>0.21770388888888895</v>
      </c>
      <c r="H63" s="232">
        <f>B19</f>
        <v>0.39186700000000013</v>
      </c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</row>
    <row r="64" spans="1:19" x14ac:dyDescent="0.3">
      <c r="A64" s="540" t="s">
        <v>754</v>
      </c>
      <c r="B64" s="154"/>
      <c r="C64" s="154"/>
      <c r="D64" s="223"/>
      <c r="E64" s="223"/>
      <c r="F64" s="223"/>
      <c r="G64" s="232">
        <f t="shared" si="0"/>
        <v>0.10885194444444447</v>
      </c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</row>
    <row r="65" spans="1:19" x14ac:dyDescent="0.3">
      <c r="A65" s="539" t="s">
        <v>755</v>
      </c>
      <c r="B65" s="555">
        <f>B6*86400/B61</f>
        <v>600.30689361702139</v>
      </c>
      <c r="C65" s="154" t="s">
        <v>756</v>
      </c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</row>
    <row r="66" spans="1:19" x14ac:dyDescent="0.3">
      <c r="A66" s="539" t="s">
        <v>757</v>
      </c>
      <c r="B66" s="556" t="b">
        <f>+IF(B65&lt;=1200,B65&gt;=600)</f>
        <v>1</v>
      </c>
      <c r="C66" s="154" t="s">
        <v>758</v>
      </c>
      <c r="D66" s="233"/>
      <c r="E66" s="233"/>
      <c r="F66" s="224"/>
      <c r="G66" s="228"/>
      <c r="H66" s="225">
        <f>+B76</f>
        <v>0.21010741276595751</v>
      </c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</row>
    <row r="67" spans="1:19" x14ac:dyDescent="0.3">
      <c r="A67" s="758" t="s">
        <v>759</v>
      </c>
      <c r="B67" s="758"/>
      <c r="C67" s="758"/>
      <c r="D67" s="224"/>
      <c r="E67" s="223"/>
      <c r="F67" s="228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</row>
    <row r="68" spans="1:19" x14ac:dyDescent="0.3">
      <c r="A68" s="539" t="s">
        <v>760</v>
      </c>
      <c r="B68" s="526">
        <v>50</v>
      </c>
      <c r="C68" s="154" t="s">
        <v>761</v>
      </c>
      <c r="D68" s="224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</row>
    <row r="69" spans="1:19" x14ac:dyDescent="0.3">
      <c r="A69" s="539" t="s">
        <v>762</v>
      </c>
      <c r="B69" s="172">
        <f>B6*86400*B68/1000000</f>
        <v>0.5642884800000002</v>
      </c>
      <c r="C69" s="154" t="s">
        <v>763</v>
      </c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</row>
    <row r="70" spans="1:19" x14ac:dyDescent="0.3">
      <c r="A70" s="189"/>
      <c r="B70" s="220"/>
      <c r="C70" s="221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</row>
    <row r="71" spans="1:19" x14ac:dyDescent="0.3">
      <c r="A71" s="189"/>
      <c r="B71" s="220"/>
      <c r="C71" s="221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</row>
    <row r="72" spans="1:19" x14ac:dyDescent="0.3">
      <c r="A72" s="758" t="s">
        <v>764</v>
      </c>
      <c r="B72" s="758"/>
      <c r="C72" s="758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</row>
    <row r="73" spans="1:19" x14ac:dyDescent="0.3">
      <c r="A73" s="539" t="s">
        <v>765</v>
      </c>
      <c r="B73" s="530">
        <v>7</v>
      </c>
      <c r="C73" s="154" t="s">
        <v>766</v>
      </c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</row>
    <row r="74" spans="1:19" x14ac:dyDescent="0.3">
      <c r="A74" s="189"/>
      <c r="B74" s="220"/>
      <c r="C74" s="221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</row>
    <row r="75" spans="1:19" x14ac:dyDescent="0.3">
      <c r="A75" s="539" t="s">
        <v>397</v>
      </c>
      <c r="B75" s="155">
        <f>B69*B73</f>
        <v>3.9500193600000015</v>
      </c>
      <c r="C75" s="154" t="s">
        <v>201</v>
      </c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</row>
    <row r="76" spans="1:19" x14ac:dyDescent="0.3">
      <c r="A76" s="539" t="s">
        <v>767</v>
      </c>
      <c r="B76" s="155">
        <f>B75/B61</f>
        <v>0.21010741276595751</v>
      </c>
      <c r="C76" s="154" t="s">
        <v>41</v>
      </c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</row>
    <row r="77" spans="1:19" ht="15" thickBot="1" x14ac:dyDescent="0.35">
      <c r="A77" s="189"/>
      <c r="B77" s="552"/>
      <c r="C77" s="221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</row>
    <row r="78" spans="1:19" x14ac:dyDescent="0.3">
      <c r="A78" s="222"/>
      <c r="B78" s="553"/>
      <c r="C78" s="554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</row>
    <row r="79" spans="1:19" ht="15.6" x14ac:dyDescent="0.3">
      <c r="A79" s="762" t="s">
        <v>768</v>
      </c>
      <c r="B79" s="763"/>
      <c r="C79" s="764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</row>
    <row r="80" spans="1:19" x14ac:dyDescent="0.3">
      <c r="A80" s="198"/>
      <c r="B80" s="558"/>
      <c r="C80" s="221"/>
      <c r="D80" s="223"/>
      <c r="E80" s="234" t="s">
        <v>769</v>
      </c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</row>
    <row r="81" spans="1:19" x14ac:dyDescent="0.3">
      <c r="A81" s="758" t="s">
        <v>770</v>
      </c>
      <c r="B81" s="758"/>
      <c r="C81" s="758"/>
      <c r="D81" s="223"/>
      <c r="E81" s="223"/>
      <c r="F81" s="223"/>
      <c r="G81" s="229">
        <f>+B58</f>
        <v>9.4</v>
      </c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</row>
    <row r="82" spans="1:19" x14ac:dyDescent="0.3">
      <c r="A82" s="198" t="s">
        <v>771</v>
      </c>
      <c r="B82" s="220"/>
      <c r="C82" s="551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</row>
    <row r="83" spans="1:19" x14ac:dyDescent="0.3">
      <c r="A83" s="198" t="s">
        <v>772</v>
      </c>
      <c r="B83" s="220"/>
      <c r="C83" s="551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</row>
    <row r="84" spans="1:19" x14ac:dyDescent="0.3">
      <c r="A84" s="539" t="s">
        <v>773</v>
      </c>
      <c r="B84" s="168">
        <f>B5/0.6</f>
        <v>0.39186700000000013</v>
      </c>
      <c r="C84" s="154" t="s">
        <v>80</v>
      </c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</row>
    <row r="85" spans="1:19" x14ac:dyDescent="0.3">
      <c r="A85" s="539"/>
      <c r="B85" s="168">
        <f>B6/0.6</f>
        <v>0.21770388888888895</v>
      </c>
      <c r="C85" s="154" t="s">
        <v>80</v>
      </c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</row>
    <row r="86" spans="1:19" x14ac:dyDescent="0.3">
      <c r="A86" s="557"/>
      <c r="B86" s="168">
        <f>B7/0.6</f>
        <v>0.10885194444444447</v>
      </c>
      <c r="C86" s="154" t="s">
        <v>80</v>
      </c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</row>
    <row r="87" spans="1:19" x14ac:dyDescent="0.3">
      <c r="A87" s="194"/>
      <c r="B87" s="541"/>
      <c r="C87" s="551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</row>
    <row r="88" spans="1:19" x14ac:dyDescent="0.3">
      <c r="A88" s="758" t="s">
        <v>774</v>
      </c>
      <c r="B88" s="758"/>
      <c r="C88" s="758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</row>
    <row r="89" spans="1:19" x14ac:dyDescent="0.3">
      <c r="A89" s="198" t="s">
        <v>775</v>
      </c>
      <c r="B89" s="220"/>
      <c r="C89" s="551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</row>
    <row r="90" spans="1:19" x14ac:dyDescent="0.3">
      <c r="A90" s="198" t="s">
        <v>776</v>
      </c>
      <c r="B90" s="220"/>
      <c r="C90" s="221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</row>
    <row r="91" spans="1:19" x14ac:dyDescent="0.3">
      <c r="A91" s="539" t="s">
        <v>777</v>
      </c>
      <c r="B91" s="176">
        <v>10</v>
      </c>
      <c r="C91" s="154" t="s">
        <v>45</v>
      </c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</row>
    <row r="92" spans="1:19" x14ac:dyDescent="0.3">
      <c r="A92" s="539" t="s">
        <v>778</v>
      </c>
      <c r="B92" s="155">
        <v>3</v>
      </c>
      <c r="C92" s="154" t="s">
        <v>45</v>
      </c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</row>
    <row r="93" spans="1:19" x14ac:dyDescent="0.3">
      <c r="A93" s="539" t="s">
        <v>779</v>
      </c>
      <c r="B93" s="559">
        <f>B91/(B91+B92)</f>
        <v>0.76923076923076927</v>
      </c>
      <c r="C93" s="154"/>
      <c r="D93" s="224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</row>
    <row r="94" spans="1:19" x14ac:dyDescent="0.3">
      <c r="A94" s="539" t="s">
        <v>780</v>
      </c>
      <c r="B94" s="172">
        <f>B84/B93</f>
        <v>0.50942710000000013</v>
      </c>
      <c r="C94" s="154" t="s">
        <v>80</v>
      </c>
      <c r="D94" s="224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</row>
    <row r="95" spans="1:19" x14ac:dyDescent="0.3">
      <c r="A95" s="539"/>
      <c r="B95" s="172">
        <f>B85/B93</f>
        <v>0.28301505555555562</v>
      </c>
      <c r="C95" s="154" t="s">
        <v>80</v>
      </c>
      <c r="D95" s="224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</row>
    <row r="96" spans="1:19" x14ac:dyDescent="0.3">
      <c r="A96" s="557"/>
      <c r="B96" s="172">
        <f>B86/B93</f>
        <v>0.14150752777777781</v>
      </c>
      <c r="C96" s="154" t="s">
        <v>80</v>
      </c>
      <c r="D96" s="223"/>
      <c r="E96" s="223"/>
      <c r="F96" s="225">
        <f>+B15</f>
        <v>2</v>
      </c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</row>
    <row r="97" spans="1:19" x14ac:dyDescent="0.3">
      <c r="A97" s="194"/>
      <c r="B97" s="541"/>
      <c r="C97" s="551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</row>
    <row r="98" spans="1:19" x14ac:dyDescent="0.3">
      <c r="A98" s="758" t="s">
        <v>781</v>
      </c>
      <c r="B98" s="758"/>
      <c r="C98" s="758"/>
      <c r="D98" s="224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</row>
    <row r="99" spans="1:19" x14ac:dyDescent="0.3">
      <c r="A99" s="539" t="s">
        <v>782</v>
      </c>
      <c r="B99" s="155">
        <f>B94/B19</f>
        <v>1.2999999999999998</v>
      </c>
      <c r="C99" s="154" t="s">
        <v>41</v>
      </c>
      <c r="D99" s="224"/>
      <c r="E99" s="223"/>
      <c r="F99" s="223"/>
      <c r="G99" s="223"/>
      <c r="H99" s="223"/>
      <c r="I99" s="223"/>
      <c r="J99" s="223"/>
      <c r="K99" s="228"/>
      <c r="L99" s="223"/>
      <c r="M99" s="223"/>
      <c r="N99" s="223"/>
      <c r="O99" s="223"/>
      <c r="P99" s="223"/>
      <c r="Q99" s="223"/>
      <c r="R99" s="223"/>
      <c r="S99" s="223"/>
    </row>
    <row r="100" spans="1:19" x14ac:dyDescent="0.3">
      <c r="A100" s="539" t="s">
        <v>1020</v>
      </c>
      <c r="B100" s="526">
        <v>100</v>
      </c>
      <c r="C100" s="154" t="s">
        <v>729</v>
      </c>
      <c r="D100" s="224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</row>
    <row r="101" spans="1:19" x14ac:dyDescent="0.3">
      <c r="A101" s="539" t="s">
        <v>783</v>
      </c>
      <c r="B101" s="545">
        <f>((B100+1)*B91+B100*B92)/1000</f>
        <v>1.31</v>
      </c>
      <c r="C101" s="154" t="s">
        <v>41</v>
      </c>
      <c r="D101" s="224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</row>
    <row r="102" spans="1:19" x14ac:dyDescent="0.3">
      <c r="A102" s="189"/>
      <c r="B102" s="550"/>
      <c r="C102" s="221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</row>
    <row r="103" spans="1:19" x14ac:dyDescent="0.3">
      <c r="A103" s="189"/>
      <c r="B103" s="172">
        <f>+B94/B$101</f>
        <v>0.3888756488549619</v>
      </c>
      <c r="C103" s="154" t="s">
        <v>41</v>
      </c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</row>
    <row r="104" spans="1:19" x14ac:dyDescent="0.3">
      <c r="A104" s="189"/>
      <c r="B104" s="172">
        <f>+B85/B$101</f>
        <v>0.16618617472434269</v>
      </c>
      <c r="C104" s="154" t="s">
        <v>41</v>
      </c>
      <c r="D104" s="223"/>
      <c r="E104" s="223"/>
      <c r="F104" s="223"/>
      <c r="G104" s="223"/>
      <c r="H104" s="223"/>
      <c r="I104" s="223"/>
      <c r="J104" s="223"/>
      <c r="K104" s="223"/>
      <c r="L104" s="223"/>
      <c r="M104" s="224" t="s">
        <v>784</v>
      </c>
      <c r="N104" s="235">
        <v>0.88900000000000001</v>
      </c>
      <c r="O104" s="223"/>
      <c r="P104" s="223"/>
      <c r="Q104" s="223"/>
      <c r="R104" s="223"/>
      <c r="S104" s="223"/>
    </row>
    <row r="105" spans="1:19" x14ac:dyDescent="0.3">
      <c r="A105" s="189"/>
      <c r="B105" s="172">
        <f>+B86/B$101</f>
        <v>8.3093087362171345E-2</v>
      </c>
      <c r="C105" s="154" t="s">
        <v>41</v>
      </c>
      <c r="D105" s="223"/>
      <c r="E105" s="223"/>
      <c r="F105" s="223"/>
      <c r="G105" s="223"/>
      <c r="H105" s="223"/>
      <c r="I105" s="223"/>
      <c r="J105" s="223"/>
      <c r="K105" s="223"/>
      <c r="L105" s="223"/>
      <c r="M105" s="224" t="s">
        <v>785</v>
      </c>
      <c r="N105" s="229">
        <f>+(M115-L109*2)/(M109)</f>
        <v>4.2212554413098671</v>
      </c>
      <c r="O105" s="223"/>
      <c r="P105" s="223"/>
      <c r="Q105" s="223"/>
      <c r="R105" s="223"/>
      <c r="S105" s="223"/>
    </row>
    <row r="106" spans="1:19" x14ac:dyDescent="0.3">
      <c r="A106" s="189"/>
      <c r="B106" s="541"/>
      <c r="C106" s="551"/>
      <c r="D106" s="223"/>
      <c r="E106" s="223"/>
      <c r="F106" s="223"/>
      <c r="G106" s="225">
        <f>+J107</f>
        <v>0.3</v>
      </c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</row>
    <row r="107" spans="1:19" x14ac:dyDescent="0.3">
      <c r="A107" s="548" t="s">
        <v>786</v>
      </c>
      <c r="B107" s="541"/>
      <c r="C107" s="221"/>
      <c r="D107" s="223"/>
      <c r="E107" s="223"/>
      <c r="F107" s="223"/>
      <c r="G107" s="223"/>
      <c r="H107" s="223"/>
      <c r="I107" s="228">
        <f>+J109</f>
        <v>0.53129536979534242</v>
      </c>
      <c r="J107" s="225">
        <v>0.3</v>
      </c>
      <c r="K107" s="223"/>
      <c r="L107" s="223"/>
      <c r="M107" s="223"/>
      <c r="N107" s="223"/>
      <c r="O107" s="223"/>
      <c r="P107" s="223"/>
      <c r="Q107" s="223"/>
      <c r="R107" s="223"/>
      <c r="S107" s="223"/>
    </row>
    <row r="108" spans="1:19" x14ac:dyDescent="0.3">
      <c r="A108" s="539" t="s">
        <v>787</v>
      </c>
      <c r="B108" s="155">
        <f>B5/B94</f>
        <v>0.46153846153846151</v>
      </c>
      <c r="C108" s="154" t="s">
        <v>51</v>
      </c>
      <c r="D108" s="223"/>
      <c r="E108" s="226" t="s">
        <v>788</v>
      </c>
      <c r="F108" s="223"/>
      <c r="G108" s="225">
        <f>I107</f>
        <v>0.53129536979534242</v>
      </c>
      <c r="H108" s="223"/>
      <c r="I108" s="223"/>
      <c r="J108" s="223"/>
      <c r="K108" s="225">
        <f>+J109*2</f>
        <v>1.0625907395906848</v>
      </c>
      <c r="L108" s="223"/>
      <c r="M108" s="223"/>
      <c r="N108" s="223"/>
      <c r="O108" s="223"/>
      <c r="P108" s="223"/>
      <c r="Q108" s="223"/>
      <c r="R108" s="223"/>
      <c r="S108" s="223"/>
    </row>
    <row r="109" spans="1:19" x14ac:dyDescent="0.3">
      <c r="A109" s="539" t="s">
        <v>789</v>
      </c>
      <c r="B109" s="155">
        <f>B6/B95</f>
        <v>0.46153846153846156</v>
      </c>
      <c r="C109" s="154" t="s">
        <v>51</v>
      </c>
      <c r="D109" s="223"/>
      <c r="E109" s="223"/>
      <c r="F109" s="223"/>
      <c r="G109" s="223"/>
      <c r="H109" s="228">
        <f>+B37</f>
        <v>0.48129536979534238</v>
      </c>
      <c r="I109" s="223"/>
      <c r="J109" s="228">
        <f>H109+0.05</f>
        <v>0.53129536979534242</v>
      </c>
      <c r="K109" s="223"/>
      <c r="L109" s="236">
        <v>1.4999999999999999E-2</v>
      </c>
      <c r="M109" s="230">
        <f>F96/N104-L109*2</f>
        <v>2.2197187851518563</v>
      </c>
      <c r="N109" s="223"/>
      <c r="O109" s="223"/>
      <c r="P109" s="230">
        <f>+B19</f>
        <v>0.39186700000000013</v>
      </c>
      <c r="Q109" s="223"/>
      <c r="R109" s="223"/>
      <c r="S109" s="223"/>
    </row>
    <row r="110" spans="1:19" x14ac:dyDescent="0.3">
      <c r="A110" s="539" t="s">
        <v>790</v>
      </c>
      <c r="B110" s="155">
        <f>B7/B96</f>
        <v>0.46153846153846156</v>
      </c>
      <c r="C110" s="154" t="s">
        <v>51</v>
      </c>
      <c r="D110" s="223"/>
      <c r="E110" s="237">
        <f>+B32</f>
        <v>100</v>
      </c>
      <c r="F110" s="223"/>
      <c r="G110" s="223"/>
      <c r="H110" s="228">
        <f>+B44</f>
        <v>0.2821442400000001</v>
      </c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</row>
    <row r="111" spans="1:19" x14ac:dyDescent="0.3">
      <c r="A111" s="198"/>
      <c r="B111" s="220"/>
      <c r="C111" s="221"/>
      <c r="D111" s="223"/>
      <c r="E111" s="223"/>
      <c r="F111" s="223"/>
      <c r="G111" s="223"/>
      <c r="H111" s="223"/>
      <c r="I111" s="225">
        <f>+G112</f>
        <v>2</v>
      </c>
      <c r="J111" s="229">
        <f>+((J109^2+I107^2)^0.5)</f>
        <v>0.75136511759060209</v>
      </c>
      <c r="K111" s="225">
        <f>B76</f>
        <v>0.21010741276595751</v>
      </c>
      <c r="L111" s="223"/>
      <c r="M111" s="223"/>
      <c r="N111" s="223"/>
      <c r="O111" s="223"/>
      <c r="P111" s="223"/>
      <c r="Q111" s="223"/>
      <c r="R111" s="223"/>
      <c r="S111" s="223"/>
    </row>
    <row r="112" spans="1:19" x14ac:dyDescent="0.3">
      <c r="A112" s="758" t="s">
        <v>791</v>
      </c>
      <c r="B112" s="758"/>
      <c r="C112" s="758"/>
      <c r="D112" s="223"/>
      <c r="E112" s="223"/>
      <c r="F112" s="223"/>
      <c r="G112" s="225">
        <f>+B43</f>
        <v>2</v>
      </c>
      <c r="H112" s="223"/>
      <c r="I112" s="223"/>
      <c r="J112" s="223"/>
      <c r="K112" s="229"/>
      <c r="L112" s="223"/>
      <c r="M112" s="223"/>
      <c r="N112" s="223"/>
      <c r="O112" s="223"/>
      <c r="P112" s="223"/>
      <c r="Q112" s="223"/>
      <c r="R112" s="223"/>
      <c r="S112" s="223"/>
    </row>
    <row r="113" spans="1:19" x14ac:dyDescent="0.3">
      <c r="A113" s="540" t="s">
        <v>792</v>
      </c>
      <c r="B113" s="220"/>
      <c r="C113" s="221"/>
      <c r="D113" s="223"/>
      <c r="E113" s="228">
        <f>+B101</f>
        <v>1.31</v>
      </c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</row>
    <row r="114" spans="1:19" x14ac:dyDescent="0.3">
      <c r="A114" s="539" t="s">
        <v>793</v>
      </c>
      <c r="B114" s="155">
        <f>MAX(B108:B110)*B93</f>
        <v>0.3550295857988166</v>
      </c>
      <c r="C114" s="154" t="s">
        <v>51</v>
      </c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</row>
    <row r="115" spans="1:19" x14ac:dyDescent="0.3">
      <c r="A115" s="539" t="s">
        <v>794</v>
      </c>
      <c r="B115" s="155">
        <f>1.43*((MAX(B108:B110))^2-B114^2)/19.62</f>
        <v>6.3389192100988413E-3</v>
      </c>
      <c r="C115" s="154" t="s">
        <v>41</v>
      </c>
      <c r="D115" s="223"/>
      <c r="E115" s="223"/>
      <c r="F115" s="223"/>
      <c r="G115" s="223"/>
      <c r="H115" s="223"/>
      <c r="I115" s="223"/>
      <c r="J115" s="225">
        <f>+I111+I107+J107+0.3</f>
        <v>3.1312953697953421</v>
      </c>
      <c r="K115" s="223"/>
      <c r="L115" s="223"/>
      <c r="M115" s="228">
        <f>+G81</f>
        <v>9.4</v>
      </c>
      <c r="N115" s="223"/>
      <c r="O115" s="223"/>
      <c r="P115" s="223"/>
      <c r="Q115" s="223"/>
      <c r="R115" s="223"/>
      <c r="S115" s="223"/>
    </row>
    <row r="116" spans="1:19" x14ac:dyDescent="0.3">
      <c r="A116" s="560" t="s">
        <v>795</v>
      </c>
      <c r="B116" s="220"/>
      <c r="C116" s="221"/>
      <c r="D116" s="223"/>
      <c r="E116" s="223"/>
      <c r="F116" s="223"/>
      <c r="G116" s="223"/>
      <c r="H116" s="223"/>
      <c r="I116" s="223"/>
      <c r="J116" s="223"/>
      <c r="K116" s="223"/>
      <c r="L116" s="228">
        <f>+M115+J115</f>
        <v>12.531295369795343</v>
      </c>
      <c r="M116" s="223"/>
      <c r="N116" s="223"/>
      <c r="O116" s="223"/>
      <c r="P116" s="223"/>
      <c r="Q116" s="223"/>
      <c r="R116" s="223"/>
      <c r="S116" s="223"/>
    </row>
    <row r="117" spans="1:19" x14ac:dyDescent="0.3">
      <c r="A117" s="539" t="s">
        <v>796</v>
      </c>
      <c r="B117" s="155">
        <v>1.7</v>
      </c>
      <c r="C117" s="154" t="s">
        <v>51</v>
      </c>
      <c r="D117" s="223"/>
      <c r="E117" s="223"/>
      <c r="F117" s="223"/>
      <c r="G117" s="223"/>
      <c r="H117" s="223"/>
      <c r="I117" s="223"/>
      <c r="J117" s="226" t="s">
        <v>788</v>
      </c>
      <c r="K117" s="223"/>
      <c r="L117" s="223"/>
      <c r="M117" s="227" t="s">
        <v>769</v>
      </c>
      <c r="N117" s="223"/>
      <c r="O117" s="223"/>
      <c r="P117" s="223"/>
      <c r="Q117" s="223"/>
      <c r="R117" s="223"/>
      <c r="S117" s="223"/>
    </row>
    <row r="118" spans="1:19" x14ac:dyDescent="0.3">
      <c r="A118" s="539" t="s">
        <v>794</v>
      </c>
      <c r="B118" s="155">
        <f>1.43*(B117^2-B114^2)/19.62</f>
        <v>0.20145026555997728</v>
      </c>
      <c r="C118" s="154" t="s">
        <v>41</v>
      </c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</row>
    <row r="119" spans="1:19" x14ac:dyDescent="0.3">
      <c r="A119" s="189"/>
      <c r="B119" s="220"/>
      <c r="C119" s="221"/>
      <c r="D119" s="224"/>
      <c r="E119" s="228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</row>
    <row r="120" spans="1:19" x14ac:dyDescent="0.3">
      <c r="A120" s="198" t="s">
        <v>797</v>
      </c>
      <c r="B120" s="220"/>
      <c r="C120" s="221"/>
      <c r="D120" s="223"/>
      <c r="E120" s="224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</row>
    <row r="121" spans="1:19" x14ac:dyDescent="0.3">
      <c r="A121" s="198" t="s">
        <v>798</v>
      </c>
      <c r="B121" s="220"/>
      <c r="C121" s="221"/>
      <c r="D121" s="223"/>
      <c r="E121" s="224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</row>
    <row r="122" spans="1:19" x14ac:dyDescent="0.3">
      <c r="A122" s="189"/>
      <c r="B122" s="220"/>
      <c r="C122" s="221"/>
      <c r="D122" s="223"/>
      <c r="E122" s="224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</row>
    <row r="123" spans="1:19" x14ac:dyDescent="0.3">
      <c r="A123" s="758" t="s">
        <v>799</v>
      </c>
      <c r="B123" s="758"/>
      <c r="C123" s="758"/>
      <c r="D123" s="223"/>
      <c r="E123" s="224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</row>
    <row r="124" spans="1:19" x14ac:dyDescent="0.3">
      <c r="A124" s="540" t="s">
        <v>800</v>
      </c>
      <c r="B124" s="546">
        <f>+B68</f>
        <v>50</v>
      </c>
      <c r="C124" s="154" t="s">
        <v>761</v>
      </c>
      <c r="D124" s="224"/>
      <c r="E124" s="228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</row>
    <row r="125" spans="1:19" x14ac:dyDescent="0.3">
      <c r="A125" s="539" t="s">
        <v>801</v>
      </c>
      <c r="B125" s="172">
        <f>B6*86400*B124/1000000</f>
        <v>0.5642884800000002</v>
      </c>
      <c r="C125" s="154" t="s">
        <v>763</v>
      </c>
      <c r="D125" s="224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</row>
    <row r="126" spans="1:19" x14ac:dyDescent="0.3">
      <c r="A126" s="189"/>
      <c r="B126" s="220"/>
      <c r="C126" s="221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</row>
    <row r="127" spans="1:19" x14ac:dyDescent="0.3">
      <c r="A127" s="189"/>
      <c r="B127" s="220"/>
      <c r="C127" s="221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</row>
    <row r="128" spans="1:19" x14ac:dyDescent="0.3">
      <c r="A128" s="758" t="s">
        <v>1010</v>
      </c>
      <c r="B128" s="758"/>
      <c r="C128" s="758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</row>
    <row r="129" spans="1:19" x14ac:dyDescent="0.3">
      <c r="A129" s="539" t="s">
        <v>765</v>
      </c>
      <c r="B129" s="167">
        <f>+B42</f>
        <v>2</v>
      </c>
      <c r="C129" s="154" t="s">
        <v>766</v>
      </c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</row>
    <row r="130" spans="1:19" x14ac:dyDescent="0.3">
      <c r="A130" s="189"/>
      <c r="B130" s="220"/>
      <c r="C130" s="221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</row>
    <row r="131" spans="1:19" x14ac:dyDescent="0.3">
      <c r="A131" s="539" t="s">
        <v>397</v>
      </c>
      <c r="B131" s="155">
        <f>B125*B129</f>
        <v>1.1285769600000004</v>
      </c>
      <c r="C131" s="154" t="s">
        <v>201</v>
      </c>
      <c r="D131" s="228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</row>
    <row r="132" spans="1:19" x14ac:dyDescent="0.3">
      <c r="A132" s="539" t="s">
        <v>802</v>
      </c>
      <c r="B132" s="167">
        <f>+B131/B15/B44</f>
        <v>2</v>
      </c>
      <c r="C132" s="154" t="s">
        <v>41</v>
      </c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</row>
    <row r="133" spans="1:19" ht="15.6" x14ac:dyDescent="0.35">
      <c r="A133" s="539" t="s">
        <v>803</v>
      </c>
      <c r="B133" s="155">
        <f>+B131/(B15*B132)</f>
        <v>0.2821442400000001</v>
      </c>
      <c r="C133" s="154" t="s">
        <v>41</v>
      </c>
      <c r="D133" s="183"/>
    </row>
  </sheetData>
  <mergeCells count="24">
    <mergeCell ref="A128:C128"/>
    <mergeCell ref="A81:C81"/>
    <mergeCell ref="A88:C88"/>
    <mergeCell ref="A98:C98"/>
    <mergeCell ref="A112:C112"/>
    <mergeCell ref="A123:C123"/>
    <mergeCell ref="A60:C60"/>
    <mergeCell ref="A63:C63"/>
    <mergeCell ref="A67:C67"/>
    <mergeCell ref="A72:C72"/>
    <mergeCell ref="A79:C79"/>
    <mergeCell ref="A27:C27"/>
    <mergeCell ref="A33:C33"/>
    <mergeCell ref="A36:C36"/>
    <mergeCell ref="A40:C40"/>
    <mergeCell ref="A55:C55"/>
    <mergeCell ref="A46:C46"/>
    <mergeCell ref="F21:J21"/>
    <mergeCell ref="G22:J22"/>
    <mergeCell ref="A1:C1"/>
    <mergeCell ref="A4:C4"/>
    <mergeCell ref="A12:C12"/>
    <mergeCell ref="A13:C13"/>
    <mergeCell ref="A17:C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48"/>
  <sheetViews>
    <sheetView zoomScale="120" zoomScaleNormal="120" zoomScaleSheetLayoutView="50" workbookViewId="0">
      <selection activeCell="D105" sqref="D105"/>
    </sheetView>
  </sheetViews>
  <sheetFormatPr baseColWidth="10" defaultRowHeight="14.4" x14ac:dyDescent="0.3"/>
  <cols>
    <col min="1" max="1" width="57.44140625" customWidth="1"/>
    <col min="2" max="2" width="11.5546875" bestFit="1" customWidth="1"/>
    <col min="3" max="3" width="16.5546875" customWidth="1"/>
    <col min="4" max="4" width="13.44140625" customWidth="1"/>
    <col min="5" max="5" width="12.88671875" bestFit="1" customWidth="1"/>
    <col min="6" max="6" width="11.5546875" bestFit="1" customWidth="1"/>
    <col min="8" max="9" width="11.5546875" bestFit="1" customWidth="1"/>
    <col min="11" max="13" width="11.5546875" bestFit="1" customWidth="1"/>
  </cols>
  <sheetData>
    <row r="1" spans="1:15" ht="21.6" thickBot="1" x14ac:dyDescent="0.45">
      <c r="A1" s="768" t="s">
        <v>1011</v>
      </c>
      <c r="B1" s="769"/>
      <c r="C1" s="770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thickBot="1" x14ac:dyDescent="0.35">
      <c r="A2" s="186"/>
      <c r="B2" s="187"/>
      <c r="C2" s="188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</row>
    <row r="3" spans="1:15" ht="15" thickBot="1" x14ac:dyDescent="0.35">
      <c r="A3" s="561" t="s">
        <v>691</v>
      </c>
      <c r="B3" s="562" t="s">
        <v>692</v>
      </c>
      <c r="C3" s="563" t="s">
        <v>693</v>
      </c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</row>
    <row r="4" spans="1:15" x14ac:dyDescent="0.3">
      <c r="A4" s="771" t="s">
        <v>1012</v>
      </c>
      <c r="B4" s="772"/>
      <c r="C4" s="773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</row>
    <row r="5" spans="1:15" x14ac:dyDescent="0.3">
      <c r="A5" s="564" t="s">
        <v>804</v>
      </c>
      <c r="B5" s="572">
        <f>+ 'DATOS Y SISTEMA IMPULSIÓN RÍO'!B11</f>
        <v>66528</v>
      </c>
      <c r="C5" s="573" t="s">
        <v>805</v>
      </c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</row>
    <row r="6" spans="1:15" x14ac:dyDescent="0.3">
      <c r="A6" s="564" t="s">
        <v>806</v>
      </c>
      <c r="B6" s="574">
        <f>+'DATOS Y SISTEMA IMPULSIÓN RÍO'!B13</f>
        <v>200</v>
      </c>
      <c r="C6" s="573" t="s">
        <v>807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</row>
    <row r="7" spans="1:15" x14ac:dyDescent="0.3">
      <c r="A7" s="564" t="s">
        <v>808</v>
      </c>
      <c r="B7" s="575">
        <f>+'DATOS Y SISTEMA IMPULSIÓN RÍO'!B12</f>
        <v>950.39999999999986</v>
      </c>
      <c r="C7" s="573" t="s">
        <v>28</v>
      </c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</row>
    <row r="8" spans="1:15" x14ac:dyDescent="0.3">
      <c r="A8" s="564" t="s">
        <v>809</v>
      </c>
      <c r="B8" s="574">
        <f>+'DATOS Y SISTEMA IMPULSIÓN RÍO'!B14</f>
        <v>50</v>
      </c>
      <c r="C8" s="573" t="s">
        <v>807</v>
      </c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</row>
    <row r="9" spans="1:15" x14ac:dyDescent="0.3">
      <c r="A9" s="564" t="s">
        <v>60</v>
      </c>
      <c r="B9" s="576">
        <f>+'RED CLOACAL'!B7</f>
        <v>1.2</v>
      </c>
      <c r="C9" s="573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</row>
    <row r="10" spans="1:15" x14ac:dyDescent="0.3">
      <c r="A10" s="564" t="s">
        <v>61</v>
      </c>
      <c r="B10" s="576">
        <f>+'RED CLOACAL'!B8</f>
        <v>1.5</v>
      </c>
      <c r="C10" s="573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</row>
    <row r="11" spans="1:15" x14ac:dyDescent="0.3">
      <c r="A11" s="564" t="s">
        <v>810</v>
      </c>
      <c r="B11" s="573">
        <f>+'RED CLOACAL'!B6</f>
        <v>80</v>
      </c>
      <c r="C11" s="573" t="s">
        <v>22</v>
      </c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</row>
    <row r="12" spans="1:15" x14ac:dyDescent="0.3">
      <c r="A12" s="564" t="s">
        <v>811</v>
      </c>
      <c r="B12" s="576">
        <f>+'RED CLOACAL'!B11</f>
        <v>0.05</v>
      </c>
      <c r="C12" s="573" t="s">
        <v>620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</row>
    <row r="13" spans="1:15" x14ac:dyDescent="0.3">
      <c r="A13" s="564" t="s">
        <v>812</v>
      </c>
      <c r="B13" s="577">
        <f>+SUM('RED CLOACAL'!C24:C95)+6+30</f>
        <v>4120</v>
      </c>
      <c r="C13" s="573" t="s">
        <v>41</v>
      </c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 x14ac:dyDescent="0.3">
      <c r="A14" s="564" t="s">
        <v>813</v>
      </c>
      <c r="B14" s="576">
        <f>(B6*B9*B10*B11/100*B5+B8*B9*B10*B11/100*B7)/(B5)+((B12/1000)*B13*86400/B5)</f>
        <v>289.29610389610394</v>
      </c>
      <c r="C14" s="573" t="s">
        <v>807</v>
      </c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</row>
    <row r="15" spans="1:15" ht="16.2" x14ac:dyDescent="0.3">
      <c r="A15" s="564" t="s">
        <v>814</v>
      </c>
      <c r="B15" s="576">
        <f>+B14*B5/1000</f>
        <v>19246.291200000003</v>
      </c>
      <c r="C15" s="573" t="s">
        <v>815</v>
      </c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</row>
    <row r="16" spans="1:15" ht="16.2" x14ac:dyDescent="0.3">
      <c r="A16" s="564" t="s">
        <v>816</v>
      </c>
      <c r="B16" s="576">
        <f>+B15/24</f>
        <v>801.92880000000014</v>
      </c>
      <c r="C16" s="573" t="s">
        <v>817</v>
      </c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</row>
    <row r="17" spans="1:15" ht="16.2" x14ac:dyDescent="0.3">
      <c r="A17" s="564" t="s">
        <v>816</v>
      </c>
      <c r="B17" s="576">
        <f>+B16/3600*1000</f>
        <v>222.75800000000004</v>
      </c>
      <c r="C17" s="573" t="s">
        <v>818</v>
      </c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</row>
    <row r="18" spans="1:15" ht="15.6" x14ac:dyDescent="0.35">
      <c r="A18" s="564" t="s">
        <v>819</v>
      </c>
      <c r="B18" s="578">
        <f>54/B14*1000</f>
        <v>186.65996282961774</v>
      </c>
      <c r="C18" s="579" t="s">
        <v>820</v>
      </c>
      <c r="D18" s="185"/>
      <c r="E18" s="570"/>
      <c r="F18" s="185"/>
      <c r="G18" s="185"/>
      <c r="H18" s="185"/>
      <c r="I18" s="185"/>
      <c r="J18" s="185"/>
      <c r="K18" s="185"/>
      <c r="L18" s="185"/>
      <c r="M18" s="185"/>
      <c r="N18" s="185"/>
      <c r="O18" s="185"/>
    </row>
    <row r="19" spans="1:15" ht="15.6" x14ac:dyDescent="0.35">
      <c r="A19" s="564" t="s">
        <v>821</v>
      </c>
      <c r="B19" s="580">
        <f>B18*B16/1000</f>
        <v>149.68799999999996</v>
      </c>
      <c r="C19" s="573" t="s">
        <v>822</v>
      </c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</row>
    <row r="20" spans="1:15" ht="15.6" x14ac:dyDescent="0.35">
      <c r="A20" s="564" t="s">
        <v>823</v>
      </c>
      <c r="B20" s="576">
        <f>+B18*B15/1000</f>
        <v>3592.5119999999997</v>
      </c>
      <c r="C20" s="573" t="s">
        <v>824</v>
      </c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</row>
    <row r="21" spans="1:15" x14ac:dyDescent="0.3">
      <c r="A21" s="564" t="s">
        <v>1022</v>
      </c>
      <c r="B21" s="581">
        <v>0.6</v>
      </c>
      <c r="C21" s="573" t="s">
        <v>825</v>
      </c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</row>
    <row r="22" spans="1:15" x14ac:dyDescent="0.3">
      <c r="A22" s="564" t="s">
        <v>826</v>
      </c>
      <c r="B22" s="582">
        <v>10</v>
      </c>
      <c r="C22" s="579" t="s">
        <v>1021</v>
      </c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</row>
    <row r="23" spans="1:15" x14ac:dyDescent="0.3">
      <c r="A23" s="765" t="s">
        <v>827</v>
      </c>
      <c r="B23" s="766"/>
      <c r="C23" s="767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</row>
    <row r="24" spans="1:15" x14ac:dyDescent="0.3">
      <c r="A24" s="565" t="s">
        <v>828</v>
      </c>
      <c r="B24" s="583">
        <v>12</v>
      </c>
      <c r="C24" s="569" t="s">
        <v>188</v>
      </c>
      <c r="D24" s="185" t="s">
        <v>902</v>
      </c>
      <c r="E24" s="185"/>
      <c r="F24" s="185" t="s">
        <v>903</v>
      </c>
      <c r="G24" s="185"/>
      <c r="H24" s="185" t="s">
        <v>905</v>
      </c>
      <c r="I24" s="185"/>
      <c r="J24" s="185"/>
      <c r="K24" s="185"/>
      <c r="L24" s="185"/>
      <c r="M24" s="185"/>
      <c r="N24" s="185"/>
      <c r="O24" s="185"/>
    </row>
    <row r="25" spans="1:15" x14ac:dyDescent="0.3">
      <c r="A25" s="565" t="s">
        <v>829</v>
      </c>
      <c r="B25" s="568">
        <f>+B24+1</f>
        <v>13</v>
      </c>
      <c r="C25" s="569" t="s">
        <v>188</v>
      </c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</row>
    <row r="26" spans="1:15" x14ac:dyDescent="0.3">
      <c r="A26" s="565" t="s">
        <v>830</v>
      </c>
      <c r="B26" s="584">
        <v>0.31</v>
      </c>
      <c r="C26" s="569" t="s">
        <v>831</v>
      </c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</row>
    <row r="27" spans="1:15" x14ac:dyDescent="0.3">
      <c r="A27" s="242"/>
      <c r="B27" s="243"/>
      <c r="C27" s="244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</row>
    <row r="28" spans="1:15" x14ac:dyDescent="0.3">
      <c r="A28" s="765" t="s">
        <v>832</v>
      </c>
      <c r="B28" s="766"/>
      <c r="C28" s="767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</row>
    <row r="29" spans="1:15" x14ac:dyDescent="0.3">
      <c r="A29" s="565" t="s">
        <v>833</v>
      </c>
      <c r="B29" s="583">
        <v>50</v>
      </c>
      <c r="C29" s="569" t="s">
        <v>22</v>
      </c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</row>
    <row r="30" spans="1:15" x14ac:dyDescent="0.3">
      <c r="A30" s="242"/>
      <c r="B30" s="243"/>
      <c r="C30" s="244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</row>
    <row r="31" spans="1:15" x14ac:dyDescent="0.3">
      <c r="A31" s="765" t="s">
        <v>834</v>
      </c>
      <c r="B31" s="766"/>
      <c r="C31" s="767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</row>
    <row r="32" spans="1:15" x14ac:dyDescent="0.3">
      <c r="A32" s="565" t="s">
        <v>835</v>
      </c>
      <c r="B32" s="585">
        <v>1</v>
      </c>
      <c r="C32" s="569" t="s">
        <v>836</v>
      </c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</row>
    <row r="33" spans="1:15" x14ac:dyDescent="0.3">
      <c r="A33" s="565" t="s">
        <v>837</v>
      </c>
      <c r="B33" s="586">
        <f>+B20/B32</f>
        <v>3592.5119999999997</v>
      </c>
      <c r="C33" s="569" t="s">
        <v>838</v>
      </c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</row>
    <row r="34" spans="1:15" x14ac:dyDescent="0.3">
      <c r="A34" s="242"/>
      <c r="B34" s="246"/>
      <c r="C34" s="244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</row>
    <row r="35" spans="1:15" x14ac:dyDescent="0.3">
      <c r="A35" s="774" t="s">
        <v>839</v>
      </c>
      <c r="B35" s="775"/>
      <c r="C35" s="776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</row>
    <row r="36" spans="1:15" x14ac:dyDescent="0.3">
      <c r="A36" s="565" t="s">
        <v>840</v>
      </c>
      <c r="B36" s="247"/>
      <c r="C36" s="239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</row>
    <row r="37" spans="1:15" x14ac:dyDescent="0.3">
      <c r="A37" s="565" t="s">
        <v>841</v>
      </c>
      <c r="B37" s="566" t="s">
        <v>842</v>
      </c>
      <c r="C37" s="569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</row>
    <row r="38" spans="1:15" x14ac:dyDescent="0.3">
      <c r="A38" s="565" t="s">
        <v>843</v>
      </c>
      <c r="B38" s="568">
        <f>0.196*(((123+(B29/100*(202-123)))*(1+0.00925*130))*((3.6+3.9)/2*0.96))</f>
        <v>252.53864999999993</v>
      </c>
      <c r="C38" s="569" t="s">
        <v>844</v>
      </c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</row>
    <row r="39" spans="1:15" x14ac:dyDescent="0.3">
      <c r="A39" s="565" t="s">
        <v>845</v>
      </c>
      <c r="B39" s="568">
        <f>400.6*1.0993^(B24-20)</f>
        <v>187.83699040852824</v>
      </c>
      <c r="C39" s="569" t="s">
        <v>844</v>
      </c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</row>
    <row r="40" spans="1:15" x14ac:dyDescent="0.3">
      <c r="A40" s="565" t="s">
        <v>846</v>
      </c>
      <c r="B40" s="568">
        <f>357.4*1.085^(B25-20)</f>
        <v>201.90467776617646</v>
      </c>
      <c r="C40" s="569" t="s">
        <v>844</v>
      </c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</row>
    <row r="41" spans="1:15" x14ac:dyDescent="0.3">
      <c r="A41" s="565" t="s">
        <v>847</v>
      </c>
      <c r="B41" s="568">
        <f>250*1.0443^(B25-20)</f>
        <v>184.57082890932782</v>
      </c>
      <c r="C41" s="569" t="s">
        <v>844</v>
      </c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</row>
    <row r="42" spans="1:15" x14ac:dyDescent="0.3">
      <c r="A42" s="240"/>
      <c r="B42" s="587"/>
      <c r="C42" s="588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</row>
    <row r="43" spans="1:15" x14ac:dyDescent="0.3">
      <c r="A43" s="565" t="s">
        <v>848</v>
      </c>
      <c r="B43" s="583">
        <f>B41</f>
        <v>184.57082890932782</v>
      </c>
      <c r="C43" s="569" t="s">
        <v>844</v>
      </c>
      <c r="D43" s="260" t="s">
        <v>904</v>
      </c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</row>
    <row r="44" spans="1:15" x14ac:dyDescent="0.3">
      <c r="A44" s="242"/>
      <c r="B44" s="246"/>
      <c r="C44" s="244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</row>
    <row r="45" spans="1:15" x14ac:dyDescent="0.3">
      <c r="A45" s="765" t="s">
        <v>849</v>
      </c>
      <c r="B45" s="766"/>
      <c r="C45" s="767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</row>
    <row r="46" spans="1:15" x14ac:dyDescent="0.3">
      <c r="A46" s="565" t="s">
        <v>850</v>
      </c>
      <c r="B46" s="568">
        <f>0.8*B43</f>
        <v>147.65666312746225</v>
      </c>
      <c r="C46" s="569" t="s">
        <v>844</v>
      </c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</row>
    <row r="47" spans="1:15" x14ac:dyDescent="0.3">
      <c r="A47" s="242"/>
      <c r="B47" s="243"/>
      <c r="C47" s="244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</row>
    <row r="48" spans="1:15" x14ac:dyDescent="0.3">
      <c r="A48" s="765" t="s">
        <v>851</v>
      </c>
      <c r="B48" s="766"/>
      <c r="C48" s="767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</row>
    <row r="49" spans="1:15" x14ac:dyDescent="0.3">
      <c r="A49" s="565" t="s">
        <v>852</v>
      </c>
      <c r="B49" s="568">
        <f>+B33/B46*10000</f>
        <v>243301.71926605309</v>
      </c>
      <c r="C49" s="569" t="s">
        <v>80</v>
      </c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</row>
    <row r="50" spans="1:15" x14ac:dyDescent="0.3">
      <c r="A50" s="242"/>
      <c r="B50" s="243"/>
      <c r="C50" s="244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</row>
    <row r="51" spans="1:15" x14ac:dyDescent="0.3">
      <c r="A51" s="765" t="s">
        <v>853</v>
      </c>
      <c r="B51" s="766"/>
      <c r="C51" s="767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</row>
    <row r="52" spans="1:15" x14ac:dyDescent="0.3">
      <c r="A52" s="565" t="s">
        <v>854</v>
      </c>
      <c r="B52" s="583">
        <v>2</v>
      </c>
      <c r="C52" s="569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</row>
    <row r="53" spans="1:15" x14ac:dyDescent="0.3">
      <c r="A53" s="565" t="s">
        <v>855</v>
      </c>
      <c r="B53" s="568">
        <f>+(B49*B52)^0.5</f>
        <v>697.56966571956536</v>
      </c>
      <c r="C53" s="569" t="s">
        <v>41</v>
      </c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</row>
    <row r="54" spans="1:15" x14ac:dyDescent="0.3">
      <c r="A54" s="565" t="s">
        <v>856</v>
      </c>
      <c r="B54" s="568">
        <f>+B49/B53</f>
        <v>348.78483285978268</v>
      </c>
      <c r="C54" s="569" t="s">
        <v>41</v>
      </c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</row>
    <row r="55" spans="1:15" x14ac:dyDescent="0.3">
      <c r="A55" s="242"/>
      <c r="B55" s="246"/>
      <c r="C55" s="244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</row>
    <row r="56" spans="1:15" x14ac:dyDescent="0.3">
      <c r="A56" s="765" t="s">
        <v>857</v>
      </c>
      <c r="B56" s="766"/>
      <c r="C56" s="767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</row>
    <row r="57" spans="1:15" x14ac:dyDescent="0.3">
      <c r="A57" s="565" t="s">
        <v>858</v>
      </c>
      <c r="B57" s="583">
        <v>2</v>
      </c>
      <c r="C57" s="569" t="s">
        <v>41</v>
      </c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</row>
    <row r="58" spans="1:15" x14ac:dyDescent="0.3">
      <c r="A58" s="565" t="s">
        <v>859</v>
      </c>
      <c r="B58" s="568">
        <f>+B64/B49</f>
        <v>0.47462774841193717</v>
      </c>
      <c r="C58" s="569" t="s">
        <v>41</v>
      </c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</row>
    <row r="59" spans="1:15" x14ac:dyDescent="0.3">
      <c r="A59" s="565" t="s">
        <v>860</v>
      </c>
      <c r="B59" s="568">
        <f>+B57+B58</f>
        <v>2.4746277484119372</v>
      </c>
      <c r="C59" s="569" t="s">
        <v>41</v>
      </c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</row>
    <row r="60" spans="1:15" x14ac:dyDescent="0.3">
      <c r="A60" s="565" t="s">
        <v>861</v>
      </c>
      <c r="B60" s="583">
        <v>0.49</v>
      </c>
      <c r="C60" s="569" t="s">
        <v>41</v>
      </c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</row>
    <row r="61" spans="1:15" x14ac:dyDescent="0.3">
      <c r="A61" s="565" t="s">
        <v>862</v>
      </c>
      <c r="B61" s="586">
        <f>+B59+B60</f>
        <v>2.964627748411937</v>
      </c>
      <c r="C61" s="569" t="s">
        <v>41</v>
      </c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</row>
    <row r="62" spans="1:15" x14ac:dyDescent="0.3">
      <c r="A62" s="242"/>
      <c r="B62" s="243"/>
      <c r="C62" s="244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</row>
    <row r="63" spans="1:15" x14ac:dyDescent="0.3">
      <c r="A63" s="765" t="s">
        <v>863</v>
      </c>
      <c r="B63" s="766"/>
      <c r="C63" s="767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</row>
    <row r="64" spans="1:15" x14ac:dyDescent="0.3">
      <c r="A64" s="565" t="s">
        <v>864</v>
      </c>
      <c r="B64" s="568">
        <f>+B15*B21*B22</f>
        <v>115477.74720000001</v>
      </c>
      <c r="C64" s="569" t="s">
        <v>865</v>
      </c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</row>
    <row r="65" spans="1:15" x14ac:dyDescent="0.3">
      <c r="A65" s="565" t="s">
        <v>866</v>
      </c>
      <c r="B65" s="568">
        <f>+B49*B57+B64</f>
        <v>602081.18573210621</v>
      </c>
      <c r="C65" s="569" t="s">
        <v>201</v>
      </c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</row>
    <row r="66" spans="1:15" x14ac:dyDescent="0.3">
      <c r="A66" s="242"/>
      <c r="B66" s="248"/>
      <c r="C66" s="244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</row>
    <row r="67" spans="1:15" x14ac:dyDescent="0.3">
      <c r="A67" s="765" t="s">
        <v>867</v>
      </c>
      <c r="B67" s="766"/>
      <c r="C67" s="767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</row>
    <row r="68" spans="1:15" x14ac:dyDescent="0.3">
      <c r="A68" s="565" t="s">
        <v>868</v>
      </c>
      <c r="B68" s="583">
        <v>2</v>
      </c>
      <c r="C68" s="569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</row>
    <row r="69" spans="1:15" x14ac:dyDescent="0.3">
      <c r="A69" s="565" t="s">
        <v>869</v>
      </c>
      <c r="B69" s="583">
        <v>1.5</v>
      </c>
      <c r="C69" s="569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</row>
    <row r="70" spans="1:15" x14ac:dyDescent="0.3">
      <c r="A70" s="565" t="s">
        <v>870</v>
      </c>
      <c r="B70" s="568">
        <f>+B74+2*(B68*B61)</f>
        <v>704.47892121638927</v>
      </c>
      <c r="C70" s="569" t="s">
        <v>41</v>
      </c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</row>
    <row r="71" spans="1:15" x14ac:dyDescent="0.3">
      <c r="A71" s="565" t="s">
        <v>871</v>
      </c>
      <c r="B71" s="568">
        <f>+B75+2*(B68*B61)</f>
        <v>355.69408835660658</v>
      </c>
      <c r="C71" s="569" t="s">
        <v>41</v>
      </c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</row>
    <row r="72" spans="1:15" x14ac:dyDescent="0.3">
      <c r="A72" s="565" t="s">
        <v>872</v>
      </c>
      <c r="B72" s="586">
        <f>+(B59*B68)*2+B74</f>
        <v>702.51892121638923</v>
      </c>
      <c r="C72" s="569" t="s">
        <v>41</v>
      </c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</row>
    <row r="73" spans="1:15" x14ac:dyDescent="0.3">
      <c r="A73" s="565" t="s">
        <v>873</v>
      </c>
      <c r="B73" s="586">
        <f>+(B59*B68)*2+B75</f>
        <v>353.73408835660655</v>
      </c>
      <c r="C73" s="569" t="s">
        <v>41</v>
      </c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</row>
    <row r="74" spans="1:15" x14ac:dyDescent="0.3">
      <c r="A74" s="565" t="s">
        <v>874</v>
      </c>
      <c r="B74" s="586">
        <f>+B53-(B59*B68)</f>
        <v>692.6204102227415</v>
      </c>
      <c r="C74" s="569" t="s">
        <v>41</v>
      </c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</row>
    <row r="75" spans="1:15" x14ac:dyDescent="0.3">
      <c r="A75" s="565" t="s">
        <v>875</v>
      </c>
      <c r="B75" s="586">
        <f>+B54-(B59*B68)</f>
        <v>343.83557736295882</v>
      </c>
      <c r="C75" s="569" t="s">
        <v>41</v>
      </c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</row>
    <row r="76" spans="1:15" x14ac:dyDescent="0.3">
      <c r="A76" s="565" t="s">
        <v>876</v>
      </c>
      <c r="B76" s="585">
        <v>0.5</v>
      </c>
      <c r="C76" s="569" t="s">
        <v>41</v>
      </c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</row>
    <row r="77" spans="1:15" x14ac:dyDescent="0.3">
      <c r="A77" s="565" t="s">
        <v>877</v>
      </c>
      <c r="B77" s="585">
        <v>3</v>
      </c>
      <c r="C77" s="569" t="s">
        <v>41</v>
      </c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</row>
    <row r="78" spans="1:15" x14ac:dyDescent="0.3">
      <c r="A78" s="565" t="s">
        <v>878</v>
      </c>
      <c r="B78" s="568">
        <f>+(B69*B76+B77+B68*B61)</f>
        <v>9.679255496823874</v>
      </c>
      <c r="C78" s="569" t="s">
        <v>41</v>
      </c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</row>
    <row r="79" spans="1:15" x14ac:dyDescent="0.3">
      <c r="A79" s="249"/>
      <c r="B79" s="241"/>
      <c r="C79" s="239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</row>
    <row r="80" spans="1:15" x14ac:dyDescent="0.3">
      <c r="A80" s="242"/>
      <c r="B80" s="243"/>
      <c r="C80" s="244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</row>
    <row r="81" spans="1:15" x14ac:dyDescent="0.3">
      <c r="A81" s="765" t="s">
        <v>879</v>
      </c>
      <c r="B81" s="766"/>
      <c r="C81" s="767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</row>
    <row r="82" spans="1:15" x14ac:dyDescent="0.3">
      <c r="A82" s="565" t="s">
        <v>880</v>
      </c>
      <c r="B82" s="568">
        <f>3.5*1.085^(35-B25)</f>
        <v>21.063099746715015</v>
      </c>
      <c r="C82" s="569" t="s">
        <v>391</v>
      </c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</row>
    <row r="83" spans="1:15" x14ac:dyDescent="0.3">
      <c r="A83" s="242"/>
      <c r="B83" s="243"/>
      <c r="C83" s="244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</row>
    <row r="84" spans="1:15" x14ac:dyDescent="0.3">
      <c r="A84" s="765" t="s">
        <v>881</v>
      </c>
      <c r="B84" s="766"/>
      <c r="C84" s="767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</row>
    <row r="85" spans="1:15" x14ac:dyDescent="0.3">
      <c r="A85" s="565" t="s">
        <v>882</v>
      </c>
      <c r="B85" s="568">
        <f>+B65/B15</f>
        <v>31.282971845095336</v>
      </c>
      <c r="C85" s="569" t="s">
        <v>391</v>
      </c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</row>
    <row r="86" spans="1:15" x14ac:dyDescent="0.3">
      <c r="A86" s="565" t="s">
        <v>883</v>
      </c>
      <c r="B86" s="586">
        <f>+(B65-B64)/B15</f>
        <v>25.282971845095336</v>
      </c>
      <c r="C86" s="569" t="s">
        <v>391</v>
      </c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</row>
    <row r="87" spans="1:15" x14ac:dyDescent="0.3">
      <c r="A87" s="242"/>
      <c r="B87" s="243"/>
      <c r="C87" s="244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</row>
    <row r="88" spans="1:15" x14ac:dyDescent="0.3">
      <c r="A88" s="765" t="s">
        <v>884</v>
      </c>
      <c r="B88" s="766"/>
      <c r="C88" s="767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</row>
    <row r="89" spans="1:15" x14ac:dyDescent="0.3">
      <c r="A89" s="565" t="s">
        <v>885</v>
      </c>
      <c r="B89" s="568">
        <f>+(1-1/(1+B26*B85))*100</f>
        <v>90.652214854211138</v>
      </c>
      <c r="C89" s="569" t="s">
        <v>22</v>
      </c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</row>
    <row r="90" spans="1:15" x14ac:dyDescent="0.3">
      <c r="A90" s="565" t="s">
        <v>886</v>
      </c>
      <c r="B90" s="568">
        <f>+(1-1/(1+B26*B86))*100</f>
        <v>88.684866050589861</v>
      </c>
      <c r="C90" s="569" t="s">
        <v>22</v>
      </c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</row>
    <row r="91" spans="1:15" x14ac:dyDescent="0.3">
      <c r="A91" s="242"/>
      <c r="B91" s="243"/>
      <c r="C91" s="244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</row>
    <row r="92" spans="1:15" x14ac:dyDescent="0.3">
      <c r="A92" s="765" t="s">
        <v>887</v>
      </c>
      <c r="B92" s="766"/>
      <c r="C92" s="767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</row>
    <row r="93" spans="1:15" x14ac:dyDescent="0.3">
      <c r="A93" s="565" t="s">
        <v>888</v>
      </c>
      <c r="B93" s="568">
        <f>+(1-B89/100)*B18</f>
        <v>17.448572278522029</v>
      </c>
      <c r="C93" s="569" t="s">
        <v>889</v>
      </c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</row>
    <row r="94" spans="1:15" x14ac:dyDescent="0.3">
      <c r="A94" s="565" t="s">
        <v>890</v>
      </c>
      <c r="B94" s="586">
        <f>+(1-B90/100)*B18</f>
        <v>21.120824824090423</v>
      </c>
      <c r="C94" s="569" t="s">
        <v>889</v>
      </c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</row>
    <row r="95" spans="1:15" x14ac:dyDescent="0.3">
      <c r="A95" s="249"/>
      <c r="B95" s="241"/>
      <c r="C95" s="239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</row>
    <row r="96" spans="1:15" x14ac:dyDescent="0.3">
      <c r="A96" s="765" t="s">
        <v>891</v>
      </c>
      <c r="B96" s="766"/>
      <c r="C96" s="767"/>
      <c r="D96" s="185" t="s">
        <v>1055</v>
      </c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</row>
    <row r="97" spans="1:15" x14ac:dyDescent="0.3">
      <c r="A97" s="565" t="s">
        <v>892</v>
      </c>
      <c r="B97" s="589">
        <v>1</v>
      </c>
      <c r="C97" s="569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</row>
    <row r="98" spans="1:15" x14ac:dyDescent="0.3">
      <c r="A98" s="565" t="s">
        <v>893</v>
      </c>
      <c r="B98" s="590">
        <f>(1-99/100)^B97*10000000</f>
        <v>100000.00000000009</v>
      </c>
      <c r="C98" s="569" t="s">
        <v>894</v>
      </c>
      <c r="D98" s="185" t="s">
        <v>1056</v>
      </c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</row>
    <row r="99" spans="1:15" x14ac:dyDescent="0.3">
      <c r="A99" s="242"/>
      <c r="B99" s="243"/>
      <c r="C99" s="244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</row>
    <row r="100" spans="1:15" x14ac:dyDescent="0.3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</row>
    <row r="101" spans="1:15" x14ac:dyDescent="0.3">
      <c r="A101" s="780" t="s">
        <v>367</v>
      </c>
      <c r="B101" s="781"/>
      <c r="C101" s="782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</row>
    <row r="102" spans="1:15" x14ac:dyDescent="0.3">
      <c r="A102" s="567" t="s">
        <v>368</v>
      </c>
      <c r="B102" s="591">
        <v>20</v>
      </c>
      <c r="C102" s="571" t="s">
        <v>174</v>
      </c>
      <c r="D102" s="185" t="s">
        <v>1057</v>
      </c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</row>
    <row r="103" spans="1:15" x14ac:dyDescent="0.3">
      <c r="A103" s="567"/>
      <c r="B103" s="592">
        <f>+B102/60</f>
        <v>0.33333333333333331</v>
      </c>
      <c r="C103" s="571" t="s">
        <v>229</v>
      </c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</row>
    <row r="104" spans="1:15" x14ac:dyDescent="0.3">
      <c r="A104" s="567" t="s">
        <v>369</v>
      </c>
      <c r="B104" s="592">
        <f>1.3*B16*B103</f>
        <v>347.50248000000011</v>
      </c>
      <c r="C104" s="571" t="s">
        <v>370</v>
      </c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</row>
    <row r="105" spans="1:15" x14ac:dyDescent="0.3">
      <c r="A105" s="567" t="s">
        <v>371</v>
      </c>
      <c r="B105" s="593">
        <v>2</v>
      </c>
      <c r="C105" s="571"/>
      <c r="D105" s="185"/>
      <c r="E105" s="185"/>
      <c r="F105" s="185"/>
      <c r="G105" s="185"/>
      <c r="H105" s="250">
        <f>+B53</f>
        <v>697.56966571956536</v>
      </c>
      <c r="I105" s="185"/>
      <c r="J105" s="185"/>
      <c r="K105" s="185"/>
      <c r="L105" s="185"/>
      <c r="M105" s="185"/>
      <c r="N105" s="185"/>
      <c r="O105" s="185"/>
    </row>
    <row r="106" spans="1:15" x14ac:dyDescent="0.3">
      <c r="A106" s="567" t="s">
        <v>373</v>
      </c>
      <c r="B106" s="593">
        <v>0.3</v>
      </c>
      <c r="C106" s="571" t="s">
        <v>41</v>
      </c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</row>
    <row r="107" spans="1:15" x14ac:dyDescent="0.3">
      <c r="A107" s="567" t="s">
        <v>374</v>
      </c>
      <c r="B107" s="594">
        <f>+B104/B106</f>
        <v>1158.3416000000004</v>
      </c>
      <c r="C107" s="571" t="s">
        <v>375</v>
      </c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</row>
    <row r="108" spans="1:15" x14ac:dyDescent="0.3">
      <c r="A108" s="567" t="s">
        <v>376</v>
      </c>
      <c r="B108" s="595">
        <f>(B107/B105)^0.5</f>
        <v>24.065967672212981</v>
      </c>
      <c r="C108" s="571" t="s">
        <v>41</v>
      </c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</row>
    <row r="109" spans="1:15" x14ac:dyDescent="0.3">
      <c r="A109" s="567" t="s">
        <v>377</v>
      </c>
      <c r="B109" s="595">
        <f>+B108*2</f>
        <v>48.131935344425962</v>
      </c>
      <c r="C109" s="571" t="s">
        <v>41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</row>
    <row r="110" spans="1:15" x14ac:dyDescent="0.3">
      <c r="A110" s="567" t="s">
        <v>895</v>
      </c>
      <c r="B110" s="596">
        <v>30</v>
      </c>
      <c r="C110" s="571" t="s">
        <v>379</v>
      </c>
      <c r="D110" s="185"/>
      <c r="E110" s="251">
        <f>+B54</f>
        <v>348.78483285978268</v>
      </c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</row>
    <row r="111" spans="1:15" ht="15.6" x14ac:dyDescent="0.35">
      <c r="A111" s="567" t="s">
        <v>380</v>
      </c>
      <c r="B111" s="592">
        <f>B15*1000*B110/1000000</f>
        <v>577.38873600000011</v>
      </c>
      <c r="C111" s="571" t="s">
        <v>896</v>
      </c>
      <c r="D111" s="185"/>
      <c r="E111" s="185"/>
      <c r="F111" s="185"/>
      <c r="G111" s="185"/>
      <c r="H111" s="185"/>
      <c r="I111" s="185"/>
      <c r="J111" s="185"/>
      <c r="K111" s="252">
        <f>B75</f>
        <v>343.83557736295882</v>
      </c>
      <c r="L111" s="253">
        <f>+B73</f>
        <v>353.73408835660655</v>
      </c>
      <c r="M111" s="250">
        <f>+B71</f>
        <v>355.69408835660658</v>
      </c>
      <c r="N111" s="185"/>
      <c r="O111" s="185"/>
    </row>
    <row r="112" spans="1:15" x14ac:dyDescent="0.3">
      <c r="A112" s="567" t="s">
        <v>382</v>
      </c>
      <c r="B112" s="592">
        <f>+B111/0.08</f>
        <v>7217.3592000000008</v>
      </c>
      <c r="C112" s="571" t="s">
        <v>39</v>
      </c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</row>
    <row r="113" spans="1:15" x14ac:dyDescent="0.3">
      <c r="A113" s="567" t="s">
        <v>383</v>
      </c>
      <c r="B113" s="597">
        <f>B112*30*1.3</f>
        <v>281477.00880000001</v>
      </c>
      <c r="C113" s="571" t="s">
        <v>384</v>
      </c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</row>
    <row r="114" spans="1:15" x14ac:dyDescent="0.3">
      <c r="A114" s="567" t="s">
        <v>385</v>
      </c>
      <c r="B114" s="598">
        <v>0.25</v>
      </c>
      <c r="C114" s="571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</row>
    <row r="115" spans="1:15" x14ac:dyDescent="0.3">
      <c r="A115" s="567" t="s">
        <v>386</v>
      </c>
      <c r="B115" s="592">
        <f>+B112/B114</f>
        <v>28869.436800000003</v>
      </c>
      <c r="C115" s="571" t="s">
        <v>387</v>
      </c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</row>
    <row r="116" spans="1:15" x14ac:dyDescent="0.3">
      <c r="A116" s="567" t="s">
        <v>897</v>
      </c>
      <c r="B116" s="594">
        <f>+B115*30</f>
        <v>866083.10400000005</v>
      </c>
      <c r="C116" s="571" t="s">
        <v>898</v>
      </c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</row>
    <row r="117" spans="1:15" x14ac:dyDescent="0.3">
      <c r="A117" s="567" t="s">
        <v>899</v>
      </c>
      <c r="B117" s="594">
        <f>+B116*B114</f>
        <v>216520.77600000001</v>
      </c>
      <c r="C117" s="571" t="s">
        <v>898</v>
      </c>
      <c r="D117" s="185"/>
      <c r="E117" s="185"/>
      <c r="F117" s="185"/>
      <c r="G117" s="185"/>
      <c r="H117" s="250">
        <f>+H131</f>
        <v>692.6204102227415</v>
      </c>
      <c r="I117" s="185"/>
      <c r="J117" s="185"/>
      <c r="K117" s="185"/>
      <c r="L117" s="185"/>
      <c r="M117" s="185"/>
      <c r="N117" s="185"/>
      <c r="O117" s="185"/>
    </row>
    <row r="118" spans="1:15" x14ac:dyDescent="0.3">
      <c r="A118" s="567" t="s">
        <v>388</v>
      </c>
      <c r="B118" s="599">
        <v>220000</v>
      </c>
      <c r="C118" s="571" t="s">
        <v>177</v>
      </c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</row>
    <row r="119" spans="1:15" x14ac:dyDescent="0.3">
      <c r="A119" s="567" t="s">
        <v>389</v>
      </c>
      <c r="B119" s="592">
        <f>+B118*B114</f>
        <v>55000</v>
      </c>
      <c r="C119" s="571" t="s">
        <v>177</v>
      </c>
      <c r="D119" s="185"/>
      <c r="E119" s="185"/>
      <c r="F119" s="185"/>
      <c r="G119" s="185"/>
      <c r="H119" s="250">
        <f>+B72</f>
        <v>702.51892121638923</v>
      </c>
      <c r="I119" s="185"/>
      <c r="J119" s="185"/>
      <c r="K119" s="185"/>
      <c r="L119" s="185"/>
      <c r="M119" s="185"/>
      <c r="N119" s="185"/>
      <c r="O119" s="185"/>
    </row>
    <row r="120" spans="1:15" x14ac:dyDescent="0.3">
      <c r="A120" s="567" t="s">
        <v>390</v>
      </c>
      <c r="B120" s="592">
        <f>+B118/B115</f>
        <v>7.6205158252342482</v>
      </c>
      <c r="C120" s="571" t="s">
        <v>391</v>
      </c>
      <c r="D120" s="185"/>
      <c r="E120" s="185"/>
      <c r="F120" s="185"/>
      <c r="G120" s="185"/>
      <c r="H120" s="250">
        <f>+B70</f>
        <v>704.47892121638927</v>
      </c>
      <c r="I120" s="185"/>
      <c r="J120" s="185"/>
      <c r="K120" s="185"/>
      <c r="L120" s="185"/>
      <c r="M120" s="185"/>
      <c r="N120" s="185"/>
      <c r="O120" s="185"/>
    </row>
    <row r="121" spans="1:15" x14ac:dyDescent="0.3">
      <c r="A121" s="567" t="s">
        <v>392</v>
      </c>
      <c r="B121" s="592">
        <f>+B115/24</f>
        <v>1202.8932000000002</v>
      </c>
      <c r="C121" s="571" t="s">
        <v>394</v>
      </c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</row>
    <row r="122" spans="1:15" x14ac:dyDescent="0.3">
      <c r="A122" s="571"/>
      <c r="B122" s="592">
        <f>+B121/60*7.5</f>
        <v>150.36165000000003</v>
      </c>
      <c r="C122" s="571" t="s">
        <v>395</v>
      </c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</row>
    <row r="123" spans="1:15" x14ac:dyDescent="0.3">
      <c r="A123" s="777" t="s">
        <v>900</v>
      </c>
      <c r="B123" s="778"/>
      <c r="C123" s="779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</row>
    <row r="124" spans="1:15" x14ac:dyDescent="0.3">
      <c r="A124" s="567" t="s">
        <v>901</v>
      </c>
      <c r="B124" s="594">
        <v>15</v>
      </c>
      <c r="C124" s="571" t="s">
        <v>22</v>
      </c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</row>
    <row r="125" spans="1:15" x14ac:dyDescent="0.3">
      <c r="A125" s="567" t="s">
        <v>888</v>
      </c>
      <c r="B125" s="592">
        <f>+(1-B124/100)*B93</f>
        <v>14.831286436743724</v>
      </c>
      <c r="C125" s="571" t="s">
        <v>889</v>
      </c>
      <c r="D125" s="185"/>
      <c r="E125" s="185"/>
      <c r="F125" s="185"/>
      <c r="G125" s="185"/>
      <c r="H125" s="250">
        <f>+H120</f>
        <v>704.47892121638927</v>
      </c>
      <c r="I125" s="185"/>
      <c r="J125" s="185"/>
      <c r="K125" s="185"/>
      <c r="L125" s="185"/>
      <c r="M125" s="185"/>
      <c r="N125" s="185"/>
      <c r="O125" s="185"/>
    </row>
    <row r="126" spans="1:15" x14ac:dyDescent="0.3">
      <c r="A126" s="567" t="s">
        <v>890</v>
      </c>
      <c r="B126" s="586">
        <f>+(1-B124/100)*B94</f>
        <v>17.952701100476858</v>
      </c>
      <c r="C126" s="571" t="s">
        <v>889</v>
      </c>
      <c r="D126" s="185"/>
      <c r="E126" s="256">
        <f>+B77</f>
        <v>3</v>
      </c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</row>
    <row r="127" spans="1:15" ht="15" thickBot="1" x14ac:dyDescent="0.35">
      <c r="A127" s="257"/>
      <c r="B127" s="254"/>
      <c r="C127" s="25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</row>
    <row r="128" spans="1:15" x14ac:dyDescent="0.3">
      <c r="A128" s="245"/>
      <c r="B128" s="185"/>
      <c r="C128" s="185"/>
      <c r="D128" s="185"/>
      <c r="E128" s="258">
        <f>+B76</f>
        <v>0.5</v>
      </c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</row>
    <row r="129" spans="1:15" x14ac:dyDescent="0.3">
      <c r="A129" s="223"/>
      <c r="B129" s="223"/>
      <c r="C129" s="223"/>
      <c r="D129" s="185"/>
      <c r="E129" s="256">
        <f>+B78</f>
        <v>9.679255496823874</v>
      </c>
      <c r="F129" s="185"/>
      <c r="G129" s="185"/>
      <c r="H129" s="259">
        <f>+B61</f>
        <v>2.964627748411937</v>
      </c>
      <c r="I129" s="250">
        <f>+B59</f>
        <v>2.4746277484119372</v>
      </c>
      <c r="J129" s="185"/>
      <c r="K129" s="185"/>
      <c r="L129" s="185"/>
      <c r="M129" s="185"/>
      <c r="N129" s="185"/>
      <c r="O129" s="185"/>
    </row>
    <row r="130" spans="1:15" x14ac:dyDescent="0.3">
      <c r="A130" s="223"/>
      <c r="B130" s="223"/>
      <c r="C130" s="223"/>
      <c r="D130" s="185"/>
      <c r="E130" s="185"/>
      <c r="F130" s="251">
        <f>+B58</f>
        <v>0.47462774841193717</v>
      </c>
      <c r="G130" s="185"/>
      <c r="H130" s="185"/>
      <c r="I130" s="185"/>
      <c r="J130" s="185"/>
      <c r="K130" s="185"/>
      <c r="L130" s="185"/>
      <c r="M130" s="185"/>
      <c r="N130" s="185"/>
      <c r="O130" s="185"/>
    </row>
    <row r="131" spans="1:15" x14ac:dyDescent="0.3">
      <c r="A131" s="223"/>
      <c r="B131" s="223"/>
      <c r="C131" s="223"/>
      <c r="D131" s="185"/>
      <c r="E131" s="185"/>
      <c r="F131" s="185"/>
      <c r="G131" s="185"/>
      <c r="H131" s="250">
        <f>+B74</f>
        <v>692.6204102227415</v>
      </c>
      <c r="I131" s="185"/>
      <c r="J131" s="185"/>
      <c r="K131" s="185"/>
      <c r="L131" s="185"/>
      <c r="M131" s="185"/>
      <c r="N131" s="185"/>
      <c r="O131" s="185"/>
    </row>
    <row r="132" spans="1:15" x14ac:dyDescent="0.3">
      <c r="A132" s="263">
        <f>B109</f>
        <v>48.131935344425962</v>
      </c>
      <c r="B132" s="223"/>
      <c r="C132" s="223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</row>
    <row r="133" spans="1:15" x14ac:dyDescent="0.3">
      <c r="A133" s="233"/>
      <c r="B133" s="223"/>
      <c r="C133" s="223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</row>
    <row r="134" spans="1:15" x14ac:dyDescent="0.3">
      <c r="A134" s="223"/>
      <c r="B134" s="223"/>
      <c r="C134" s="223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</row>
    <row r="135" spans="1:15" x14ac:dyDescent="0.3">
      <c r="A135" s="261"/>
      <c r="B135" s="264">
        <f>B108</f>
        <v>24.065967672212981</v>
      </c>
      <c r="C135" s="223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</row>
    <row r="136" spans="1:15" x14ac:dyDescent="0.3">
      <c r="A136" s="223"/>
      <c r="B136" s="223"/>
      <c r="C136" s="223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</row>
    <row r="137" spans="1:15" x14ac:dyDescent="0.3">
      <c r="A137" s="223"/>
      <c r="B137" s="223"/>
      <c r="C137" s="223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</row>
    <row r="138" spans="1:15" x14ac:dyDescent="0.3">
      <c r="A138" s="223"/>
      <c r="B138" s="223"/>
      <c r="C138" s="223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</row>
    <row r="139" spans="1:15" x14ac:dyDescent="0.3">
      <c r="A139" s="262">
        <f>'TRATAMIENTO PRELIMINAR'!F96</f>
        <v>2</v>
      </c>
      <c r="B139" s="223"/>
      <c r="C139" s="223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</row>
    <row r="140" spans="1:15" x14ac:dyDescent="0.3">
      <c r="A140" s="223"/>
      <c r="B140" s="223"/>
      <c r="C140" s="223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</row>
    <row r="141" spans="1:15" x14ac:dyDescent="0.3">
      <c r="A141" s="223"/>
      <c r="B141" s="223"/>
      <c r="C141" s="223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</row>
    <row r="142" spans="1:15" x14ac:dyDescent="0.3">
      <c r="A142" s="223"/>
      <c r="B142" s="223"/>
      <c r="C142" s="223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</row>
    <row r="143" spans="1:15" x14ac:dyDescent="0.3">
      <c r="A143" s="223"/>
      <c r="B143" s="223"/>
      <c r="C143" s="223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</row>
    <row r="144" spans="1:15" x14ac:dyDescent="0.3">
      <c r="A144" s="228"/>
      <c r="B144" s="228">
        <f>B106</f>
        <v>0.3</v>
      </c>
      <c r="C144" s="223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</row>
    <row r="145" spans="1:15" x14ac:dyDescent="0.3">
      <c r="A145" s="223"/>
      <c r="B145" s="223"/>
      <c r="C145" s="223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</row>
    <row r="146" spans="1:15" x14ac:dyDescent="0.3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</row>
    <row r="147" spans="1:15" x14ac:dyDescent="0.3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</row>
    <row r="148" spans="1:15" x14ac:dyDescent="0.3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</row>
  </sheetData>
  <mergeCells count="19">
    <mergeCell ref="A123:C123"/>
    <mergeCell ref="A81:C81"/>
    <mergeCell ref="A84:C84"/>
    <mergeCell ref="A88:C88"/>
    <mergeCell ref="A92:C92"/>
    <mergeCell ref="A96:C96"/>
    <mergeCell ref="A101:C101"/>
    <mergeCell ref="A67:C67"/>
    <mergeCell ref="A1:C1"/>
    <mergeCell ref="A4:C4"/>
    <mergeCell ref="A23:C23"/>
    <mergeCell ref="A28:C28"/>
    <mergeCell ref="A31:C31"/>
    <mergeCell ref="A35:C35"/>
    <mergeCell ref="A45:C45"/>
    <mergeCell ref="A48:C48"/>
    <mergeCell ref="A51:C51"/>
    <mergeCell ref="A56:C56"/>
    <mergeCell ref="A63:C63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Y SISTEMA IMPULSIÓN RÍO</vt:lpstr>
      <vt:lpstr>POTABILIZADORA</vt:lpstr>
      <vt:lpstr>SISTEMA DE IMPULSIÓN AL TANQUE</vt:lpstr>
      <vt:lpstr>Caudales</vt:lpstr>
      <vt:lpstr>Datos Inic</vt:lpstr>
      <vt:lpstr>Presiones</vt:lpstr>
      <vt:lpstr>RED CLOACAL</vt:lpstr>
      <vt:lpstr>TRATAMIENTO PRELIMINAR</vt:lpstr>
      <vt:lpstr>LAGUNA FACULTATIVA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CyT</dc:creator>
  <cp:lastModifiedBy>Tania Pumes</cp:lastModifiedBy>
  <dcterms:created xsi:type="dcterms:W3CDTF">2018-09-15T10:21:16Z</dcterms:created>
  <dcterms:modified xsi:type="dcterms:W3CDTF">2025-10-05T23:02:58Z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14aa4568-daf3-43b0-959e-34d9c299f461</vt:lpwstr>
  </property>
</Properties>
</file>